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8.xml" ContentType="application/vnd.openxmlformats-officedocument.drawing+xml"/>
  <Override PartName="/xl/ctrlProps/ctrlProp7.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ctrlProps/ctrlProp8.xml" ContentType="application/vnd.ms-excel.controlpropertie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drawings/drawing10.xml" ContentType="application/vnd.openxmlformats-officedocument.drawing+xml"/>
  <Override PartName="/xl/ctrlProps/ctrlProp9.xml" ContentType="application/vnd.ms-excel.controlproperties+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12.xml" ContentType="application/vnd.openxmlformats-officedocument.drawing+xml"/>
  <Override PartName="/xl/comments2.xml" ContentType="application/vnd.openxmlformats-officedocument.spreadsheetml.comments+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16.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omments4.xml" ContentType="application/vnd.openxmlformats-officedocument.spreadsheetml.comments+xml"/>
  <Override PartName="/xl/comments5.xml" ContentType="application/vnd.openxmlformats-officedocument.spreadsheetml.comments+xml"/>
  <Override PartName="/xl/drawings/drawing1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6.xml" ContentType="application/vnd.openxmlformats-officedocument.spreadsheetml.comments+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drawings/drawing23.xml" ContentType="application/vnd.openxmlformats-officedocument.drawing+xml"/>
  <Override PartName="/xl/comments7.xml" ContentType="application/vnd.openxmlformats-officedocument.spreadsheetml.comments+xml"/>
  <Override PartName="/xl/charts/chart12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b3031c95bbe4f29"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updateLinks="never" codeName="ThisWorkbook"/>
  <mc:AlternateContent xmlns:mc="http://schemas.openxmlformats.org/markup-compatibility/2006">
    <mc:Choice Requires="x15">
      <x15ac:absPath xmlns:x15ac="http://schemas.microsoft.com/office/spreadsheetml/2010/11/ac" url="C:\Users\sagar.bansal\Box Sync\sagar.bansal\Avenade\Latest SIm\"/>
    </mc:Choice>
  </mc:AlternateContent>
  <bookViews>
    <workbookView xWindow="0" yWindow="0" windowWidth="20490" windowHeight="8115" tabRatio="843" firstSheet="27" activeTab="35"/>
  </bookViews>
  <sheets>
    <sheet name="ChangeLog" sheetId="57" r:id="rId1"/>
    <sheet name="_tlOutputNamer" sheetId="64" r:id="rId2"/>
    <sheet name="ImportExportCSV" sheetId="65" r:id="rId3"/>
    <sheet name="obal_csv_export" sheetId="66" r:id="rId4"/>
    <sheet name="Controls" sheetId="5" r:id="rId5"/>
    <sheet name="20050219DevConfNotes" sheetId="34" r:id="rId6"/>
    <sheet name="frmNavControls" sheetId="63" r:id="rId7"/>
    <sheet name="toolIntro" sheetId="20" r:id="rId8"/>
    <sheet name="toolDecSummary" sheetId="21" r:id="rId9"/>
    <sheet name="tlBusinessA" sheetId="62" r:id="rId10"/>
    <sheet name="tlBusAPrac1" sheetId="39" r:id="rId11"/>
    <sheet name="tlBusAPrac2" sheetId="60" r:id="rId12"/>
    <sheet name="tlBusAPrac3" sheetId="61" r:id="rId13"/>
    <sheet name="tlPeople" sheetId="56" r:id="rId14"/>
    <sheet name="tlInitiatives" sheetId="41" r:id="rId15"/>
    <sheet name="tlPNLBusA" sheetId="50" r:id="rId16"/>
    <sheet name="ProcessingInstructions" sheetId="37" r:id="rId17"/>
    <sheet name="ManualAdjustments" sheetId="36" r:id="rId18"/>
    <sheet name="obal" sheetId="1" r:id="rId19"/>
    <sheet name="cbal" sheetId="2" r:id="rId20"/>
    <sheet name="dec" sheetId="3" r:id="rId21"/>
    <sheet name="cap" sheetId="19" r:id="rId22"/>
    <sheet name="fin" sheetId="6" r:id="rId23"/>
    <sheet name="tlGraphs" sheetId="58" r:id="rId24"/>
    <sheet name="DataPage" sheetId="8" r:id="rId25"/>
    <sheet name="param" sheetId="4" r:id="rId26"/>
    <sheet name="adj" sheetId="7" r:id="rId27"/>
    <sheet name="CompetitorReport" sheetId="52" r:id="rId28"/>
    <sheet name="toolPNL" sheetId="13" r:id="rId29"/>
    <sheet name="toolBalSheet" sheetId="14" r:id="rId30"/>
    <sheet name="toolCashFlow" sheetId="15" r:id="rId31"/>
    <sheet name="toolHRReport" sheetId="42" r:id="rId32"/>
    <sheet name="toolBPOReport" sheetId="44" r:id="rId33"/>
    <sheet name="toolPNLBusB" sheetId="51" r:id="rId34"/>
    <sheet name="toolBusinessB" sheetId="40" r:id="rId35"/>
    <sheet name="toolCompDev" sheetId="49" r:id="rId36"/>
    <sheet name="satIndex" sheetId="33" r:id="rId37"/>
    <sheet name="bidData" sheetId="31" r:id="rId38"/>
  </sheets>
  <functionGroups builtInGroupCount="18"/>
  <definedNames>
    <definedName name="_xlnm._FilterDatabase" localSheetId="26" hidden="1">adj!$A$6:$M$10</definedName>
    <definedName name="_Order1" hidden="1">255</definedName>
    <definedName name="_Order2" hidden="1">255</definedName>
    <definedName name="_tlOutputNamer_Color">_tlOutputNamer!$E$18</definedName>
    <definedName name="_tlOutputNamer_ScreenName">_tlOutputNamer!$E$16</definedName>
    <definedName name="_tlOutputNamer_SheetPre">_tlOutputNamer!$E$14</definedName>
    <definedName name="AReporttoolCompetitor">CompetitorReport!$B$2:$K$161</definedName>
    <definedName name="AReporttoolDecSummary">toolDecSummary!$C$3:$Q$85</definedName>
    <definedName name="AreporttoolPNLBusA">tlPNLBusA!$C$3:$S$44</definedName>
    <definedName name="bidProd4Seg1BidWon">bidData!$E$9:$I$9</definedName>
    <definedName name="bidProd4Seg2BidWon">bidData!$E$10:$I$10</definedName>
    <definedName name="bidProd4Seg3BidWon">bidData!$E$11:$I$11</definedName>
    <definedName name="bidProd4Seg4BidWon">bidData!$E$12:$I$12</definedName>
    <definedName name="button1_visible">frmNavControls!$C$64</definedName>
    <definedName name="button10_visible">frmNavControls!$C$104</definedName>
    <definedName name="button11_visible">frmNavControls!$E$104</definedName>
    <definedName name="button12_visible">frmNavControls!$G$104</definedName>
    <definedName name="button13_visible">frmNavControls!$C$116</definedName>
    <definedName name="button14_visible">frmNavControls!$E$116</definedName>
    <definedName name="button15_visible">frmNavControls!$G$116</definedName>
    <definedName name="button16_visible">frmNavControls!$C$128</definedName>
    <definedName name="button17_visible">frmNavControls!$E$128</definedName>
    <definedName name="button18_visible">frmNavControls!$G$128</definedName>
    <definedName name="button19_visible">frmNavControls!$C$144</definedName>
    <definedName name="button2_visible">frmNavControls!$E$64</definedName>
    <definedName name="button20_visible">frmNavControls!$E$144</definedName>
    <definedName name="button21_visible">frmNavControls!$G$144</definedName>
    <definedName name="button22_visible">frmNavControls!$C$156</definedName>
    <definedName name="button23_visible">frmNavControls!$E$156</definedName>
    <definedName name="button24_visible">frmNavControls!$G$156</definedName>
    <definedName name="button25_visible">frmNavControls!$C$168</definedName>
    <definedName name="button26_visible">frmNavControls!$E$168</definedName>
    <definedName name="button27_visible">frmNavControls!$G$168</definedName>
    <definedName name="button28_visible">frmNavControls!$C$184</definedName>
    <definedName name="button29_visible">frmNavControls!$E$184</definedName>
    <definedName name="button3_visible">frmNavControls!$G$64</definedName>
    <definedName name="button30_visible">frmNavControls!$G$184</definedName>
    <definedName name="button31_visible">frmNavControls!$C$196</definedName>
    <definedName name="button32_visible">frmNavControls!$E$196</definedName>
    <definedName name="button33_visible">frmNavControls!$G$196</definedName>
    <definedName name="button34_visible">frmNavControls!$C$208</definedName>
    <definedName name="button35_visible">frmNavControls!$E$208</definedName>
    <definedName name="button36_visible">frmNavControls!$G$208</definedName>
    <definedName name="button37_visible">frmNavControls!$C$224</definedName>
    <definedName name="button38_visible">frmNavControls!$E$224</definedName>
    <definedName name="button39_visible">frmNavControls!$G$224</definedName>
    <definedName name="button4_visible">frmNavControls!$C$76</definedName>
    <definedName name="button40_visible">frmNavControls!$C$236</definedName>
    <definedName name="button41_visible">frmNavControls!$E$236</definedName>
    <definedName name="button42_visible">frmNavControls!$G$236</definedName>
    <definedName name="button43_visible">frmNavControls!$C$248</definedName>
    <definedName name="button44_visible">frmNavControls!$E$248</definedName>
    <definedName name="button45_visible">frmNavControls!$G$248</definedName>
    <definedName name="button46_visible">frmNavControls!$C$264</definedName>
    <definedName name="button47_visible">frmNavControls!$E$264</definedName>
    <definedName name="button48_visible">frmNavControls!$G$264</definedName>
    <definedName name="button49_visible">frmNavControls!$C$276</definedName>
    <definedName name="button5_visible">frmNavControls!$E$76</definedName>
    <definedName name="button50_visible">frmNavControls!$E$276</definedName>
    <definedName name="button51_visible">frmNavControls!$G$276</definedName>
    <definedName name="button52_visible">frmNavControls!$C$288</definedName>
    <definedName name="button53_visible">frmNavControls!$E$288</definedName>
    <definedName name="button54_visible">frmNavControls!$G$288</definedName>
    <definedName name="button55_visible">frmNavControls!$C$304</definedName>
    <definedName name="button56_visible">frmNavControls!$E$304</definedName>
    <definedName name="button57_visible">frmNavControls!$G$304</definedName>
    <definedName name="button58_visible">frmNavControls!$C$316</definedName>
    <definedName name="button59_visible">frmNavControls!$E$316</definedName>
    <definedName name="button6_visible">frmNavControls!$G$76</definedName>
    <definedName name="button60_visible">frmNavControls!$G$316</definedName>
    <definedName name="button61_visible">frmNavControls!$C$328</definedName>
    <definedName name="button62_visible">frmNavControls!$E$328</definedName>
    <definedName name="button63_visible">frmNavControls!$G$328</definedName>
    <definedName name="button64_visible">frmNavControls!$C$344</definedName>
    <definedName name="button65_visible">frmNavControls!$E$344</definedName>
    <definedName name="button66_visible">frmNavControls!$G$344</definedName>
    <definedName name="button67_visible">frmNavControls!$C$356</definedName>
    <definedName name="button68_visible">frmNavControls!$E$356</definedName>
    <definedName name="button69_visible">frmNavControls!$G$356</definedName>
    <definedName name="button7_visible">frmNavControls!$C$88</definedName>
    <definedName name="button70_visible">frmNavControls!$C$368</definedName>
    <definedName name="button71_visible">frmNavControls!$E$368</definedName>
    <definedName name="button72_visible">frmNavControls!$G$368</definedName>
    <definedName name="button8_visible">frmNavControls!$E$88</definedName>
    <definedName name="button9_visible">frmNavControls!$G$88</definedName>
    <definedName name="CalcNow" localSheetId="13">tlPeople!CalcNow</definedName>
    <definedName name="CalcNow" localSheetId="15">tlPNLBusA!CalcNow</definedName>
    <definedName name="CalcNow" localSheetId="33">toolPNLBusB!CalcNow</definedName>
    <definedName name="CalcNow">[0]!CalcNow</definedName>
    <definedName name="capBCTestPctResult1">cap!$E$1776</definedName>
    <definedName name="capBCTestPctResult2">cap!$E$1786</definedName>
    <definedName name="capBCTestPctResult3">cap!$E$1796</definedName>
    <definedName name="capBCTestResult1">cap!$E$1773</definedName>
    <definedName name="capBCTestResult2">cap!$E$1783</definedName>
    <definedName name="capBid10Visible">cap!$E$177:$E$177</definedName>
    <definedName name="capBid11Visible">cap!$E$205:$E$205</definedName>
    <definedName name="capBid12Visible">cap!$E$231:$E$231</definedName>
    <definedName name="capBid1Emp2HrsRFQ">cap!$E$1866:$E$1866</definedName>
    <definedName name="capBid1Emp3HrsRFQ">cap!$E$1857:$E$1857</definedName>
    <definedName name="capBid1Emp4HrsRFQ">cap!$E$1848:$E$1848</definedName>
    <definedName name="capBid1Price">cap!$E$1838:$E$1838</definedName>
    <definedName name="capBid2Emp2HrsRFQ">cap!$E$1867:$E$1867</definedName>
    <definedName name="capBid2Emp3HrsRFQ">cap!$E$1858:$E$1858</definedName>
    <definedName name="capBid2Emp4HrsRFQ">cap!$E$1849:$E$1849</definedName>
    <definedName name="capBid2Price">cap!$E$1839:$E$1839</definedName>
    <definedName name="capBid3Emp2HrsRFQ">cap!$E$1868:$E$1868</definedName>
    <definedName name="capBid3Emp3HrsRFQ">cap!$E$1859:$E$1859</definedName>
    <definedName name="capBid3Emp4HrsRFQ">cap!$E$1850:$E$1850</definedName>
    <definedName name="capBid3Price">cap!$E$1840:$E$1840</definedName>
    <definedName name="capBid3Visible">cap!$E$35:$E$35</definedName>
    <definedName name="capBid4Emp2HrsRFQ">cap!$E$1869:$E$1869</definedName>
    <definedName name="capBid4Emp3HrsRFQ">cap!$E$1860:$E$1860</definedName>
    <definedName name="capBid4Emp4HrsRFQ">cap!$E$1851:$E$1851</definedName>
    <definedName name="capBid4Price">cap!$E$1841:$E$1841</definedName>
    <definedName name="capBid4Visible">cap!$E$39:$E$39</definedName>
    <definedName name="capBid5Emp2HrsRFQ">cap!$E$1870:$E$1870</definedName>
    <definedName name="capBid5Emp3HrsRFQ">cap!$E$1861:$E$1861</definedName>
    <definedName name="capBid5Emp4HrsRFQ">cap!$E$1852:$E$1852</definedName>
    <definedName name="capBid5Price">cap!$E$1842:$E$1842</definedName>
    <definedName name="capBid5Visible">cap!$E$57:$E$57</definedName>
    <definedName name="capBid6Emp2HrsRFQ">cap!$E$1871:$E$1871</definedName>
    <definedName name="capBid6Emp3HrsRFQ">cap!$E$1862:$E$1862</definedName>
    <definedName name="capBid6Emp4HrsRFQ">cap!$E$1853:$E$1853</definedName>
    <definedName name="capBid6Price">cap!$E$1843:$E$1843</definedName>
    <definedName name="capBid6Visible">cap!$E$74:$E$74</definedName>
    <definedName name="capBid7Emp2HrsRFQ">cap!$E$1872:$E$1872</definedName>
    <definedName name="capBid7Emp3HrsRFQ">cap!$E$1863:$E$1863</definedName>
    <definedName name="capBid7Emp4HrsRFQ">cap!$E$1854:$E$1854</definedName>
    <definedName name="capBid7Price">cap!$E$1844:$E$1844</definedName>
    <definedName name="capBid7Visible">cap!$E$99:$E$99</definedName>
    <definedName name="capBid8Emp2HrsRFQ">cap!$E$1873:$E$1873</definedName>
    <definedName name="capBid8Emp3HrsRFQ">cap!$E$1864:$E$1864</definedName>
    <definedName name="capBid8Emp4HrsRFQ">cap!$E$1855:$E$1855</definedName>
    <definedName name="capBid8Price">cap!$E$1845:$E$1845</definedName>
    <definedName name="capBid8Visible">cap!$E$125:$E$125</definedName>
    <definedName name="capBid9Emp2HrsRFQ">cap!$E$1874:$E$1874</definedName>
    <definedName name="capBid9Emp3HrsRFQ">cap!$E$1865:$E$1865</definedName>
    <definedName name="capBid9Emp4HrsRFQ">cap!$E$1856:$E$1856</definedName>
    <definedName name="capBid9Price">cap!$E$1846:$E$1846</definedName>
    <definedName name="capBid9Visible">cap!$E$152:$E$152</definedName>
    <definedName name="capBusABusDevNonPayrollBud">cap!$E$1836:$E$1836</definedName>
    <definedName name="capBusACurrProjV1Emp1Output">cap!$E$162:$E$162</definedName>
    <definedName name="capBusACurrProjV1Emp2Output">cap!$E$163:$E$163</definedName>
    <definedName name="capBusACurrProjV1Emp3Output">cap!$E$164:$E$164</definedName>
    <definedName name="capBusACurrProjV1Emp4Output">cap!$E$165:$E$165</definedName>
    <definedName name="capBusACurrProjV1Emp5Output">cap!$E$169:$E$169</definedName>
    <definedName name="capBusACurrProjV1Emp7Output">cap!$E$166:$E$166</definedName>
    <definedName name="capBusACurrProjV1Emp8Output">cap!$E$167:$E$167</definedName>
    <definedName name="capBusACurrProjV1Emp9Output">cap!$E$168:$E$168</definedName>
    <definedName name="capBusACurrProjV1HrsReq">cap!$E$198:$E$198</definedName>
    <definedName name="capBusACurrProjV1HrsReqBookings">cap!$E$202:$E$202</definedName>
    <definedName name="capBusACurrProjV1PctStaffed">cap!$E$207:$E$207</definedName>
    <definedName name="capBusACurrProjV2Emp1Output">cap!$E$172:$E$172</definedName>
    <definedName name="capBusACurrProjV2Emp2Output">cap!$E$173:$E$173</definedName>
    <definedName name="capBusACurrProjV2Emp3Output">cap!$E$174:$E$174</definedName>
    <definedName name="capBusACurrProjV2Emp4Output">cap!$E$175:$E$175</definedName>
    <definedName name="capBusACurrProjV2Emp5Output">cap!$E$179:$E$179</definedName>
    <definedName name="capBusACurrProjV2Emp7Output">cap!$E$176:$E$176</definedName>
    <definedName name="capBusACurrProjV2Emp8Output">cap!$E$177:$E$177</definedName>
    <definedName name="capBusACurrProjV2Emp9Output">cap!$E$178:$E$178</definedName>
    <definedName name="capBusACurrProjV2HrsReq">cap!$E$199:$E$199</definedName>
    <definedName name="capBusACurrProjV2HrsReqBookings">cap!$E$203:$E$203</definedName>
    <definedName name="capBusACurrProjV2PctStaffed">cap!$E$208:$E$208</definedName>
    <definedName name="capBusACurrProjV3Emp1Output">cap!$E$182:$E$182</definedName>
    <definedName name="capBusACurrProjV3Emp2Output">cap!$E$183:$E$183</definedName>
    <definedName name="capBusACurrProjV3Emp3Output">cap!$E$184:$E$184</definedName>
    <definedName name="capBusACurrProjV3Emp4Output">cap!$E$185:$E$185</definedName>
    <definedName name="capBusACurrProjV3Emp5Output">cap!$E$186:$E$186</definedName>
    <definedName name="capBusACurrProjV3Emp7Output">cap!$E$187:$E$187</definedName>
    <definedName name="capBusACurrProjV3Emp8Output">cap!$E$188:$E$188</definedName>
    <definedName name="capBusACurrProjV3Emp9Output">cap!$E$189:$E$189</definedName>
    <definedName name="capBusACurrProjV3HrsReq">cap!$E$200:$E$200</definedName>
    <definedName name="capBusACurrProjV3HrsReqBookings">cap!$E$204:$E$204</definedName>
    <definedName name="capBusACurrProjV3PctStaffed">cap!$E$209:$E$209</definedName>
    <definedName name="capBusAEmp1Att">cap!$E$440:$E$440</definedName>
    <definedName name="capBusAEmp1BaseExp">cap!$E$453:$E$453</definedName>
    <definedName name="capBusAEmp1CompDevTtlHrReq">cap!$E$329:$E$329</definedName>
    <definedName name="capBusAEmp1End">cap!$E$443:$E$443</definedName>
    <definedName name="capBusAEmp1EndHrsAvailable">cap!$E$444:$E$444</definedName>
    <definedName name="capBusAEmp1HrsCurrProj">cap!$E$1827:$E$1827</definedName>
    <definedName name="capBusAEmp1HrsCurrProjV2">cap!$E$1828:$E$1828</definedName>
    <definedName name="capBusAEmp1HrsCurrProjV3">cap!$E$1829:$E$1829</definedName>
    <definedName name="capBusAEmp1PureHrsAvail">cap!$E$156:$E$156</definedName>
    <definedName name="capBusAEmp1Req">cap!$E$448:$E$448</definedName>
    <definedName name="capBusAEmp1Utiliz">cap!$E$451:$E$451</definedName>
    <definedName name="capBusAEmp2Att">cap!$E$513:$E$513</definedName>
    <definedName name="capBusAEmp2BaseExp">cap!$E$528:$E$528</definedName>
    <definedName name="capBusAEmp2CompDevTtlHrReq">cap!$E$330:$E$330</definedName>
    <definedName name="capBusAEmp2End">cap!$E$516:$E$516</definedName>
    <definedName name="capBusAEmp2EndHrsAvailable">cap!$E$517:$E$517</definedName>
    <definedName name="capBusAEmp2PureHrsAvail">cap!$E$157:$E$157</definedName>
    <definedName name="capBusAEmp2Req">cap!$E$521:$E$521</definedName>
    <definedName name="capBusAEmp2Utiliz">cap!$E$524:$E$524</definedName>
    <definedName name="capBusAEmp3Att">cap!$E$595:$E$595</definedName>
    <definedName name="capBusAEmp3BaseExp">cap!$E$608:$E$608</definedName>
    <definedName name="capBusAEmp3CompDevTtlHrReq">cap!$E$331:$E$331</definedName>
    <definedName name="capBusAEmp3End">cap!$E$598:$E$598</definedName>
    <definedName name="capBusAEmp3EndHrsAvailable">cap!$E$599:$E$599</definedName>
    <definedName name="capBusAEmp3HrsSales">cap!$E$1832:$E$1832</definedName>
    <definedName name="capBusAEmp3HrsSalesV2">cap!$E$1833:$E$1833</definedName>
    <definedName name="capBusAEmp3HrsSalesV3">cap!$E$1834:$E$1834</definedName>
    <definedName name="capBusAEmp3PureHrsAvail">cap!$E$158:$E$158</definedName>
    <definedName name="capBusAEmp3Req">cap!$E$603:$E$603</definedName>
    <definedName name="capBusAEmp3Utiliz">cap!$E$606:$E$606</definedName>
    <definedName name="capBusAEmp4Att">cap!$E$675:$E$675</definedName>
    <definedName name="capBusAEmp4BaseExp">cap!$E$688:$E$688</definedName>
    <definedName name="capBusAEmp4CompDevTtlHrReq">cap!$E$332:$E$332</definedName>
    <definedName name="capBusAEmp4End">cap!$E$678:$E$678</definedName>
    <definedName name="capBusAEmp4EndHrsAvailable">cap!$E$679:$E$679</definedName>
    <definedName name="capBusAEmp4PureHrsAvail">cap!$E$159:$E$159</definedName>
    <definedName name="capBusAEmp4Req">cap!$E$683:$E$683</definedName>
    <definedName name="capBusAEmp4Utiliz">cap!$E$686:$E$686</definedName>
    <definedName name="capBusAEmp7Att">cap!$E$753:$E$753</definedName>
    <definedName name="capBusAEmp7BaseExp">cap!$E$761:$E$761</definedName>
    <definedName name="capBusAEmp7CompDevTtlHrReq">cap!$E$333:$E$333</definedName>
    <definedName name="capBusAEmp7End">cap!$E$755:$E$755</definedName>
    <definedName name="capBusAEmp7EndHrsAvailable">cap!$E$756:$E$756</definedName>
    <definedName name="capBusAEmp7Req">cap!$E$758:$E$758</definedName>
    <definedName name="capBusAEmp7Utiliz">cap!$E$760:$E$760</definedName>
    <definedName name="capBusAEmp8Att">cap!$E$805:$E$805</definedName>
    <definedName name="capBusAEmp8BaseExp">cap!$E$813:$E$813</definedName>
    <definedName name="capBusAEmp8CompDevTtlHrReq">cap!$E$334:$E$334</definedName>
    <definedName name="capBusAEmp8End">cap!$E$807:$E$807</definedName>
    <definedName name="capBusAEmp8EndHrsAvailable">cap!$E$808:$E$808</definedName>
    <definedName name="capBusAEmp8Req">cap!$E$810:$E$810</definedName>
    <definedName name="capBusAEmp8Utiliz">cap!$E$812:$E$812</definedName>
    <definedName name="capBusAEmp9Att">cap!$E$857:$E$857</definedName>
    <definedName name="capBusAEmp9BaseExp">cap!$E$865:$E$865</definedName>
    <definedName name="capBusAEmp9CompDevTtlHrReq">cap!$E$335:$E$335</definedName>
    <definedName name="capBusAEmp9End">cap!$E$859:$E$859</definedName>
    <definedName name="capBusAEmp9EndHrsAvailable">cap!$E$860:$E$860</definedName>
    <definedName name="capBusAEmp9Req">cap!$E$862:$E$862</definedName>
    <definedName name="capBusAEmp9Utiliz">cap!$E$864:$E$864</definedName>
    <definedName name="capBusALocalPerCostReduce">cap!$E$1000:$E$1000</definedName>
    <definedName name="capBusAOverallConsChargeablitiy">cap!$E$937:$E$937</definedName>
    <definedName name="capBusAOverallConsUtil">cap!$E$942:$E$942</definedName>
    <definedName name="capBusAOverallSITChargeablitiy">cap!$E$939:$E$939</definedName>
    <definedName name="capBusAOverallSolnWFChargeablitiy">cap!$E$938:$E$938</definedName>
    <definedName name="capBusAOverallSolnWFUtil">cap!$E$943:$E$943</definedName>
    <definedName name="capBusAQualityCostAdj">cap!$E$970:$E$970</definedName>
    <definedName name="capBusARelationReduceLocal">cap!$E$1007:$E$1007</definedName>
    <definedName name="capBusARiskUtiliz">cap!$E$1823:$E$1823</definedName>
    <definedName name="capBusAtotalCostOfQualityIncrease">cap!$E$1021:$E$1021</definedName>
    <definedName name="capBusATotalForecastPctStaffed">cap!$E$248:$E$248</definedName>
    <definedName name="capBusATotalForecastRev">cap!$E$71:$E$71</definedName>
    <definedName name="capBusAtotalLoadExpSaved">cap!$E$1014:$E$1014</definedName>
    <definedName name="capBusATotalOutput">cap!$E$191:$E$191</definedName>
    <definedName name="capBusATotalRevFromPullThru">cap!$E$52:$E$52</definedName>
    <definedName name="capBusAV1BusDevWAvgSalesOutput">cap!$E$1574:$E$1574</definedName>
    <definedName name="capBusAV1BusDevWAvgSalesOutputRank">cap!$E$1575:$E$1575</definedName>
    <definedName name="capBusAV1CostOfQualityIncrease">cap!$E$1018:$E$1018</definedName>
    <definedName name="capBusAV1Emp1CompDevTtlHrReq">cap!$E$305:$E$305</definedName>
    <definedName name="capBusAV1Emp2CompDevTtlHrReq">cap!$E$306:$E$306</definedName>
    <definedName name="capBusAV1Emp3CompDevTtlHrReq">cap!$E$307:$E$307</definedName>
    <definedName name="capBusAV1Emp4CompDevTtlHrReq">cap!$E$308:$E$308</definedName>
    <definedName name="capBusAV1Emp7CompDevTtlHrReq">cap!$E$309:$E$309</definedName>
    <definedName name="capBusAV1Emp8CompDevTtlHrReq">cap!$E$310:$E$310</definedName>
    <definedName name="capBusAV1Emp9CompDevTtlHrReq">cap!$E$311:$E$311</definedName>
    <definedName name="capBusAV1ForecastRev">cap!$E$68:$E$68</definedName>
    <definedName name="capBusAV1H1Y1RevFromPullThru">cap!$E$14:$E$14</definedName>
    <definedName name="capBusAV1H1Y2RevFromPullThru">cap!$E$18:$E$18</definedName>
    <definedName name="capBusAV1H1Y3RevFromPullThru">cap!$E$22:$E$22</definedName>
    <definedName name="capBusAV1H2Y1RevFromPullThru">cap!$E$15:$E$15</definedName>
    <definedName name="capBusAV1H2Y2RevFromPullThru">cap!$E$19:$E$19</definedName>
    <definedName name="capBusAV1H2Y3RevFromPullThru">cap!$E$23:$E$23</definedName>
    <definedName name="capBusAV1H3Y1RevFromPullThru">cap!$E$16:$E$16</definedName>
    <definedName name="capBusAV1H3Y2RevFromPullThru">cap!$E$20:$E$20</definedName>
    <definedName name="capBusAV1H3Y3RevFromPullThru">cap!$E$24:$E$24</definedName>
    <definedName name="capBusAV1LoadExpSaved">cap!$E$1011:$E$1011</definedName>
    <definedName name="capBusAV1RelationshipScore">cap!$E$1595:$E$1595</definedName>
    <definedName name="capBusAV1Y1RevFromPullThru">cap!$E$13:$E$13</definedName>
    <definedName name="capBusAV1Y2RevFromPullThru">cap!$E$17:$E$17</definedName>
    <definedName name="capBusAV1Y3RevFromPullThru">cap!$E$21:$E$21</definedName>
    <definedName name="capBusAV2BusDevWAvgSalesOutput">cap!$E$1583:$E$1583</definedName>
    <definedName name="capBusAV2BusDevWAvgSalesOutputRank">cap!$E$1584:$E$1584</definedName>
    <definedName name="capBusAV2CostOfQualityIncrease">cap!$E$1019:$E$1019</definedName>
    <definedName name="capBusAV2Emp1CompDevTtlHrReq">cap!$E$313:$E$313</definedName>
    <definedName name="capBusAV2Emp2CompDevTtlHrReq">cap!$E$314:$E$314</definedName>
    <definedName name="capBusAV2Emp3CompDevTtlHrReq">cap!$E$315:$E$315</definedName>
    <definedName name="capBusAV2Emp4CompDevTtlHrReq">cap!$E$316:$E$316</definedName>
    <definedName name="capBusAV2Emp7CompDevTtlHrReq">cap!$E$317:$E$317</definedName>
    <definedName name="capBusAV2Emp8CompDevTtlHrReq">cap!$E$318:$E$318</definedName>
    <definedName name="capBusAV2Emp9CompDevTtlHrReq">cap!$E$319:$E$319</definedName>
    <definedName name="capBusAV2ForecastRev">cap!$E$69:$E$69</definedName>
    <definedName name="capBusAV2H1Y1RevFromPullThru">cap!$E$27:$E$27</definedName>
    <definedName name="capBusAV2H1Y2RevFromPullThru">cap!$E$31:$E$31</definedName>
    <definedName name="capBusAV2H1Y3RevFromPullThru">cap!$E$35:$E$35</definedName>
    <definedName name="capBusAV2H2Y1RevFromPullThru">cap!$E$28:$E$28</definedName>
    <definedName name="capBusAV2H2Y2RevFromPullThru">cap!$E$32:$E$32</definedName>
    <definedName name="capBusAV2H2Y3RevFromPullThru">cap!$E$36:$E$36</definedName>
    <definedName name="capBusAV2H3Y1RevFromPullThru">cap!$E$29:$E$29</definedName>
    <definedName name="capBusAV2H3Y2RevFromPullThru">cap!$E$33:$E$33</definedName>
    <definedName name="capBusAV2H3Y3RevFromPullThru">cap!$E$37:$E$37</definedName>
    <definedName name="capBusAV2LoadExpSaved">cap!$E$1012:$E$1012</definedName>
    <definedName name="capBusAV2RelationshipScore">cap!$E$1596:$E$1596</definedName>
    <definedName name="capBusAV2Y1RevFromPullThru">cap!$E$26:$E$26</definedName>
    <definedName name="capBusAV2Y2RevFromPullThru">cap!$E$30:$E$30</definedName>
    <definedName name="capBusAV2Y3RevFromPullThru">cap!$E$34:$E$34</definedName>
    <definedName name="capBusAV3BusDevWAvgSalesOutput">cap!$E$1592:$E$1592</definedName>
    <definedName name="capBusAV3BusDevWAvgSalesOutputRank">cap!$E$1593:$E$1593</definedName>
    <definedName name="capBusAV3CostOfQualityIncrease">cap!$E$1020:$E$1020</definedName>
    <definedName name="capBusAV3Emp1CompDevTtlHrReq">cap!$E$321:$E$321</definedName>
    <definedName name="capBusAV3Emp2CompDevTtlHrReq">cap!$E$322:$E$322</definedName>
    <definedName name="capBusAV3Emp3CompDevTtlHrReq">cap!$E$323:$E$323</definedName>
    <definedName name="capBusAV3Emp4CompDevTtlHrReq">cap!$E$324:$E$324</definedName>
    <definedName name="capBusAV3Emp7CompDevTtlHrReq">cap!$E$325:$E$325</definedName>
    <definedName name="capBusAV3Emp8CompDevTtlHrReq">cap!$E$326:$E$326</definedName>
    <definedName name="capBusAV3Emp9CompDevTtlHrReq">cap!$E$327:$E$327</definedName>
    <definedName name="capBusAV3ForecastRev">cap!$E$70:$E$70</definedName>
    <definedName name="capBusAV3H1Y1RevFromPullThru">cap!$E$40:$E$40</definedName>
    <definedName name="capBusAV3H1Y2RevFromPullThru">cap!$E$44:$E$44</definedName>
    <definedName name="capBusAV3H1Y3RevFromPullThru">cap!$E$48:$E$48</definedName>
    <definedName name="capBusAV3H2Y1RevFromPullThru">cap!$E$41:$E$41</definedName>
    <definedName name="capBusAV3H2Y2RevFromPullThru">cap!$E$45:$E$45</definedName>
    <definedName name="capBusAV3H2Y3RevFromPullThru">cap!$E$49:$E$49</definedName>
    <definedName name="capBusAV3H3Y1RevFromPullThru">cap!$E$42:$E$42</definedName>
    <definedName name="capBusAV3H3Y2RevFromPullThru">cap!$E$46:$E$46</definedName>
    <definedName name="capBusAV3H3Y3RevFromPullThru">cap!$E$50:$E$50</definedName>
    <definedName name="capBusAV3LoadExpSaved">cap!$E$1013:$E$1013</definedName>
    <definedName name="capBusAV3RelationshipScore">cap!$E$1597:$E$1597</definedName>
    <definedName name="capBusAV3Y1RevFromPullThru">cap!$E$39:$E$39</definedName>
    <definedName name="capBusAV3Y2RevFromPullThru">cap!$E$43:$E$43</definedName>
    <definedName name="capBusAV3Y3RevFromPullThru">cap!$E$47:$E$47</definedName>
    <definedName name="capBusBBusDevNonPayrollBud">cap!$E$1876:$E$1876</definedName>
    <definedName name="capBusBEmp1Att">cap!$E$441:$E$441</definedName>
    <definedName name="capBusBEmp1BaseExp">cap!$E$454:$E$454</definedName>
    <definedName name="capBusBEmp1CompDevTtlHrReq">cap!$E$365:$E$365</definedName>
    <definedName name="capBusBEmp1End">cap!$E$445:$E$445</definedName>
    <definedName name="capBusBEmp1EndHrsAvailable">cap!$E$446:$E$446</definedName>
    <definedName name="capBusBEmp1Req">cap!$E$449:$E$449</definedName>
    <definedName name="capBusBEmp1Utiliz">cap!$E$452:$E$452</definedName>
    <definedName name="capBusBEmp2Att">cap!$E$514:$E$514</definedName>
    <definedName name="capBusBEmp2BaseExp">cap!$E$529:$E$529</definedName>
    <definedName name="capBusBEmp2CompDevTtlHrReq">cap!$E$366:$E$366</definedName>
    <definedName name="capBusBEmp2End">cap!$E$518:$E$518</definedName>
    <definedName name="capBusBEmp2EndHrsAvailable">cap!$E$519:$E$519</definedName>
    <definedName name="capBusBEmp2Req">cap!$E$522:$E$522</definedName>
    <definedName name="capBusBEmp2Utiliz">cap!$E$525:$E$525</definedName>
    <definedName name="capBusBEmp3Att">cap!$E$596:$E$596</definedName>
    <definedName name="capBusBEmp3BaseExp">cap!$E$609:$E$609</definedName>
    <definedName name="capBusBEmp3CompDevTtlHrReq">cap!$E$367:$E$367</definedName>
    <definedName name="capBusBEmp3End">cap!$E$600:$E$600</definedName>
    <definedName name="capBusBEmp3EndHrsAvailable">cap!$E$601:$E$601</definedName>
    <definedName name="capBusBEmp3Req">cap!$E$604:$E$604</definedName>
    <definedName name="capBusBEmp3Utiliz">cap!$E$607:$E$607</definedName>
    <definedName name="capBusBEmp4Att">cap!$E$676:$E$676</definedName>
    <definedName name="capBusBEmp4BaseExp">cap!$E$689:$E$689</definedName>
    <definedName name="capBusBEmp4CompDevTtlHrReq">cap!$E$368:$E$368</definedName>
    <definedName name="capBusBEmp4End">cap!$E$680:$E$680</definedName>
    <definedName name="capBusBEmp4EndHrsAvailable">cap!$E$681:$E$681</definedName>
    <definedName name="capBusBEmp4Req">cap!$E$684:$E$684</definedName>
    <definedName name="capBusBEmp4Utiliz">cap!$E$687:$E$687</definedName>
    <definedName name="capBusBForecastRevBid1">cap!$E$57:$E$57</definedName>
    <definedName name="capBusBForecastRevBid2">cap!$E$58:$E$58</definedName>
    <definedName name="capBusBForecastRevBid3">cap!$E$59:$E$59</definedName>
    <definedName name="capBusBForecastRevBid4">cap!$E$60:$E$60</definedName>
    <definedName name="capBusBForecastRevBid5">cap!$E$61:$E$61</definedName>
    <definedName name="capBusBForecastRevBid6">cap!$E$62:$E$62</definedName>
    <definedName name="capBusBForecastRevBid7">cap!$E$63:$E$63</definedName>
    <definedName name="capBusBForecastRevBid8">cap!$E$64:$E$64</definedName>
    <definedName name="capBusBForecastRevBid9">cap!$E$65:$E$65</definedName>
    <definedName name="capBusBGenOpsPctCostReduce">cap!$E$992:$E$992</definedName>
    <definedName name="capBusBOverallConsUtil">cap!$E$947:$E$947</definedName>
    <definedName name="capBusBOverallSolnWFUtil">cap!$E$948:$E$948</definedName>
    <definedName name="capBusBQualityCostAdj">cap!$E$979:$E$979</definedName>
    <definedName name="capBusBTotalForecastRev">cap!$E$66:$E$66</definedName>
    <definedName name="capBusBTotalH1Rev">cap!$E$1687:$E$1687</definedName>
    <definedName name="capBusBTotalH2Rev">cap!$E$1688:$E$1688</definedName>
    <definedName name="capBusBTotalH3Rev">cap!$E$1689:$E$1689</definedName>
    <definedName name="capBusBTotalV1Rev">cap!$E$1683:$E$1683</definedName>
    <definedName name="capBusBTotalV2Rev">cap!$E$1684:$E$1684</definedName>
    <definedName name="capBusBTotalV3Rev">cap!$E$1685:$E$1685</definedName>
    <definedName name="capBusBV1CompDevExpAllocPct">cap!$E$342:$E$342</definedName>
    <definedName name="capBusBV1Emp1CompDevTtlHrReq">cap!$E$346:$E$346</definedName>
    <definedName name="capBusBV1Emp2CompDevTtlHrReq">cap!$E$347:$E$347</definedName>
    <definedName name="capBusBV1Emp3CompDevTtlHrReq">cap!$E$348:$E$348</definedName>
    <definedName name="capBusBV1Emp4CompDevTtlHrReq">cap!$E$349:$E$349</definedName>
    <definedName name="capBusBV1H1BusDevWAvgSalesOutput">cap!$E$1608:$E$1608</definedName>
    <definedName name="capBusBV1H1BusDevWAvgSalesOutputRank">cap!$E$1609:$E$1609</definedName>
    <definedName name="capBusBV1H2BusDevWAvgSalesOutput">cap!$E$1617:$E$1617</definedName>
    <definedName name="capBusBV1H2BusDevWAvgSalesOutputRank">cap!$E$1618:$E$1618</definedName>
    <definedName name="capBusBV1H3BusDevWAvgSalesOutput">cap!$E$1626:$E$1626</definedName>
    <definedName name="capBusBV1H3BusDevWAvgSalesOutputRank">cap!$E$1627:$E$1627</definedName>
    <definedName name="capBusBV2CompDevExpAllocPct">cap!$E$343:$E$343</definedName>
    <definedName name="capBusBV2Emp1CompDevTtlHrReq">cap!$E$352:$E$352</definedName>
    <definedName name="capBusBV2Emp2CompDevTtlHrReq">cap!$E$353:$E$353</definedName>
    <definedName name="capBusBV2Emp3CompDevTtlHrReq">cap!$E$354:$E$354</definedName>
    <definedName name="capBusBV2Emp4CompDevTtlHrReq">cap!$E$355:$E$355</definedName>
    <definedName name="capBusBV2H1BusDevWAvgSalesOutput">cap!$E$1635:$E$1635</definedName>
    <definedName name="capBusBV2H1BusDevWAvgSalesOutputRank">cap!$E$1636:$E$1636</definedName>
    <definedName name="capBusBV2H2BusDevWAvgSalesOutput">cap!$E$1644:$E$1644</definedName>
    <definedName name="capBusBV2H2BusDevWAvgSalesOutputRank">cap!$E$1645:$E$1645</definedName>
    <definedName name="capBusBV2H3BusDevWAvgSalesOutput">cap!$E$1653:$E$1653</definedName>
    <definedName name="capBusBV2H3BusDevWAvgSalesOutputRank">cap!$E$1654:$E$1654</definedName>
    <definedName name="capBusBV3CompDevExpAllocPct">cap!$E$344:$E$344</definedName>
    <definedName name="capBusBV3Emp1CompDevTtlHrReq">cap!$E$358:$E$358</definedName>
    <definedName name="capBusBV3Emp2CompDevTtlHrReq">cap!$E$359:$E$359</definedName>
    <definedName name="capBusBV3Emp3CompDevTtlHrReq">cap!$E$360:$E$360</definedName>
    <definedName name="capBusBV3Emp4CompDevTtlHrReq">cap!$E$361:$E$361</definedName>
    <definedName name="capBusBV3H1BusDevWAvgSalesOutput">cap!$E$1662:$E$1662</definedName>
    <definedName name="capBusBV3H1BusDevWAvgSalesOutputRank">cap!$E$1663:$E$1663</definedName>
    <definedName name="capBusBV3H2BusDevWAvgSalesOutput">cap!$E$1671:$E$1671</definedName>
    <definedName name="capBusBV3H2BusDevWAvgSalesOutputRank">cap!$E$1672:$E$1672</definedName>
    <definedName name="capBusBV3H3BusDevWAvgSalesOutput">cap!$E$1680:$E$1680</definedName>
    <definedName name="capBusBV3H3BusDevWAvgSalesOutputRank">cap!$E$1681:$E$1681</definedName>
    <definedName name="capBusBY1OpsSavings">cap!$E$1281:$E$1281</definedName>
    <definedName name="capBusBY1V1H1OpsSavings">cap!$E$1272:$E$1272</definedName>
    <definedName name="capBusBY1V1H2OpsSavings">cap!$E$1273:$E$1273</definedName>
    <definedName name="capBusBY1V1H3OpsSavings">cap!$E$1274:$E$1274</definedName>
    <definedName name="capBusBY1V1OpsSavings">cap!$E$1282:$E$1282</definedName>
    <definedName name="capBusBY1V2H1OpsSavings">cap!$E$1275:$E$1275</definedName>
    <definedName name="capBusBY1V2H2OpsSavings">cap!$E$1276:$E$1276</definedName>
    <definedName name="capBusBY1V2H3OpsSavings">cap!$E$1277:$E$1277</definedName>
    <definedName name="capBusBY1V2OpsSavings">cap!$E$1283:$E$1283</definedName>
    <definedName name="capBusBY1V3H1OpsSavings">cap!$E$1278:$E$1278</definedName>
    <definedName name="capBusBY1V3H2OpsSavings">cap!$E$1279:$E$1279</definedName>
    <definedName name="capBusBY1V3H3OpsSavings">cap!$E$1280:$E$1280</definedName>
    <definedName name="capBusBY1V3OpsSavings">cap!$E$1284:$E$1284</definedName>
    <definedName name="capBusBY2OpsSavings">cap!$E$1296:$E$1296</definedName>
    <definedName name="capBusBY2V1H1OpsSavings">cap!$E$1287:$E$1287</definedName>
    <definedName name="capBusBY2V1H2OpsSavings">cap!$E$1288:$E$1288</definedName>
    <definedName name="capBusBY2V1H3OpsSavings">cap!$E$1289:$E$1289</definedName>
    <definedName name="capBusBY2V1OpsSavings">cap!$E$1297:$E$1297</definedName>
    <definedName name="capBusBY2V2H1OpsSavings">cap!$E$1290:$E$1290</definedName>
    <definedName name="capBusBY2V2H2OpsSavings">cap!$E$1291:$E$1291</definedName>
    <definedName name="capBusBY2V2H3OpsSavings">cap!$E$1292:$E$1292</definedName>
    <definedName name="capBusBY2V2OpsSavings">cap!$E$1298:$E$1298</definedName>
    <definedName name="capBusBY2V3H1OpsSavings">cap!$E$1293:$E$1293</definedName>
    <definedName name="capBusBY2V3H2OpsSavings">cap!$E$1294:$E$1294</definedName>
    <definedName name="capBusBY2V3H3OpsSavings">cap!$E$1295:$E$1295</definedName>
    <definedName name="capBusBY2V3OpsSavings">cap!$E$1299:$E$1299</definedName>
    <definedName name="capBusBY3OpsSavings">cap!$E$1311:$E$1311</definedName>
    <definedName name="capBusBY3V1H1OpsSavings">cap!$E$1302:$E$1302</definedName>
    <definedName name="capBusBY3V1H2OpsSavings">cap!$E$1303:$E$1303</definedName>
    <definedName name="capBusBY3V1H3OpsSavings">cap!$E$1304:$E$1304</definedName>
    <definedName name="capBusBY3V1OpsSavings">cap!$E$1312:$E$1312</definedName>
    <definedName name="capBusBY3V2H1OpsSavings">cap!$E$1305:$E$1305</definedName>
    <definedName name="capBusBY3V2H2OpsSavings">cap!$E$1306:$E$1306</definedName>
    <definedName name="capBusBY3V2H3OpsSavings">cap!$E$1307:$E$1307</definedName>
    <definedName name="capBusBY3V2OpsSavings">cap!$E$1313:$E$1313</definedName>
    <definedName name="capBusBY3V3H1OpsSavings">cap!$E$1308:$E$1308</definedName>
    <definedName name="capBusBY3V3H2OpsSavings">cap!$E$1309:$E$1309</definedName>
    <definedName name="capBusBY3V3H3OpsSavings">cap!$E$1310:$E$1310</definedName>
    <definedName name="capBusBY3V3OpsSavings">cap!$E$1314:$E$1314</definedName>
    <definedName name="capCSATEnd">cap!$E$427:$E$427</definedName>
    <definedName name="capEmp1AdminExp">cap!$E$465:$E$465</definedName>
    <definedName name="capEmp1Att">cap!$E$439:$E$439</definedName>
    <definedName name="capEmp1BusAAdminExp">cap!$E$463:$E$463</definedName>
    <definedName name="capEmp1BusACompDevAlloc">cap!$E$473:$E$473</definedName>
    <definedName name="capEmp1BusACompDevExp">cap!$E$493:$E$493</definedName>
    <definedName name="capEmp1BusAGeneralTrainingAlloc">cap!$E$474:$E$474</definedName>
    <definedName name="capEmp1BusAGeneralTrainingExp">cap!$E$494:$E$494</definedName>
    <definedName name="capEmp1BusAGeneralTrainingHrs">cap!$E$263:$E$263</definedName>
    <definedName name="capEmp1BusAInitHrsAlloc">cap!$E$475:$E$475</definedName>
    <definedName name="capEmp1BusAInitHrsExp">cap!$E$495:$E$495</definedName>
    <definedName name="capEmp1BusANonBillAlloc">cap!$E$476:$E$476</definedName>
    <definedName name="capEmp1BusANonBillExp">cap!$E$496:$E$496</definedName>
    <definedName name="capEmp1BusARecDismExp">cap!$E$459:$E$459</definedName>
    <definedName name="capEmp1BusAV1Alloc">cap!$E$467:$E$467</definedName>
    <definedName name="capEmp1BusAV1AllocSalesV1">cap!$E$470:$E$470</definedName>
    <definedName name="capEmp1BusAV1AllocSalesV2">cap!$E$471:$E$471</definedName>
    <definedName name="capEmp1BusAV1AllocSalesV3">cap!$E$472:$E$472</definedName>
    <definedName name="capEmp1BusAV1Exp">cap!$E$487:$E$487</definedName>
    <definedName name="capEmp1BusAV1SalesExp">cap!$E$490:$E$490</definedName>
    <definedName name="capEmp1BusAV2Alloc">cap!$E$468:$E$468</definedName>
    <definedName name="capEmp1BusAV2Exp">cap!$E$488:$E$488</definedName>
    <definedName name="capEmp1BusAV2SalesExp">cap!$E$491:$E$491</definedName>
    <definedName name="capEmp1BusAV3Alloc">cap!$E$469:$E$469</definedName>
    <definedName name="capEmp1BusAV3Exp">cap!$E$489:$E$489</definedName>
    <definedName name="capEmp1BusAV3SalesExp">cap!$E$492:$E$492</definedName>
    <definedName name="capEmp1BusBAdminExp">cap!$E$464:$E$464</definedName>
    <definedName name="capEmp1BusBCompDevAlloc">cap!$E$479:$E$479</definedName>
    <definedName name="capEmp1BusBCompDevAllocExp">cap!$E$499:$E$499</definedName>
    <definedName name="capEmp1BusBGeneralTrainingAlloc">cap!$E$480:$E$480</definedName>
    <definedName name="capEmp1BusBGeneralTrainingAllocExp">cap!$E$500:$E$500</definedName>
    <definedName name="capEmp1BusBGeneralTrainingHrs">cap!$E$264:$E$264</definedName>
    <definedName name="capEmp1BusBInitHrsAlloc">cap!$E$481:$E$481</definedName>
    <definedName name="capEmp1BusBInitHrsExp">cap!$E$501:$E$501</definedName>
    <definedName name="capEmp1BusBNonBillAlloc">cap!$E$482:$E$482</definedName>
    <definedName name="capEmp1BusBNonBillExp">cap!$E$502:$E$502</definedName>
    <definedName name="capEmp1BusBOpsImprovement">cap!$E$478:$E$478</definedName>
    <definedName name="capEmp1BusBOpsImprovementExp">cap!$E$498:$E$498</definedName>
    <definedName name="capEmp1BusBRecDismExp">cap!$E$460:$E$460</definedName>
    <definedName name="capEmp1Change">cap!$E$1883:$E$1883</definedName>
    <definedName name="capEmp1Exp">cap!$E$456:$E$456</definedName>
    <definedName name="capEmp1GeneralTrainingHrsAvailNextYr">cap!$E$287:$E$287</definedName>
    <definedName name="capEmp1RecDismExp">cap!$E$461:$E$461</definedName>
    <definedName name="capEmp1Req">cap!$E$447:$E$447</definedName>
    <definedName name="capEmp1Salary">cap!$E$1895:$E$1895</definedName>
    <definedName name="capEmp1TotalDismiss">cap!$E$1889:$E$1889</definedName>
    <definedName name="capEmp1Utiliz">cap!$E$450:$E$450</definedName>
    <definedName name="capEmp2AdminExp">cap!$E$540:$E$540</definedName>
    <definedName name="capEmp2BusAAdminExp">cap!$E$538:$E$538</definedName>
    <definedName name="capEmp2BusACompDevAlloc">cap!$E$549:$E$549</definedName>
    <definedName name="capEmp2BusACompDevExp">cap!$E$572:$E$572</definedName>
    <definedName name="capEmp2BusAGeneralTrainingAlloc">cap!$E$550:$E$550</definedName>
    <definedName name="capEmp2BusAGeneralTrainingExp">cap!$E$573:$E$573</definedName>
    <definedName name="capEmp2BusAGeneralTrainingHrs">cap!$E$266:$E$266</definedName>
    <definedName name="capEmp2BusAInitHrsAlloc">cap!$E$551:$E$551</definedName>
    <definedName name="capEmp2BusAInitHrsExp">cap!$E$574:$E$574</definedName>
    <definedName name="capEmp2BusANonBillAlloc">cap!$E$552:$E$552</definedName>
    <definedName name="capEmp2BusANonBillExp">cap!$E$575:$E$575</definedName>
    <definedName name="capEmp2BusARecDismExp">cap!$E$534:$E$534</definedName>
    <definedName name="capEmp2BusAV1Alloc">cap!$E$543:$E$543</definedName>
    <definedName name="capEmp2BusAV1AllocSalesV1">cap!$E$546:$E$546</definedName>
    <definedName name="capEmp2BusAV1AllocSalesV2">cap!$E$547:$E$547</definedName>
    <definedName name="capEmp2BusAV1AllocSalesV3">cap!$E$548:$E$548</definedName>
    <definedName name="capEmp2BusAV1Exp">cap!$E$566:$E$566</definedName>
    <definedName name="capEmp2BusAV1SalesExp">cap!$E$569:$E$569</definedName>
    <definedName name="capEmp2BusAV2Alloc">cap!$E$544:$E$544</definedName>
    <definedName name="capEmp2BusAV2Exp">cap!$E$567:$E$567</definedName>
    <definedName name="capEmp2BusAV2SalesExp">cap!$E$570:$E$570</definedName>
    <definedName name="capEmp2BusAV3Alloc">cap!$E$545:$E$545</definedName>
    <definedName name="capEmp2BusAV3Exp">cap!$E$568:$E$568</definedName>
    <definedName name="capEmp2BusAV3SalesExp">cap!$E$571:$E$571</definedName>
    <definedName name="capEmp2BusBAdminExp">cap!$E$539:$E$539</definedName>
    <definedName name="capEmp2BusBCompDevAlloc">cap!$E$558:$E$558</definedName>
    <definedName name="capEmp2BusBCompDevAllocExp">cap!$E$581:$E$581</definedName>
    <definedName name="capEmp2BusBGeneralTrainingAlloc">cap!$E$559:$E$559</definedName>
    <definedName name="capEmp2BusBGeneralTrainingAllocExp">cap!$E$582:$E$582</definedName>
    <definedName name="capEmp2BusBGeneralTrainingHrs">cap!$E$267:$E$267</definedName>
    <definedName name="capEmp2BusBInitHrsAlloc">cap!$E$560:$E$560</definedName>
    <definedName name="capEmp2BusBInitHrsExp">cap!$E$583:$E$583</definedName>
    <definedName name="capEmp2BusBNonBillAlloc">cap!$E$561:$E$561</definedName>
    <definedName name="capEmp2BusBNonBillExp">cap!$E$584:$E$584</definedName>
    <definedName name="capEmp2BusBOpsImprovement">cap!$E$557:$E$557</definedName>
    <definedName name="capEmp2BusBOpsImprovementExp">cap!$E$580:$E$580</definedName>
    <definedName name="capEmp2BusBRecDismExp">cap!$E$535:$E$535</definedName>
    <definedName name="capEmp2BusBV1Alloc">cap!$E$554:$E$554</definedName>
    <definedName name="capEmp2BusBV1Exp">cap!$E$577:$E$577</definedName>
    <definedName name="capEmp2BusBV2Alloc">cap!$E$555:$E$555</definedName>
    <definedName name="capEmp2BusBV2Exp">cap!$E$578:$E$578</definedName>
    <definedName name="capEmp2BusBV3Alloc">cap!$E$556:$E$556</definedName>
    <definedName name="capEmp2BusBV3Exp">cap!$E$579:$E$579</definedName>
    <definedName name="capEmp2Change">cap!$E$1882:$E$1882</definedName>
    <definedName name="capEmp2Exp">cap!$E$531:$E$531</definedName>
    <definedName name="capEmp2GeneralTrainingHrsAvailNextYr">cap!$E$283:$E$283</definedName>
    <definedName name="capEmp2RecDismExp">cap!$E$536:$E$536</definedName>
    <definedName name="capEmp2Req">cap!$E$520:$E$520</definedName>
    <definedName name="capEmp2Salary">cap!$E$1894:$E$1894</definedName>
    <definedName name="capEmp2TotalDismiss">cap!$E$1888:$E$1888</definedName>
    <definedName name="capEmp2Utiliz">cap!$E$523:$E$523</definedName>
    <definedName name="capEmp3AdminExp">cap!$E$620:$E$620</definedName>
    <definedName name="capEmp3Att">cap!$E$594:$E$594</definedName>
    <definedName name="capEmp3BusAAdminExp">cap!$E$618:$E$618</definedName>
    <definedName name="capEmp3BusACompDevAlloc">cap!$E$629:$E$629</definedName>
    <definedName name="capEmp3BusACompDevExp">cap!$E$652:$E$652</definedName>
    <definedName name="capEmp3BusAGeneralTrainingAlloc">cap!$E$630:$E$630</definedName>
    <definedName name="capEmp3BusAGeneralTrainingExp">cap!$E$653:$E$653</definedName>
    <definedName name="capEmp3BusAGeneralTrainingHrs">cap!$E$270:$E$270</definedName>
    <definedName name="capEmp3BusAInitHrsAlloc">cap!$E$631:$E$631</definedName>
    <definedName name="capEmp3BusAInitHrsExp">cap!$E$654:$E$654</definedName>
    <definedName name="capEmp3BusANonBillAlloc">cap!$E$632:$E$632</definedName>
    <definedName name="capEmp3BusANonBillExp">cap!$E$655:$E$655</definedName>
    <definedName name="capEmp3BusARecDismExp">cap!$E$614:$E$614</definedName>
    <definedName name="capEmp3BusAV1Alloc">cap!$E$623:$E$623</definedName>
    <definedName name="capEmp3BusAV1AllocSalesV1">cap!$E$626:$E$626</definedName>
    <definedName name="capEmp3BusAV1AllocSalesV2">cap!$E$627:$E$627</definedName>
    <definedName name="capEmp3BusAV1AllocSalesV3">cap!$E$628:$E$628</definedName>
    <definedName name="capEmp3BusAV1Exp">cap!$E$646:$E$646</definedName>
    <definedName name="capEmp3BusAV1SalesExp">cap!$E$649:$E$649</definedName>
    <definedName name="capEmp3BusAV2Alloc">cap!$E$624:$E$624</definedName>
    <definedName name="capEmp3BusAV2Exp">cap!$E$647:$E$647</definedName>
    <definedName name="capEmp3BusAV2SalesExp">cap!$E$650:$E$650</definedName>
    <definedName name="capEmp3BusAV3Alloc">cap!$E$625:$E$625</definedName>
    <definedName name="capEmp3BusAV3Exp">cap!$E$648:$E$648</definedName>
    <definedName name="capEmp3BusAV3SalesExp">cap!$E$651:$E$651</definedName>
    <definedName name="capEmp3BusBAdminExp">cap!$E$619:$E$619</definedName>
    <definedName name="capEmp3BusBCompDevAlloc">cap!$E$638:$E$638</definedName>
    <definedName name="capEmp3BusBCompDevAllocExp">cap!$E$661:$E$661</definedName>
    <definedName name="capEmp3BusBGeneralTrainingAlloc">cap!$E$639:$E$639</definedName>
    <definedName name="capEmp3BusBGeneralTrainingAllocExp">cap!$E$662:$E$662</definedName>
    <definedName name="capEmp3BusBGeneralTrainingHrs">cap!$E$271:$E$271</definedName>
    <definedName name="capEmp3BusBInitHrsAlloc">cap!$E$640:$E$640</definedName>
    <definedName name="capEmp3BusBInitHrsExp">cap!$E$663:$E$663</definedName>
    <definedName name="capEmp3BusBNonBillAlloc">cap!$E$641:$E$641</definedName>
    <definedName name="capEmp3BusBNonBillExp">cap!$E$664:$E$664</definedName>
    <definedName name="capEmp3BusBOpsImprovement">cap!$E$637:$E$637</definedName>
    <definedName name="capEmp3BusBOpsImprovementExp">cap!$E$660:$E$660</definedName>
    <definedName name="capEmp3BusBRecDismExp">cap!$E$615:$E$615</definedName>
    <definedName name="capEmp3BusBV1Alloc">cap!$E$634:$E$634</definedName>
    <definedName name="capEmp3BusBV1Exp">cap!$E$657:$E$657</definedName>
    <definedName name="capEmp3BusBV2Alloc">cap!$E$635:$E$635</definedName>
    <definedName name="capEmp3BusBV2Exp">cap!$E$658:$E$658</definedName>
    <definedName name="capEmp3BusBV3Alloc">cap!$E$636:$E$636</definedName>
    <definedName name="capEmp3BusBV3Exp">cap!$E$659:$E$659</definedName>
    <definedName name="capEmp3Change">cap!$E$1881:$E$1881</definedName>
    <definedName name="capEmp3Exp">cap!$E$611:$E$611</definedName>
    <definedName name="capEmp3GeneralTrainingHrsAvailNextYr">cap!$E$284:$E$284</definedName>
    <definedName name="capEmp3RecDismExp">cap!$E$616:$E$616</definedName>
    <definedName name="capEmp3Req">cap!$E$602:$E$602</definedName>
    <definedName name="capEmp3Salary">cap!$E$1893:$E$1893</definedName>
    <definedName name="capEmp3TotalDismiss">cap!$E$1887:$E$1887</definedName>
    <definedName name="capEmp3Utiliz">cap!$E$605:$E$605</definedName>
    <definedName name="capEmp4AdminExp">cap!$E$700:$E$700</definedName>
    <definedName name="capEmp4Att">cap!$E$674:$E$674</definedName>
    <definedName name="capEmp4BusAAdminExp">cap!$E$698:$E$698</definedName>
    <definedName name="capEmp4BusACompDevAlloc">cap!$E$709:$E$709</definedName>
    <definedName name="capEmp4BusACompDevExp">cap!$E$732:$E$732</definedName>
    <definedName name="capEmp4BusAGeneralTrainingAlloc">cap!$E$710:$E$710</definedName>
    <definedName name="capEmp4BusAGeneralTrainingExp">cap!$E$733:$E$733</definedName>
    <definedName name="capEmp4BusAGeneralTrainingHrs">cap!$E$274:$E$274</definedName>
    <definedName name="capEmp4BusAInitHrsAlloc">cap!$E$711:$E$711</definedName>
    <definedName name="capEmp4BusAInitHrsExp">cap!$E$734:$E$734</definedName>
    <definedName name="capEmp4BusANonBillAlloc">cap!$E$712:$E$712</definedName>
    <definedName name="capEmp4BusANonBillExp">cap!$E$735:$E$735</definedName>
    <definedName name="capEmp4BusARecDismExp">cap!$E$694:$E$694</definedName>
    <definedName name="capEmp4BusAV1Alloc">cap!$E$703:$E$703</definedName>
    <definedName name="capEmp4BusAV1AllocSalesV1">cap!$E$706:$E$706</definedName>
    <definedName name="capEmp4BusAV1AllocSalesV2">cap!$E$707:$E$707</definedName>
    <definedName name="capEmp4BusAV1AllocSalesV3">cap!$E$708:$E$708</definedName>
    <definedName name="capEmp4BusAV1Exp">cap!$E$726:$E$726</definedName>
    <definedName name="capEmp4BusAV1SalesExp">cap!$E$729:$E$729</definedName>
    <definedName name="capEmp4BusAV2Alloc">cap!$E$704:$E$704</definedName>
    <definedName name="capEmp4BusAV2Exp">cap!$E$727:$E$727</definedName>
    <definedName name="capEmp4BusAV2SalesExp">cap!$E$730:$E$730</definedName>
    <definedName name="capEmp4BusAV3Alloc">cap!$E$705:$E$705</definedName>
    <definedName name="capEmp4BusAV3Exp">cap!$E$728:$E$728</definedName>
    <definedName name="capEmp4BusAV3SalesExp">cap!$E$731:$E$731</definedName>
    <definedName name="capEmp4BusBAdminExp">cap!$E$699:$E$699</definedName>
    <definedName name="capEmp4BusBCompDevAlloc">cap!$E$718:$E$718</definedName>
    <definedName name="capEmp4BusBCompDevAllocExp">cap!$E$741:$E$741</definedName>
    <definedName name="capEmp4BusBGeneralTrainingAlloc">cap!$E$719:$E$719</definedName>
    <definedName name="capEmp4BusBGeneralTrainingAllocExp">cap!$E$742:$E$742</definedName>
    <definedName name="capEmp4BusBGeneralTrainingHrs">cap!$E$275:$E$275</definedName>
    <definedName name="capEmp4BusBInitHrsAlloc">cap!$E$720:$E$720</definedName>
    <definedName name="capEmp4BusBInitHrsExp">cap!$E$743:$E$743</definedName>
    <definedName name="capEmp4BusBNonBillAlloc">cap!$E$721:$E$721</definedName>
    <definedName name="capEmp4BusBNonBillExp">cap!$E$744:$E$744</definedName>
    <definedName name="capEmp4BusBOpsImprovement">cap!$E$717:$E$717</definedName>
    <definedName name="capEmp4BusBOpsImprovementExp">cap!$E$740:$E$740</definedName>
    <definedName name="capEmp4BusBRecDismExp">cap!$E$695:$E$695</definedName>
    <definedName name="capEmp4BusBV1Alloc">cap!$E$714:$E$714</definedName>
    <definedName name="capEmp4BusBV1Exp">cap!$E$737:$E$737</definedName>
    <definedName name="capEmp4BusBV2Alloc">cap!$E$715:$E$715</definedName>
    <definedName name="capEmp4BusBV2Exp">cap!$E$738:$E$738</definedName>
    <definedName name="capEmp4BusBV3Alloc">cap!$E$716:$E$716</definedName>
    <definedName name="capEmp4BusBV3Exp">cap!$E$739:$E$739</definedName>
    <definedName name="capEmp4Change">cap!$E$1880:$E$1880</definedName>
    <definedName name="capEmp4Exp">cap!$E$691:$E$691</definedName>
    <definedName name="capEmp4GeneralTrainingHrsAvailNextYr">cap!$E$285:$E$285</definedName>
    <definedName name="capEmp4RecDismExp">cap!$E$696:$E$696</definedName>
    <definedName name="capEmp4Req">cap!$E$682:$E$682</definedName>
    <definedName name="capEmp4Salary">cap!$E$1892:$E$1892</definedName>
    <definedName name="capEmp4TotalDismiss">cap!$E$1886:$E$1886</definedName>
    <definedName name="capEmp4Utiliz">cap!$E$685:$E$685</definedName>
    <definedName name="capEmp6AdminExp">cap!$E$917:$E$917</definedName>
    <definedName name="capEmp6Att">cap!$E$906:$E$906</definedName>
    <definedName name="capEmp6BusBGeneralTrainingHrs">cap!$E$277:$E$277</definedName>
    <definedName name="capEmp6End">cap!$E$907:$E$907</definedName>
    <definedName name="capEmp6ExCapCost">cap!$E$914:$E$914</definedName>
    <definedName name="capEmp6Exp">cap!$E$913:$E$913</definedName>
    <definedName name="capEmp6ForecastUtil">cap!$E$82:$E$82</definedName>
    <definedName name="capEmp6GeneralTrainingHrsAvailNextYr">cap!$E$286:$E$286</definedName>
    <definedName name="capEmp6HrsRequired">cap!$E$908:$E$908</definedName>
    <definedName name="capEmp6OTCost">cap!$E$912:$E$912</definedName>
    <definedName name="capEmp6PctOverUtilized">cap!$E$910:$E$910</definedName>
    <definedName name="capEmp6RecDismExp">cap!$E$916:$E$916</definedName>
    <definedName name="capEmp6TotalForecastHours">cap!$E$79:$E$79</definedName>
    <definedName name="capEmp6Utiliz">cap!$E$909:$E$909</definedName>
    <definedName name="capEmp7AdminExp">cap!$E$770:$E$770</definedName>
    <definedName name="capEmp7Att">cap!$E$752:$E$752</definedName>
    <definedName name="capEmp7BusAAdminExp">cap!$E$769:$E$769</definedName>
    <definedName name="capEmp7BusACompDevAlloc">cap!$E$779:$E$779</definedName>
    <definedName name="capEmp7BusACompDevExp">cap!$E$793:$E$793</definedName>
    <definedName name="capEmp7BusAGeneralTrainingAlloc">cap!$E$780:$E$780</definedName>
    <definedName name="capEmp7BusAGeneralTrainingExp">cap!$E$794:$E$794</definedName>
    <definedName name="capEmp7BusAGeneralTrainingHrs">cap!$E$276:$E$276</definedName>
    <definedName name="capEmp7BusAInitHrsAlloc">cap!$E$781:$E$781</definedName>
    <definedName name="capEmp7BusAInitHrsExp">cap!$E$795:$E$795</definedName>
    <definedName name="capEmp7BusANonBillAlloc">cap!$E$782:$E$782</definedName>
    <definedName name="capEmp7BusANonBillExp">cap!$E$796:$E$796</definedName>
    <definedName name="capEmp7BusARecDismExp">cap!$E$766:$E$766</definedName>
    <definedName name="capEmp7BusAV1Alloc">cap!$E$773:$E$773</definedName>
    <definedName name="capEmp7BusAV1AllocSalesV1">cap!$E$776:$E$776</definedName>
    <definedName name="capEmp7BusAV1AllocSalesV2">cap!$E$777:$E$777</definedName>
    <definedName name="capEmp7BusAV1AllocSalesV3">cap!$E$778:$E$778</definedName>
    <definedName name="capEmp7BusAV1Exp">cap!$E$787:$E$787</definedName>
    <definedName name="capEmp7BusAV1SalesExp">cap!$E$790:$E$790</definedName>
    <definedName name="capEmp7BusAV2Alloc">cap!$E$774:$E$774</definedName>
    <definedName name="capEmp7BusAV2Exp">cap!$E$788:$E$788</definedName>
    <definedName name="capEmp7BusAV2SalesExp">cap!$E$791:$E$791</definedName>
    <definedName name="capEmp7BusAV3Alloc">cap!$E$775:$E$775</definedName>
    <definedName name="capEmp7BusAV3Exp">cap!$E$789:$E$789</definedName>
    <definedName name="capEmp7BusAV3SalesExp">cap!$E$792:$E$792</definedName>
    <definedName name="capEmp7Exp">cap!$E$763:$E$763</definedName>
    <definedName name="capEmp7GeneralTrainingHrsAvailNextYr">cap!$E$287:$E$287</definedName>
    <definedName name="capEmp7RecDismExp">cap!$E$767:$E$767</definedName>
    <definedName name="capEmp7Req">cap!$E$757:$E$757</definedName>
    <definedName name="capEmp7Utiliz">cap!$E$759:$E$759</definedName>
    <definedName name="capEmp8AdminExp">cap!$E$822:$E$822</definedName>
    <definedName name="capEmp8Att">cap!$E$804:$E$804</definedName>
    <definedName name="capEmp8BusAAdminExp">cap!$E$821:$E$821</definedName>
    <definedName name="capEmp8BusACompDevAlloc">cap!$E$831:$E$831</definedName>
    <definedName name="capEmp8BusACompDevExp">cap!$E$845:$E$845</definedName>
    <definedName name="capEmp8BusAGeneralTrainingAlloc">cap!$E$832:$E$832</definedName>
    <definedName name="capEmp8BusAGeneralTrainingExp">cap!$E$846:$E$846</definedName>
    <definedName name="capEmp8BusAGeneralTrainingHrs">cap!$E$272:$E$272</definedName>
    <definedName name="capEmp8BusAInitHrsAlloc">cap!$E$833:$E$833</definedName>
    <definedName name="capEmp8BusAInitHrsExp">cap!$E$847:$E$847</definedName>
    <definedName name="capEmp8BusANonBillAlloc">cap!$E$834:$E$834</definedName>
    <definedName name="capEmp8BusANonBillExp">cap!$E$848:$E$848</definedName>
    <definedName name="capEmp8BusARecDismExp">cap!$E$818:$E$818</definedName>
    <definedName name="capEmp8BusAV1Alloc">cap!$E$825:$E$825</definedName>
    <definedName name="capEmp8BusAV1AllocSalesV1">cap!$E$828:$E$828</definedName>
    <definedName name="capEmp8BusAV1AllocSalesV2">cap!$E$829:$E$829</definedName>
    <definedName name="capEmp8BusAV1AllocSalesV3">cap!$E$830:$E$830</definedName>
    <definedName name="capEmp8BusAV1Exp">cap!$E$839:$E$839</definedName>
    <definedName name="capEmp8BusAV1SalesExp">cap!$E$842:$E$842</definedName>
    <definedName name="capEmp8BusAV2Alloc">cap!$E$826:$E$826</definedName>
    <definedName name="capEmp8BusAV2Exp">cap!$E$840:$E$840</definedName>
    <definedName name="capEmp8BusAV2SalesExp">cap!$E$843:$E$843</definedName>
    <definedName name="capEmp8BusAV3Alloc">cap!$E$827:$E$827</definedName>
    <definedName name="capEmp8BusAV3Exp">cap!$E$841:$E$841</definedName>
    <definedName name="capEmp8BusAV3SalesExp">cap!$E$844:$E$844</definedName>
    <definedName name="capEmp8Exp">cap!$E$815:$E$815</definedName>
    <definedName name="capEmp8GeneralTrainingHrsAvailNextYr">cap!$E$288:$E$288</definedName>
    <definedName name="capEmp8RecDismExp">cap!$E$819:$E$819</definedName>
    <definedName name="capEmp8Req">cap!$E$809:$E$809</definedName>
    <definedName name="capEmp8Utiliz">cap!$E$811:$E$811</definedName>
    <definedName name="capEmp9AdminExp">cap!$E$874:$E$874</definedName>
    <definedName name="capEmp9Att">cap!$E$856:$E$856</definedName>
    <definedName name="capEmp9BusAAdminExp">cap!$E$873:$E$873</definedName>
    <definedName name="capEmp9BusACompDevAlloc">cap!$E$883:$E$883</definedName>
    <definedName name="capEmp9BusACompDevExp">cap!$E$897:$E$897</definedName>
    <definedName name="capEmp9BusAGeneralTrainingAlloc">cap!$E$884:$E$884</definedName>
    <definedName name="capEmp9BusAGeneralTrainingExp">cap!$E$898:$E$898</definedName>
    <definedName name="capEmp9BusAInitHrsAlloc">cap!$E$885:$E$885</definedName>
    <definedName name="capEmp9BusAInitHrsExp">cap!$E$899:$E$899</definedName>
    <definedName name="capEmp9BusANonBillAlloc">cap!$E$886:$E$886</definedName>
    <definedName name="capEmp9BusANonBillExp">cap!$E$900:$E$900</definedName>
    <definedName name="capEmp9BusARecDismExp">cap!$E$870:$E$870</definedName>
    <definedName name="capEmp9BusAV1Alloc">cap!$E$877:$E$877</definedName>
    <definedName name="capEmp9BusAV1AllocSalesV1">cap!$E$880:$E$880</definedName>
    <definedName name="capEmp9BusAV1AllocSalesV2">cap!$E$881:$E$881</definedName>
    <definedName name="capEmp9BusAV1AllocSalesV3">cap!$E$882:$E$882</definedName>
    <definedName name="capEmp9BusAV1Exp">cap!$E$891:$E$891</definedName>
    <definedName name="capEmp9BusAV1SalesExp">cap!$E$894:$E$894</definedName>
    <definedName name="capEmp9BusAV2Alloc">cap!$E$878:$E$878</definedName>
    <definedName name="capEmp9BusAV2Exp">cap!$E$892:$E$892</definedName>
    <definedName name="capEmp9BusAV2SalesExp">cap!$E$895:$E$895</definedName>
    <definedName name="capEmp9BusAV3Alloc">cap!$E$879:$E$879</definedName>
    <definedName name="capEmp9BusAV3Exp">cap!$E$893:$E$893</definedName>
    <definedName name="capEmp9BusAV3SalesExp">cap!$E$896:$E$896</definedName>
    <definedName name="capEmp9Exp">cap!$E$867:$E$867</definedName>
    <definedName name="capEmp9GeneralTrainingHrsAvailNextYr">cap!$E$289:$E$289</definedName>
    <definedName name="capEmp9RecDismExp">cap!$E$871:$E$871</definedName>
    <definedName name="capEmp9Req">cap!$E$861:$E$861</definedName>
    <definedName name="capEmp9Utiliz">cap!$E$863:$E$863</definedName>
    <definedName name="capESATEnd">cap!$E$406:$E$406</definedName>
    <definedName name="capProd1Adv">cap!$E$1897:$E$1897</definedName>
    <definedName name="capProd1V1HrsForecast">cap!$E$90:$E$90</definedName>
    <definedName name="capProd1V2HrsForecast">cap!$E$91:$E$91</definedName>
    <definedName name="capProd1V3HrsForecast">cap!$E$92:$E$92</definedName>
    <definedName name="capRandomVariable1">cap!$E$1771:$E$1771</definedName>
    <definedName name="capRandomVariable2">cap!$E$1781:$E$1781</definedName>
    <definedName name="capRandomVariable3">cap!$E$1791:$E$1791</definedName>
    <definedName name="capSITTestPctResult1">cap!$E$1777</definedName>
    <definedName name="capSITTestPctResult2">cap!$E$1787</definedName>
    <definedName name="capSITTestPctResult3">cap!$E$1797</definedName>
    <definedName name="capSITTestResult1">cap!$E$1774</definedName>
    <definedName name="capSITTestResult2">cap!$E$1784</definedName>
    <definedName name="capSWFTestPctResult1">cap!$E$1775</definedName>
    <definedName name="capSWFTestPctResult2">cap!$E$1785</definedName>
    <definedName name="capSWFTestPctResult3">cap!$E$1795</definedName>
    <definedName name="capSWFTestResult1">cap!$E$1772</definedName>
    <definedName name="capSWFTestResult2">cap!$E$1782</definedName>
    <definedName name="capTLPrac1">cap!$E$1806:$E$1806</definedName>
    <definedName name="capTLPrac2">cap!$E$1813:$E$1813</definedName>
    <definedName name="capTLPrac3">cap!$E$1820:$E$1820</definedName>
    <definedName name="capTotalAttrition">cap!$E$952:$E$952</definedName>
    <definedName name="capTotalForecastRev">cap!$E$73:$E$73</definedName>
    <definedName name="capTotalGeneralTrainingHrs">cap!$E$278:$E$278</definedName>
    <definedName name="capTotalRetention">cap!$E$951:$E$951</definedName>
    <definedName name="capTotalTrainingBudForecast">cap!$E$300:$E$300</definedName>
    <definedName name="capWobblerErrorCheck">cap!$E$1900:$E$1900</definedName>
    <definedName name="capY1V1H1COS">cap!$E$1033:$E$1033</definedName>
    <definedName name="capY1V1H1COSRealized">cap!$E$1327:$E$1327</definedName>
    <definedName name="capY1V1H2COS">cap!$E$1042:$E$1042</definedName>
    <definedName name="capY1V1H2COSRealized">cap!$E$1336:$E$1336</definedName>
    <definedName name="capY1V1H3COS">cap!$E$1051:$E$1051</definedName>
    <definedName name="capY1V1H3COSRealized">cap!$E$1345:$E$1345</definedName>
    <definedName name="capY1V2H1COS">cap!$E$1060:$E$1060</definedName>
    <definedName name="capY1V2H1COSRealized">cap!$E$1354:$E$1354</definedName>
    <definedName name="capY1V2H2COS">cap!$E$1069:$E$1069</definedName>
    <definedName name="capY1V2H2COSRealized">cap!$E$1363:$E$1363</definedName>
    <definedName name="capY1V2H3COS">cap!$E$1078:$E$1078</definedName>
    <definedName name="capY1V2H3COSRealized">cap!$E$1372:$E$1372</definedName>
    <definedName name="capY1V3H1COS">cap!$E$1087:$E$1087</definedName>
    <definedName name="capY1V3H1COSRealized">cap!$E$1381:$E$1381</definedName>
    <definedName name="capY1V3H2COS">cap!$E$1096:$E$1096</definedName>
    <definedName name="capY1V3H2COSRealized">cap!$E$1390:$E$1390</definedName>
    <definedName name="capY1V3H3COS">cap!$E$1105:$E$1105</definedName>
    <definedName name="capY1V3H3COSRealized">cap!$E$1399:$E$1399</definedName>
    <definedName name="capY2V1H1COS">cap!$E$1115:$E$1115</definedName>
    <definedName name="capY2V1H1COSRealized">cap!$E$1409:$E$1409</definedName>
    <definedName name="capY2V1H2COS">cap!$E$1124:$E$1124</definedName>
    <definedName name="capY2V1H2COSRealized">cap!$E$1418:$E$1418</definedName>
    <definedName name="capY2V1H3COS">cap!$E$1133:$E$1133</definedName>
    <definedName name="capY2V1H3COSRealized">cap!$E$1427:$E$1427</definedName>
    <definedName name="capY2V2H1COS">cap!$E$1142:$E$1142</definedName>
    <definedName name="capY2V2H1COSRealized">cap!$E$1436:$E$1436</definedName>
    <definedName name="capY2V2H2COS">cap!$E$1151:$E$1151</definedName>
    <definedName name="capY2V2H2COSRealized">cap!$E$1445:$E$1445</definedName>
    <definedName name="capY2V2H3COS">cap!$E$1160:$E$1160</definedName>
    <definedName name="capY2V2H3COSRealized">cap!$E$1454:$E$1454</definedName>
    <definedName name="capY2V3H1COS">cap!$E$1169:$E$1169</definedName>
    <definedName name="capY2V3H1COSRealized">cap!$E$1463:$E$1463</definedName>
    <definedName name="capY2V3H2COS">cap!$E$1178:$E$1178</definedName>
    <definedName name="capY2V3H2COSRealized">cap!$E$1472:$E$1472</definedName>
    <definedName name="capY2V3H3COS">cap!$E$1187:$E$1187</definedName>
    <definedName name="capY2V3H3COSRealized">cap!$E$1481:$E$1481</definedName>
    <definedName name="capY3V1H1COS">cap!$E$1197:$E$1197</definedName>
    <definedName name="capY3V1H1COSRealized">cap!$E$1491:$E$1491</definedName>
    <definedName name="capY3V1H2COS">cap!$E$1206:$E$1206</definedName>
    <definedName name="capY3V1H2COSRealized">cap!$E$1500:$E$1500</definedName>
    <definedName name="capY3V1H3COS">cap!$E$1215:$E$1215</definedName>
    <definedName name="capY3V1H3COSRealized">cap!$E$1509:$E$1509</definedName>
    <definedName name="capY3V2H1COS">cap!$E$1224:$E$1224</definedName>
    <definedName name="capY3V2H1COSRealized">cap!$E$1518:$E$1518</definedName>
    <definedName name="capY3V2H2COS">cap!$E$1233:$E$1233</definedName>
    <definedName name="capY3V2H2COSRealized">cap!$E$1527:$E$1527</definedName>
    <definedName name="capY3V2H3COS">cap!$E$1242:$E$1242</definedName>
    <definedName name="capY3V2H3COSRealized">cap!$E$1536:$E$1536</definedName>
    <definedName name="capY3V3H1COS">cap!$E$1251:$E$1251</definedName>
    <definedName name="capY3V3H1COSRealized">cap!$E$1545:$E$1545</definedName>
    <definedName name="capY3V3H2COS">cap!$E$1260:$E$1260</definedName>
    <definedName name="capY3V3H2COSRealized">cap!$E$1554:$E$1554</definedName>
    <definedName name="capY3V3H3COS">cap!$E$1269:$E$1269</definedName>
    <definedName name="capY3V3H3COSRealized">cap!$E$1563:$E$1563</definedName>
    <definedName name="cbalAPValue">cbal!$E$20:$E$20</definedName>
    <definedName name="cbalARValue">cbal!$E$5:$E$5</definedName>
    <definedName name="cbalAssetsValue">cbal!$E$16:$E$16</definedName>
    <definedName name="cbalAvgTrainingBudgetDelta">cbal!$E$170:$E$170</definedName>
    <definedName name="cbalBookings">cbal!$E$51:$E$51</definedName>
    <definedName name="cbalBusABusDevNonPayroll">cbal!$E$233:$E$233</definedName>
    <definedName name="cbalBusACompDev">cbal!$E$140:$E$140</definedName>
    <definedName name="cbalBusACompDevCurrYrTotal">cbal!$E$144:$E$144</definedName>
    <definedName name="cbalBusACompDevV1">cbal!$E$141:$E$141</definedName>
    <definedName name="cbalBusACompDevV2">cbal!$E$142:$E$142</definedName>
    <definedName name="cbalBusACompDevV3">cbal!$E$143:$E$143</definedName>
    <definedName name="cbalBusAEmp1">cbal!$E$77:$E$77</definedName>
    <definedName name="cbalBusAEmp1IndAvgUtiliz">cbal!$E$114:$E$114</definedName>
    <definedName name="cbalBusAEmp1Recruited">cbal!$E$58:$E$58</definedName>
    <definedName name="cbalBusAEmp1Utiliz">cbal!$E$96:$E$96</definedName>
    <definedName name="cbalBusAEmp2">cbal!$E$80:$E$80</definedName>
    <definedName name="cbalBusAEmp2IndAvgUtiliz">cbal!$E$117:$E$117</definedName>
    <definedName name="cbalBusAEmp2Recruited">cbal!$E$61:$E$61</definedName>
    <definedName name="cbalBusAEmp2Utiliz">cbal!$E$99:$E$99</definedName>
    <definedName name="cbalBusAEmp2UtilizY1">cbal!$E$469:$E$469</definedName>
    <definedName name="cbalBusAEmp2UtilizY2">cbal!$E$470:$E$470</definedName>
    <definedName name="cbalBusAEmp3">cbal!$E$83:$E$83</definedName>
    <definedName name="cbalBusAEmp3IndAvgUtiliz">cbal!$E$120:$E$120</definedName>
    <definedName name="cbalBusAEmp3Recruited">cbal!$E$64:$E$64</definedName>
    <definedName name="cbalBusAEmp3Utiliz">cbal!$E$102:$E$102</definedName>
    <definedName name="cbalBusAEmp3UtilizY1">cbal!$E$467:$E$467</definedName>
    <definedName name="cbalBusAEmp3UtilizY2">cbal!$E$468:$E$468</definedName>
    <definedName name="cbalBusAEmp4">cbal!$E$86:$E$86</definedName>
    <definedName name="cbalBusAEmp4IndAvgUtiliz">cbal!$E$123:$E$123</definedName>
    <definedName name="cbalBusAEmp4Recruited">cbal!$E$67:$E$67</definedName>
    <definedName name="cbalBusAEmp4Utiliz">cbal!$E$105:$E$105</definedName>
    <definedName name="cbalBusAEmp4UtilizY1">cbal!$E$465:$E$465</definedName>
    <definedName name="cbalBusAEmp4UtilizY2">cbal!$E$466:$E$466</definedName>
    <definedName name="cbalBusAEmp7">cbal!$E$88:$E$88</definedName>
    <definedName name="cbalBusAEmp7Recruited">cbal!$E$69:$E$69</definedName>
    <definedName name="cbalBusAEmp7Utiliz">cbal!$E$108:$E$108</definedName>
    <definedName name="cbalBusAEmp8">cbal!$E$89:$E$89</definedName>
    <definedName name="cbalBusAEmp8Recruited">cbal!$E$70:$E$70</definedName>
    <definedName name="cbalBusAEmp8Utiliz">cbal!$E$109:$E$109</definedName>
    <definedName name="cbalBusAEmp9">cbal!$E$90:$E$90</definedName>
    <definedName name="cbalBusAEmp9Recruited">cbal!$E$71:$E$71</definedName>
    <definedName name="cbalBusAEmp9Utiliz">cbal!$E$110:$E$110</definedName>
    <definedName name="cbalBusAEmp9UtilizY1">cbal!$E$471:$E$471</definedName>
    <definedName name="cbalBusAEmp9UtilizY2">cbal!$E$472:$E$472</definedName>
    <definedName name="cbalBusALocalPerCostReduce">cbal!$E$566:$E$566</definedName>
    <definedName name="cbalBusAOverallConsUtil">cbal!$E$128:$E$128</definedName>
    <definedName name="cbalBusAOverallSolnWFUtil">cbal!$E$129:$E$129</definedName>
    <definedName name="cbalBusARevenue">cbal!$E$40:$E$40</definedName>
    <definedName name="cbalBusATLV1">cbal!$E$146:$E$146</definedName>
    <definedName name="cbalBusATLV2">cbal!$E$147:$E$147</definedName>
    <definedName name="cbalBusATLV3">cbal!$E$148:$E$148</definedName>
    <definedName name="cbalBusATotalCurrentRev">cbal!$E$249:$E$249</definedName>
    <definedName name="cbalBusAV1ControllableIncome">cbal!$E$252:$E$252</definedName>
    <definedName name="cbalBusAV1HrsSold">cbal!$E$225:$E$225</definedName>
    <definedName name="cbalBusAV1MktShr">cbal!$E$220:$E$220</definedName>
    <definedName name="cbalBusAV1PricePerHr">cbal!$E$229:$E$229</definedName>
    <definedName name="cbalBusAV1Y1Rev">cbal!$E$238:$E$238</definedName>
    <definedName name="cbalBusAV1Y2Rev">cbal!$E$242:$E$242</definedName>
    <definedName name="cbalBusAV1Y3Rev">cbal!$E$246:$E$246</definedName>
    <definedName name="cbalBusAV2ControllableIncome">cbal!$E$253:$E$253</definedName>
    <definedName name="cbalBusAV2HrsSold">cbal!$E$226:$E$226</definedName>
    <definedName name="cbalBusAV2MktShr">cbal!$E$221:$E$221</definedName>
    <definedName name="cbalBusAV2PricePerHr">cbal!$E$230:$E$230</definedName>
    <definedName name="cbalBusAV2Y1Rev">cbal!$E$239:$E$239</definedName>
    <definedName name="cbalBusAV2Y2Rev">cbal!$E$243:$E$243</definedName>
    <definedName name="cbalBusAV2Y3Rev">cbal!$E$247:$E$247</definedName>
    <definedName name="cbalBusAV3ControllableIncome">cbal!$E$254:$E$254</definedName>
    <definedName name="cbalBusAV3HrsSold">cbal!$E$227:$E$227</definedName>
    <definedName name="cbalBusAV3MktShr">cbal!$E$222:$E$222</definedName>
    <definedName name="cbalBusAV3PricePerHr">cbal!$E$231:$E$231</definedName>
    <definedName name="cbalBusAV3Y1Rev">cbal!$E$240:$E$240</definedName>
    <definedName name="cbalBusAV3Y2Rev">cbal!$E$244:$E$244</definedName>
    <definedName name="cbalBusAV3Y3Rev">cbal!$E$248:$E$248</definedName>
    <definedName name="cbalBusBBusDevNonPayroll">cbal!$E$234:$E$234</definedName>
    <definedName name="cbalBusBCompDev">cbal!$E$207:$E$207</definedName>
    <definedName name="cbalBusBCompDevCurrYrTotal">cbal!$E$197:$E$197</definedName>
    <definedName name="cbalBusBEmp1">cbal!$E$78:$E$78</definedName>
    <definedName name="cbalBusBEmp1IndAvgUtiliz">cbal!$E$115:$E$115</definedName>
    <definedName name="cbalBusBEmp1Recruited">cbal!$E$59:$E$59</definedName>
    <definedName name="cbalBusBEmp1Utiliz">cbal!$E$97:$E$97</definedName>
    <definedName name="cbalBusBEmp2">cbal!$E$81:$E$81</definedName>
    <definedName name="cbalBusBEmp2IndAvgUtiliz">cbal!$E$118:$E$118</definedName>
    <definedName name="cbalBusBEmp2Recruited">cbal!$E$62:$E$62</definedName>
    <definedName name="cbalBusBEmp2Utiliz">cbal!$E$100:$E$100</definedName>
    <definedName name="cbalBusBEmp3">cbal!$E$84:$E$84</definedName>
    <definedName name="cbalBusBEmp3IndAvgUtiliz">cbal!$E$121:$E$121</definedName>
    <definedName name="cbalBusBEmp3Recruited">cbal!$E$65:$E$65</definedName>
    <definedName name="cbalBusBEmp3Utiliz">cbal!$E$103:$E$103</definedName>
    <definedName name="cbalBusBEmp4">cbal!$E$87:$E$87</definedName>
    <definedName name="cbalBusBEmp4IndAvgUtiliz">cbal!$E$124:$E$124</definedName>
    <definedName name="cbalBusBEmp4Recruited">cbal!$E$68:$E$68</definedName>
    <definedName name="cbalBusBEmp4Utiliz">cbal!$E$106:$E$106</definedName>
    <definedName name="cbalBusBGenOpsPctCostReduce">cbal!$E$217:$E$217</definedName>
    <definedName name="cbalBusBOverallConsUtil">cbal!$E$131:$E$131</definedName>
    <definedName name="cbalBusBOverallSolnWFUtil">cbal!$E$132:$E$132</definedName>
    <definedName name="cbalBusBRevenue">cbal!$E$39:$E$39</definedName>
    <definedName name="cbalBusBV1ControllableIncome">cbal!$E$257:$E$257</definedName>
    <definedName name="cbalBusBV2ControllableIncome">cbal!$E$258:$E$258</definedName>
    <definedName name="cbalBusBV3ControllableIncome">cbal!$E$259:$E$259</definedName>
    <definedName name="cbalCashValue">cbal!$E$4:$E$4</definedName>
    <definedName name="cbalConsultingCCIPctRevY1">cbal!$E$417:$E$417</definedName>
    <definedName name="cbalConsultingCCIPctRevY2">cbal!$E$418:$E$418</definedName>
    <definedName name="cbalConsultingCCIPctRevY3">cbal!$E$419:$E$419</definedName>
    <definedName name="cbalConsultingCCIPctRevY4">cbal!$E$420:$E$420</definedName>
    <definedName name="cbalConsultingConsultantUtilY1">cbal!$E$421:$E$421</definedName>
    <definedName name="cbalConsultingConsultantUtilY2">cbal!$E$422:$E$422</definedName>
    <definedName name="cbalConsultingConsultantUtilY3">cbal!$E$423:$E$423</definedName>
    <definedName name="cbalConsultingConsultantUtilY4">cbal!$E$424:$E$424</definedName>
    <definedName name="cbalConsultingRevenueY1">cbal!$E$405:$E$405</definedName>
    <definedName name="cbalConsultingRevenueY2">cbal!$E$406:$E$406</definedName>
    <definedName name="cbalConsultingRevenueY3">cbal!$E$407:$E$407</definedName>
    <definedName name="cbalConsultingRevenueY4">cbal!$E$408:$E$408</definedName>
    <definedName name="cbalConsultingRevPctofTotalRevY1">cbal!$E$413:$E$413</definedName>
    <definedName name="cbalConsultingRevPctofTotalRevY2">cbal!$E$414:$E$414</definedName>
    <definedName name="cbalConsultingRevPctofTotalRevY3">cbal!$E$415:$E$415</definedName>
    <definedName name="cbalConsultingRevPctofTotalRevY4">cbal!$E$416:$E$416</definedName>
    <definedName name="cbalConsultingSalesGrowthY1">cbal!$E$409:$E$409</definedName>
    <definedName name="cbalConsultingSalesGrowthY2">cbal!$E$410:$E$410</definedName>
    <definedName name="cbalConsultingSalesGrowthY3">cbal!$E$411:$E$411</definedName>
    <definedName name="cbalConsultingSalesGrowthY4">cbal!$E$412:$E$412</definedName>
    <definedName name="cbalConsultingSolnWFUtilY1">cbal!$E$425:$E$425</definedName>
    <definedName name="cbalConsultingSolnWFUtilY2">cbal!$E$426:$E$426</definedName>
    <definedName name="cbalConsultingSolnWFUtilY3">cbal!$E$427:$E$427</definedName>
    <definedName name="cbalConsultingSolnWFUtilY4">cbal!$E$428:$E$428</definedName>
    <definedName name="cbalCSAT">cbal!$E$48:$E$48</definedName>
    <definedName name="cbalCSATY1">cbal!$E$463:$E$463</definedName>
    <definedName name="cbalCSATY2">cbal!$E$464:$E$464</definedName>
    <definedName name="cbalCStockPricePShare">cbal!$E$186:$E$186</definedName>
    <definedName name="cbalCStockShares">cbal!$E$187:$E$187</definedName>
    <definedName name="cbalCStockValue">cbal!$E$30:$E$30</definedName>
    <definedName name="cbalCumBalCardPoints">cbal!$E$47:$E$47</definedName>
    <definedName name="cbalDBYr0Bookings">cbal!$E$569:$E$569</definedName>
    <definedName name="cbalDBYr0BookingsCAGR">cbal!$E$570:$E$570</definedName>
    <definedName name="cbalDBYr0BusAEmp1Utiliz">cbal!$E$591:$E$591</definedName>
    <definedName name="cbalDBYr0BusAEmp2Utiliz">cbal!$E$579:$E$579</definedName>
    <definedName name="cbalDBYr0BusAEmp3Utiliz">cbal!$E$578:$E$578</definedName>
    <definedName name="cbalDBYr0BusAEmp4Utiliz">cbal!$E$577:$E$577</definedName>
    <definedName name="cbalDBYr0BusAEmp7Utiliz">cbal!$E$588:$E$588</definedName>
    <definedName name="cbalDBYr0BusAEmp8Utiliz">cbal!$E$589:$E$589</definedName>
    <definedName name="cbalDBYr0BusAEmp9Utiliz">cbal!$E$590:$E$590</definedName>
    <definedName name="cbalDBYr0BusATotalQualityCost">cbal!$E$574:$E$574</definedName>
    <definedName name="cbalDBYr0BusBEmp1Utiliz">cbal!$E$583:$E$583</definedName>
    <definedName name="cbalDBYr0BusBEmp2Utiliz">cbal!$E$582:$E$582</definedName>
    <definedName name="cbalDBYr0BusBEmp3Utiliz">cbal!$E$581:$E$581</definedName>
    <definedName name="cbalDBYr0BusBEmp4Utiliz">cbal!$E$580:$E$580</definedName>
    <definedName name="cbalDBYr0BusBTotalForecastRev">cbal!$E$585:$E$585</definedName>
    <definedName name="cbalDBYr0BusBTotalQualityCost">cbal!$E$584:$E$584</definedName>
    <definedName name="cbalDBYr0CSATEnd">cbal!$E$576:$E$576</definedName>
    <definedName name="cbalDBYr0Emp6Utiliz">cbal!$E$586:$E$586</definedName>
    <definedName name="cbalDBYr0ESATEnd">cbal!$E$575:$E$575</definedName>
    <definedName name="cbalDBYr0GaugeBusAEmp2Utiliz">cbal!$E$594:$E$594</definedName>
    <definedName name="cbalDBYr0GaugeBusAEmp3Utiliz">cbal!$E$593:$E$593</definedName>
    <definedName name="cbalDBYr0GaugeBusAEmp4Utiliz">cbal!$E$592:$E$592</definedName>
    <definedName name="cbalDBYr0GaugeBusAEmp9Utiliz">cbal!$E$595:$E$595</definedName>
    <definedName name="cbalDBYr0GaugeEmp6Utiliz">cbal!$E$596:$E$596</definedName>
    <definedName name="cbalDBYr0GM">cbal!$E$572:$E$572</definedName>
    <definedName name="cbalDBYr0OM">cbal!$E$573:$E$573</definedName>
    <definedName name="cbalDBYr0TotalRev">cbal!$E$571:$E$571</definedName>
    <definedName name="cbalDBYr0TotalTrainingBudForecast">cbal!$E$587:$E$587</definedName>
    <definedName name="cbalDBYr1Bookings">cbal!$E$598:$E$598</definedName>
    <definedName name="cbalDBYr1BookingsCAGR">cbal!$E$599:$E$599</definedName>
    <definedName name="cbalDBYr1BusAEmp1Utiliz">cbal!$E$620:$E$620</definedName>
    <definedName name="cbalDBYr1BusAEmp2Utiliz">cbal!$E$608:$E$608</definedName>
    <definedName name="cbalDBYr1BusAEmp3Utiliz">cbal!$E$607:$E$607</definedName>
    <definedName name="cbalDBYr1BusAEmp4Utiliz">cbal!$E$606:$E$606</definedName>
    <definedName name="cbalDBYr1BusAEmp7Utiliz">cbal!$E$617:$E$617</definedName>
    <definedName name="cbalDBYr1BusAEmp8Utiliz">cbal!$E$618:$E$618</definedName>
    <definedName name="cbalDBYr1BusAEmp9Utiliz">cbal!$E$619:$E$619</definedName>
    <definedName name="cbalDBYr1BusATotalQualityCost">cbal!$E$603:$E$603</definedName>
    <definedName name="cbalDBYr1BusBEmp1Utiliz">cbal!$E$612:$E$612</definedName>
    <definedName name="cbalDBYr1BusBEmp2Utiliz">cbal!$E$611:$E$611</definedName>
    <definedName name="cbalDBYr1BusBEmp3Utiliz">cbal!$E$610:$E$610</definedName>
    <definedName name="cbalDBYr1BusBEmp4Utiliz">cbal!$E$609:$E$609</definedName>
    <definedName name="cbalDBYr1BusBTotalForecastRev">cbal!$E$614:$E$614</definedName>
    <definedName name="cbalDBYr1BusBTotalQualityCost">cbal!$E$613:$E$613</definedName>
    <definedName name="cbalDBYr1CSATEnd">cbal!$E$605:$E$605</definedName>
    <definedName name="cbalDBYr1Emp6Utiliz">cbal!$E$615:$E$615</definedName>
    <definedName name="cbalDBYr1ESATEnd">cbal!$E$604:$E$604</definedName>
    <definedName name="cbalDBYr1GaugeBusAEmp2Utiliz">cbal!$E$623:$E$623</definedName>
    <definedName name="cbalDBYr1GaugeBusAEmp3Utiliz">cbal!$E$622:$E$622</definedName>
    <definedName name="cbalDBYr1GaugeBusAEmp4Utiliz">cbal!$E$621:$E$621</definedName>
    <definedName name="cbalDBYr1GaugeBusAEmp9Utiliz">cbal!$E$624:$E$624</definedName>
    <definedName name="cbalDBYr1GaugeEmp6Utiliz">cbal!$E$625:$E$625</definedName>
    <definedName name="cbalDBYr1GM">cbal!$E$601:$E$601</definedName>
    <definedName name="cbalDBYr1OM">cbal!$E$602:$E$602</definedName>
    <definedName name="cbalDBYr1TotalRev">cbal!$E$600:$E$600</definedName>
    <definedName name="cbalDBYr1TotalTrainingBudForecast">cbal!$E$616:$E$616</definedName>
    <definedName name="cbalDBYr2Bookings">cbal!$E$627:$E$627</definedName>
    <definedName name="cbalDBYr2BookingsCAGR">cbal!$E$628:$E$628</definedName>
    <definedName name="cbalDBYr2BusAEmp1Utiliz">cbal!$E$649:$E$649</definedName>
    <definedName name="cbalDBYr2BusAEmp2Utiliz">cbal!$E$637:$E$637</definedName>
    <definedName name="cbalDBYr2BusAEmp3Utiliz">cbal!$E$636:$E$636</definedName>
    <definedName name="cbalDBYr2BusAEmp4Utiliz">cbal!$E$635:$E$635</definedName>
    <definedName name="cbalDBYr2BusAEmp7Utiliz">cbal!$E$646:$E$646</definedName>
    <definedName name="cbalDBYr2BusAEmp8Utiliz">cbal!$E$647:$E$647</definedName>
    <definedName name="cbalDBYr2BusAEmp9Utiliz">cbal!$E$648:$E$648</definedName>
    <definedName name="cbalDBYr2BusATotalQualityCost">cbal!$E$632:$E$632</definedName>
    <definedName name="cbalDBYr2BusBEmp1Utiliz">cbal!$E$641:$E$641</definedName>
    <definedName name="cbalDBYr2BusBEmp2Utiliz">cbal!$E$640:$E$640</definedName>
    <definedName name="cbalDBYr2BusBEmp3Utiliz">cbal!$E$639:$E$639</definedName>
    <definedName name="cbalDBYr2BusBEmp4Utiliz">cbal!$E$638:$E$638</definedName>
    <definedName name="cbalDBYr2BusBTotalForecastRev">cbal!$E$643:$E$643</definedName>
    <definedName name="cbalDBYr2BusBTotalQualityCost">cbal!$E$642:$E$642</definedName>
    <definedName name="cbalDBYr2CSATEnd">cbal!$E$634:$E$634</definedName>
    <definedName name="cbalDBYr2Emp6Utiliz">cbal!$E$644:$E$644</definedName>
    <definedName name="cbalDBYr2ESATEnd">cbal!$E$633:$E$633</definedName>
    <definedName name="cbalDBYr2GaugeBusAEmp2Utiliz">cbal!$E$652:$E$652</definedName>
    <definedName name="cbalDBYr2GaugeBusAEmp3Utiliz">cbal!$E$651:$E$651</definedName>
    <definedName name="cbalDBYr2GaugeBusAEmp4Utiliz">cbal!$E$650:$E$650</definedName>
    <definedName name="cbalDBYr2GaugeBusAEmp9Utiliz">cbal!$E$653:$E$653</definedName>
    <definedName name="cbalDBYr2GaugeEmp6Utiliz">cbal!$E$654:$E$654</definedName>
    <definedName name="cbalDBYr2GM">cbal!$E$630:$E$630</definedName>
    <definedName name="cbalDBYr2OM">cbal!$E$631:$E$631</definedName>
    <definedName name="cbalDBYr2TotalRev">cbal!$E$629:$E$629</definedName>
    <definedName name="cbalDBYr2TotalTrainingBudForecast">cbal!$E$645:$E$645</definedName>
    <definedName name="cbalEmp1">cbal!$E$76:$E$76</definedName>
    <definedName name="cbalEmp1CumTrainingHrs">cbal!$E$179:$E$179</definedName>
    <definedName name="cbalEmp1GeneralTrainingBudget">cbal!$E$172:$E$172</definedName>
    <definedName name="cbalEmp1GeneralTrainingHrsAvail">cbal!$E$157:$E$157</definedName>
    <definedName name="cbalEmp1GeneralTrainingHrsCompleted">cbal!$E$150:$E$150</definedName>
    <definedName name="cbalEmp1Salary">cbal!$E$134:$E$134</definedName>
    <definedName name="cbalEmp1TrainingBudgetDelta">cbal!$E$165:$E$165</definedName>
    <definedName name="cbalEmp2">cbal!$E$79:$E$79</definedName>
    <definedName name="cbalEmp2CumTrainingHrs">cbal!$E$180:$E$180</definedName>
    <definedName name="cbalEmp2GeneralTrainingBudget">cbal!$E$173:$E$173</definedName>
    <definedName name="cbalEmp2GeneralTrainingHrsAvail">cbal!$E$158:$E$158</definedName>
    <definedName name="cbalEmp2GeneralTrainingHrsCompleted">cbal!$E$151:$E$151</definedName>
    <definedName name="cbalEmp2Salary">cbal!$E$135:$E$135</definedName>
    <definedName name="cbalEmp2TrainingBudgetDelta">cbal!$E$166:$E$166</definedName>
    <definedName name="cbalEmp3">cbal!$E$82:$E$82</definedName>
    <definedName name="cbalEmp3CumTrainingHrs">cbal!$E$181:$E$181</definedName>
    <definedName name="cbalEmp3GeneralTrainingBudget">cbal!$E$174:$E$174</definedName>
    <definedName name="cbalEmp3GeneralTrainingHrsAvail">cbal!$E$159:$E$159</definedName>
    <definedName name="cbalEmp3GeneralTrainingHrsCompleted">cbal!$E$152:$E$152</definedName>
    <definedName name="cbalEmp3Salary">cbal!$E$136:$E$136</definedName>
    <definedName name="cbalEmp3TrainingBudgetDelta">cbal!$E$167:$E$167</definedName>
    <definedName name="cbalEmp4">cbal!$E$85:$E$85</definedName>
    <definedName name="cbalEmp4CumTrainingHrs">cbal!$E$182:$E$182</definedName>
    <definedName name="cbalEmp4GeneralTrainingBudget">cbal!$E$175:$E$175</definedName>
    <definedName name="cbalEmp4GeneralTrainingHrsAvail">cbal!$E$160:$E$160</definedName>
    <definedName name="cbalEmp4GeneralTrainingHrsCompleted">cbal!$E$153:$E$153</definedName>
    <definedName name="cbalEmp4Salary">cbal!$E$137:$E$137</definedName>
    <definedName name="cbalEmp4TrainingBudgetDelta">cbal!$E$168:$E$168</definedName>
    <definedName name="cbalEmp6">cbal!$E$91:$E$91</definedName>
    <definedName name="cbalEmp6CumTrainingHrs">cbal!$E$183:$E$183</definedName>
    <definedName name="cbalEmp6GeneralTrainingBudget">cbal!$E$176:$E$176</definedName>
    <definedName name="cbalEmp6GeneralTrainingHrsAvail">cbal!$E$161:$E$161</definedName>
    <definedName name="cbalEmp6GeneralTrainingHrsCompleted">cbal!$E$154:$E$154</definedName>
    <definedName name="cbalEmp6IndAvgUtiliz">cbal!$E$125:$E$125</definedName>
    <definedName name="cbalEmp6Recruited">cbal!$E$72:$E$72</definedName>
    <definedName name="cbalEmp6TrainingBudgetDelta">cbal!$E$169:$E$169</definedName>
    <definedName name="cbalEmp6Utiliz">cbal!$E$107:$E$107</definedName>
    <definedName name="cbalEmp7Recruited">cbal!$E$69:$E$69</definedName>
    <definedName name="cbalEmp8Recruited">cbal!$E$70:$E$70</definedName>
    <definedName name="cbalEmp9Recruited">cbal!$E$71:$E$71</definedName>
    <definedName name="cbalEmpEngagementY1">cbal!$E$393:$E$393</definedName>
    <definedName name="cbalEmpEngagementY2">cbal!$E$394:$E$394</definedName>
    <definedName name="cbalEmpEngagementY3">cbal!$E$395:$E$395</definedName>
    <definedName name="cbalEmpEngagementY4">cbal!$E$396:$E$396</definedName>
    <definedName name="cbalEnterpriseWFUtilizationY1">cbal!$E$449:$E$449</definedName>
    <definedName name="cbalEnterpriseWFUtilizationY2">cbal!$E$450:$E$450</definedName>
    <definedName name="cbalEnterpriseWFUtilizationY3">cbal!$E$451:$E$451</definedName>
    <definedName name="cbalEnterpriseWFUtilizationY4">cbal!$E$456:$E$456</definedName>
    <definedName name="cbalESAT">cbal!$E$46:$E$46</definedName>
    <definedName name="cbalGeneralTrainingHrsPullOut">cbal!$E$163:$E$163</definedName>
    <definedName name="cbalH1Competency">cbal!$E$212:$E$212</definedName>
    <definedName name="cbalH2Competency">cbal!$E$213:$E$213</definedName>
    <definedName name="cbalH3Competency">cbal!$E$214:$E$214</definedName>
    <definedName name="cbalIndustryAvgCIMargin">cbal!$E$44:$E$44</definedName>
    <definedName name="cbalIndustryEminence">cbal!$E$193:$E$193</definedName>
    <definedName name="cbalInternalAssets">cbal!$E$194:$E$194</definedName>
    <definedName name="cbalLTDebtValue">cbal!$E$25:$E$25</definedName>
    <definedName name="cbalNetEarnValue">cbal!$E$32:$E$32</definedName>
    <definedName name="cbalNetLocalSavingsY1">cbal!$E$453:$E$453</definedName>
    <definedName name="cbalNetLocalSavingsY2">cbal!$E$454:$E$454</definedName>
    <definedName name="cbalNetLocalSavingsY3">cbal!$E$455:$E$455</definedName>
    <definedName name="cbalNetLocalSavingsY4">cbal!$E$456:$E$456</definedName>
    <definedName name="cbalOtherAsstesValue">cbal!$E$13:$E$13</definedName>
    <definedName name="cbalOtherCurrLiabValue">cbal!$E$21:$E$21</definedName>
    <definedName name="cbalOtherLTLiab">cbal!$E$26:$E$26</definedName>
    <definedName name="cbalOutsourcingCCIPctofRevenueY1">cbal!$E$441:$E$441</definedName>
    <definedName name="cbalOutsourcingCCIPctofRevenueY2">cbal!$E$442:$E$442</definedName>
    <definedName name="cbalOutsourcingCCIPctofRevenueY3">cbal!$E$443:$E$443</definedName>
    <definedName name="cbalOutsourcingCCIPctofRevenueY4">cbal!$E$444:$E$444</definedName>
    <definedName name="cbalOutsourcingProductivityGainY1">cbal!$E$445:$E$445</definedName>
    <definedName name="cbalOutsourcingProductivityGainY2">cbal!$E$446:$E$446</definedName>
    <definedName name="cbalOutsourcingProductivityGainY3">cbal!$E$447:$E$447</definedName>
    <definedName name="cbalOutsourcingProductivityGainY4">cbal!$E$448:$E$448</definedName>
    <definedName name="cbalOutsourcingRevPctofTotalRevenueY1">cbal!$E$437:$E$437</definedName>
    <definedName name="cbalOutsourcingRevPctofTotalRevenueY2">cbal!$E$438:$E$438</definedName>
    <definedName name="cbalOutsourcingRevPctofTotalRevenueY3">cbal!$E$439:$E$439</definedName>
    <definedName name="cbalOutsourcingRevPctofTotalRevenueY4">cbal!$E$440:$E$440</definedName>
    <definedName name="cbalOutsourcingRevY1">cbal!$E$429:$E$429</definedName>
    <definedName name="cbalOutsourcingRevY2">cbal!$E$430:$E$430</definedName>
    <definedName name="cbalOutsourcingRevY3">cbal!$E$431:$E$431</definedName>
    <definedName name="cbalOutsourcingRevY4">cbal!$E$432:$E$432</definedName>
    <definedName name="cbalOutsourcingSalesGrowthY1">cbal!$E$433:$E$433</definedName>
    <definedName name="cbalOutsourcingSalesGrowthY2">cbal!$E$434:$E$434</definedName>
    <definedName name="cbalOutsourcingSalesGrowthY3">cbal!$E$435:$E$435</definedName>
    <definedName name="cbalOutsourcingSalesGrowthY4">cbal!$E$436:$E$436</definedName>
    <definedName name="cbalPlant1Value">cbal!$E$10:$E$10</definedName>
    <definedName name="cbalPlantValue">cbal!$E$11:$E$11</definedName>
    <definedName name="cbalPrac1Bookings">cbal!$E$52:$E$52</definedName>
    <definedName name="cbalPrac1RevY1">cbal!$E$457:$E$457</definedName>
    <definedName name="cbalPrac1RevY2">cbal!$E$458:$E$458</definedName>
    <definedName name="cbalPrac2Bookings">cbal!$E$53:$E$53</definedName>
    <definedName name="cbalPrac2RevY1">cbal!$E$459:$E$459</definedName>
    <definedName name="cbalPrac2RevY2">cbal!$E$460:$E$460</definedName>
    <definedName name="cbalPrac3Bookings">cbal!$E$54:$E$54</definedName>
    <definedName name="cbalPrac3RevY1">cbal!$E$461:$E$461</definedName>
    <definedName name="cbalPrac3RevY2">cbal!$E$462:$E$462</definedName>
    <definedName name="cbalRetEarnValue">cbal!$E$31:$E$31</definedName>
    <definedName name="cbalSpecLoansValue">cbal!$E$22:$E$22</definedName>
    <definedName name="cbalTeamNumber">cbal!$E$2:$E$2</definedName>
    <definedName name="cbalTotalAttritionY1">cbal!$E$397:$E$397</definedName>
    <definedName name="cbalTotalAttritionY2">cbal!$E$398:$E$398</definedName>
    <definedName name="cbalTotalAttritionY3">cbal!$E$399:$E$399</definedName>
    <definedName name="cbalTotalAttritionY4">cbal!$E$400:$E$400</definedName>
    <definedName name="cbalTotalCI">cbal!$E$42:$E$42</definedName>
    <definedName name="cbalTotalCIMargin">cbal!$E$43:$E$43</definedName>
    <definedName name="cbalTotalCIPctRevY1">cbal!$E$389:$E$389</definedName>
    <definedName name="cbalTotalCIPctRevY2">cbal!$E$390:$E$390</definedName>
    <definedName name="cbalTotalCIPctRevY3">cbal!$E$391:$E$391</definedName>
    <definedName name="cbalTotalCIPctRevY4">cbal!$E$392:$E$392</definedName>
    <definedName name="cbalTotalControllableIncome">cbal!$E$260:$E$260</definedName>
    <definedName name="cbalTotalEmpDismissal">cbal!$E$74:$E$74</definedName>
    <definedName name="cbalTotalEmpRecruited">cbal!$E$73:$E$73</definedName>
    <definedName name="cbalTotalGeneralTrainingHrsAvail">cbal!$E$162:$E$162</definedName>
    <definedName name="cbalTotalGeneralTrainingHrsCompleted">cbal!$E$155:$E$155</definedName>
    <definedName name="cbalTotalHeadCount">cbal!$E$92:$E$92</definedName>
    <definedName name="cbalTotalInYearScoreY1">cbal!$E$401:$E$401</definedName>
    <definedName name="cbalTotalInYearScoreY2">cbal!$E$402:$E$402</definedName>
    <definedName name="cbalTotalInYearScoreY3">cbal!$E$403:$E$403</definedName>
    <definedName name="cbalTotalInYearScoreY4">cbal!$E$404:$E$404</definedName>
    <definedName name="cbalTotalRealizedRev">cbal!$E$318:$E$318</definedName>
    <definedName name="cbalTotalRevenue">cbal!$E$38:$E$38</definedName>
    <definedName name="cbalTotalRevY1">cbal!$E$381:$E$381</definedName>
    <definedName name="cbalTotalRevY2">cbal!$E$382:$E$382</definedName>
    <definedName name="cbalTotalRevY3">cbal!$E$383:$E$383</definedName>
    <definedName name="cbalTotalRevY4">cbal!$E$384:$E$384</definedName>
    <definedName name="cbalTotalSales">cbal!$E$41:$E$41</definedName>
    <definedName name="cbalTotalSalesGrowthY1">cbal!$E$385:$E$385</definedName>
    <definedName name="cbalTotalSalesGrowthY2">cbal!$E$386:$E$386</definedName>
    <definedName name="cbalTotalSalesGrowthY3">cbal!$E$387:$E$387</definedName>
    <definedName name="cbalTotalSalesGrowthY4">cbal!$E$388:$E$388</definedName>
    <definedName name="cbalV1Competency">cbal!$E$209:$E$209</definedName>
    <definedName name="cbalV1H1Comp">cbal!$E$198:$E$198</definedName>
    <definedName name="cbalV1H2Comp">cbal!$E$199:$E$199</definedName>
    <definedName name="cbalV1H3Comp">cbal!$E$200:$E$200</definedName>
    <definedName name="cbalV2Competency">cbal!$E$210:$E$210</definedName>
    <definedName name="cbalV2H1Comp">cbal!$E$201:$E$201</definedName>
    <definedName name="cbalV2H2Comp">cbal!$E$202:$E$202</definedName>
    <definedName name="cbalV2H3Comp">cbal!$E$203:$E$203</definedName>
    <definedName name="cbalV3Competency">cbal!$E$211:$E$211</definedName>
    <definedName name="cbalV3H1Comp">cbal!$E$204:$E$204</definedName>
    <definedName name="cbalV3H2Comp">cbal!$E$205:$E$205</definedName>
    <definedName name="cbalV3H3Comp">cbal!$E$206:$E$206</definedName>
    <definedName name="cbalY1SpecProg1">cbal!$E$476:$E$476</definedName>
    <definedName name="cbalY1SpecProg2">cbal!$E$477:$E$477</definedName>
    <definedName name="cbalY1SpecProg3">cbal!$E$478:$E$478</definedName>
    <definedName name="cbalY1SpecProg4">cbal!$E$479:$E$479</definedName>
    <definedName name="cbalY1SpecProg5">cbal!$E$480:$E$480</definedName>
    <definedName name="cbalY1SpecProg6">cbal!$E$481:$E$481</definedName>
    <definedName name="cbalY1SpecProg7">cbal!$E$482:$E$482</definedName>
    <definedName name="cbalY1V1H1BidRev">cbal!$E$291:$E$291</definedName>
    <definedName name="cbalY1V1H1BidWon">cbal!$E$262:$E$262</definedName>
    <definedName name="cbalY1V1H1COS">cbal!$E$320:$E$320</definedName>
    <definedName name="cbalY1V1H1COSRealized">cbal!$E$350:$E$350</definedName>
    <definedName name="cbalY1V1H2BidRev">cbal!$E$292:$E$292</definedName>
    <definedName name="cbalY1V1H2BidWon">cbal!$E$263:$E$263</definedName>
    <definedName name="cbalY1V1H2COS">cbal!$E$321:$E$321</definedName>
    <definedName name="cbalY1V1H2COSRealized">cbal!$E$351:$E$351</definedName>
    <definedName name="cbalY1V1H3BidRev">cbal!$E$293:$E$293</definedName>
    <definedName name="cbalY1V1H3BidWon">cbal!$E$264:$E$264</definedName>
    <definedName name="cbalY1V1H3COS">cbal!$E$322:$E$322</definedName>
    <definedName name="cbalY1V1H3COSRealized">cbal!$E$352:$E$352</definedName>
    <definedName name="cbalY1V2H1BidRev">cbal!$E$294:$E$294</definedName>
    <definedName name="cbalY1V2H1BidWon">cbal!$E$265:$E$265</definedName>
    <definedName name="cbalY1V2H1COS">cbal!$E$323:$E$323</definedName>
    <definedName name="cbalY1V2H1COSRealized">cbal!$E$353:$E$353</definedName>
    <definedName name="cbalY1V2H2BidRev">cbal!$E$295:$E$295</definedName>
    <definedName name="cbalY1V2H2BidWon">cbal!$E$266:$E$266</definedName>
    <definedName name="cbalY1V2H2COS">cbal!$E$324:$E$324</definedName>
    <definedName name="cbalY1V2H2COSRealized">cbal!$E$354:$E$354</definedName>
    <definedName name="cbalY1V2H3BidRev">cbal!$E$296:$E$296</definedName>
    <definedName name="cbalY1V2H3BidWon">cbal!$E$267:$E$267</definedName>
    <definedName name="cbalY1V2H3COS">cbal!$E$325:$E$325</definedName>
    <definedName name="cbalY1V2H3COSRealized">cbal!$E$355:$E$355</definedName>
    <definedName name="cbalY1V3H1BidRev">cbal!$E$297:$E$297</definedName>
    <definedName name="cbalY1V3H1BidWon">cbal!$E$268:$E$268</definedName>
    <definedName name="cbalY1V3H1COS">cbal!$E$326:$E$326</definedName>
    <definedName name="cbalY1V3H1COSRealized">cbal!$E$356:$E$356</definedName>
    <definedName name="cbalY1V3H2BidRev">cbal!$E$298:$E$298</definedName>
    <definedName name="cbalY1V3H2BidWon">cbal!$E$269:$E$269</definedName>
    <definedName name="cbalY1V3H2COS">cbal!$E$327:$E$327</definedName>
    <definedName name="cbalY1V3H2COSRealized">cbal!$E$357:$E$357</definedName>
    <definedName name="cbalY1V3H3BidRev">cbal!$E$299:$E$299</definedName>
    <definedName name="cbalY1V3H3BidWon">cbal!$E$270:$E$270</definedName>
    <definedName name="cbalY1V3H3COS">cbal!$E$328:$E$328</definedName>
    <definedName name="cbalY1V3H3COSRealized">cbal!$E$358:$E$358</definedName>
    <definedName name="cbalY1Wobbler1">cbal!$E$505:$E$505</definedName>
    <definedName name="cbalY1Wobbler2">cbal!$E$506:$E$506</definedName>
    <definedName name="cbalY1Wobbler3">cbal!$E$507:$E$507</definedName>
    <definedName name="cbalY1Wobbler4">cbal!$E$508:$E$508</definedName>
    <definedName name="cbalY2SpecProg1">cbal!$E$483:$E$483</definedName>
    <definedName name="cbalY2SpecProg2">cbal!$E$484:$E$484</definedName>
    <definedName name="cbalY2SpecProg3">cbal!$E$485:$E$485</definedName>
    <definedName name="cbalY2SpecProg4">cbal!$E$486:$E$486</definedName>
    <definedName name="cbalY2SpecProg5">cbal!$E$487:$E$487</definedName>
    <definedName name="cbalY2SpecProg6">cbal!$E$488:$E$488</definedName>
    <definedName name="cbalY2SpecProg7">cbal!$E$489:$E$489</definedName>
    <definedName name="cbalY2V1H1BidRev">cbal!$E$300:$E$300</definedName>
    <definedName name="cbalY2V1H1BidWon">cbal!$E$271:$E$271</definedName>
    <definedName name="cbalY2V1H1COS">cbal!$E$329:$E$329</definedName>
    <definedName name="cbalY2V1H1COSRealized">cbal!$E$359:$E$359</definedName>
    <definedName name="cbalY2V1H2BidRev">cbal!$E$301:$E$301</definedName>
    <definedName name="cbalY2V1H2BidWon">cbal!$E$272:$E$272</definedName>
    <definedName name="cbalY2V1H2COS">cbal!$E$330:$E$330</definedName>
    <definedName name="cbalY2V1H2COSRealized">cbal!$E$360:$E$360</definedName>
    <definedName name="cbalY2V1H3BidRev">cbal!$E$302:$E$302</definedName>
    <definedName name="cbalY2V1H3BidWon">cbal!$E$273:$E$273</definedName>
    <definedName name="cbalY2V1H3COS">cbal!$E$331:$E$331</definedName>
    <definedName name="cbalY2V1H3COSRealized">cbal!$E$361:$E$361</definedName>
    <definedName name="cbalY2V2H1BidRev">cbal!$E$303:$E$303</definedName>
    <definedName name="cbalY2V2H1BidWon">cbal!$E$274:$E$274</definedName>
    <definedName name="cbalY2V2H1COS">cbal!$E$332:$E$332</definedName>
    <definedName name="cbalY2V2H1COSRealized">cbal!$E$362:$E$362</definedName>
    <definedName name="cbalY2V2H2BidRev">cbal!$E$304:$E$304</definedName>
    <definedName name="cbalY2V2H2BidWon">cbal!$E$275:$E$275</definedName>
    <definedName name="cbalY2V2H2COS">cbal!$E$333:$E$333</definedName>
    <definedName name="cbalY2V2H2COSRealized">cbal!$E$363:$E$363</definedName>
    <definedName name="cbalY2V2H3BidRev">cbal!$E$305:$E$305</definedName>
    <definedName name="cbalY2V2H3BidWon">cbal!$E$276:$E$276</definedName>
    <definedName name="cbalY2V2H3COS">cbal!$E$334:$E$334</definedName>
    <definedName name="cbalY2V2H3COSRealized">cbal!$E$364:$E$364</definedName>
    <definedName name="cbalY2V3H1BidRev">cbal!$E$306:$E$306</definedName>
    <definedName name="cbalY2V3H1BidWon">cbal!$E$277:$E$277</definedName>
    <definedName name="cbalY2V3H1COS">cbal!$E$335:$E$335</definedName>
    <definedName name="cbalY2V3H1COSRealized">cbal!$E$365:$E$365</definedName>
    <definedName name="cbalY2V3H2BidRev">cbal!$E$307:$E$307</definedName>
    <definedName name="cbalY2V3H2BidWon">cbal!$E$278:$E$278</definedName>
    <definedName name="cbalY2V3H2COS">cbal!$E$336:$E$336</definedName>
    <definedName name="cbalY2V3H2COSRealized">cbal!$E$366:$E$366</definedName>
    <definedName name="cbalY2V3H3BidRev">cbal!$E$308:$E$308</definedName>
    <definedName name="cbalY2V3H3BidWon">cbal!$E$279:$E$279</definedName>
    <definedName name="cbalY2V3H3COS">cbal!$E$337:$E$337</definedName>
    <definedName name="cbalY2V3H3COSRealized">cbal!$E$367:$E$367</definedName>
    <definedName name="cbalY2Wobbler1">cbal!$E$509:$E$509</definedName>
    <definedName name="cbalY2Wobbler2">cbal!$E$510:$E$510</definedName>
    <definedName name="cbalY2Wobbler3">cbal!$E$511:$E$511</definedName>
    <definedName name="cbalY2Wobbler4">cbal!$E$512:$E$512</definedName>
    <definedName name="cbalY3SpecProg1">cbal!$E$490:$E$490</definedName>
    <definedName name="cbalY3SpecProg2">cbal!$E$491:$E$491</definedName>
    <definedName name="cbalY3SpecProg3">cbal!$E$492:$E$492</definedName>
    <definedName name="cbalY3SpecProg4">cbal!$E$493:$E$493</definedName>
    <definedName name="cbalY3SpecProg5">cbal!$E$494:$E$494</definedName>
    <definedName name="cbalY3SpecProg6">cbal!$E$495:$E$495</definedName>
    <definedName name="cbalY3SpecProg7">cbal!$E$496:$E$496</definedName>
    <definedName name="cbalY3V1H1BidRev">cbal!$E$309:$E$309</definedName>
    <definedName name="cbalY3V1H1BidWon">cbal!$E$280:$E$280</definedName>
    <definedName name="cbalY3V1H1COS">cbal!$E$338:$E$338</definedName>
    <definedName name="cbalY3V1H1COSRealized">cbal!$E$368:$E$368</definedName>
    <definedName name="cbalY3V1H2BidRev">cbal!$E$310:$E$310</definedName>
    <definedName name="cbalY3V1H2BidWon">cbal!$E$281:$E$281</definedName>
    <definedName name="cbalY3V1H2COS">cbal!$E$339:$E$339</definedName>
    <definedName name="cbalY3V1H2COSRealized">cbal!$E$369:$E$369</definedName>
    <definedName name="cbalY3V1H3BidRev">cbal!$E$311:$E$311</definedName>
    <definedName name="cbalY3V1H3BidWon">cbal!$E$282:$E$282</definedName>
    <definedName name="cbalY3V1H3COS">cbal!$E$340:$E$340</definedName>
    <definedName name="cbalY3V1H3COSRealized">cbal!$E$370:$E$370</definedName>
    <definedName name="cbalY3V2H1BidRev">cbal!$E$312:$E$312</definedName>
    <definedName name="cbalY3V2H1BidWon">cbal!$E$283:$E$283</definedName>
    <definedName name="cbalY3V2H1COS">cbal!$E$341:$E$341</definedName>
    <definedName name="cbalY3V2H1COSRealized">cbal!$E$371:$E$371</definedName>
    <definedName name="cbalY3V2H2BidRev">cbal!$E$313:$E$313</definedName>
    <definedName name="cbalY3V2H2BidWon">cbal!$E$284:$E$284</definedName>
    <definedName name="cbalY3V2H2COS">cbal!$E$342:$E$342</definedName>
    <definedName name="cbalY3V2H2COSRealized">cbal!$E$372:$E$372</definedName>
    <definedName name="cbalY3V2H3BidRev">cbal!$E$314:$E$314</definedName>
    <definedName name="cbalY3V2H3BidWon">cbal!$E$285:$E$285</definedName>
    <definedName name="cbalY3V2H3COS">cbal!$E$343:$E$343</definedName>
    <definedName name="cbalY3V2H3COSRealized">cbal!$E$373:$E$373</definedName>
    <definedName name="cbalY3V3H1BidRev">cbal!$E$315:$E$315</definedName>
    <definedName name="cbalY3V3H1BidWon">cbal!$E$286:$E$286</definedName>
    <definedName name="cbalY3V3H1COS">cbal!$E$344:$E$344</definedName>
    <definedName name="cbalY3V3H1COSRealized">cbal!$E$374:$E$374</definedName>
    <definedName name="cbalY3V3H2BidRev">cbal!$E$316:$E$316</definedName>
    <definedName name="cbalY3V3H2BidWon">cbal!$E$287:$E$287</definedName>
    <definedName name="cbalY3V3H2COS">cbal!$E$345:$E$345</definedName>
    <definedName name="cbalY3V3H2COSRealized">cbal!$E$375:$E$375</definedName>
    <definedName name="cbalY3V3H3BidRev">cbal!$E$317:$E$317</definedName>
    <definedName name="cbalY3V3H3BidWon">cbal!$E$288:$E$288</definedName>
    <definedName name="cbalY3V3H3COS">cbal!$E$346:$E$346</definedName>
    <definedName name="cbalY3V3H3COSRealized">cbal!$E$376:$E$376</definedName>
    <definedName name="cbalY3Wobbler1">cbal!$E$513:$E$513</definedName>
    <definedName name="cbalY3Wobbler2">cbal!$E$514:$E$514</definedName>
    <definedName name="cbalY3Wobbler3">cbal!$E$515:$E$515</definedName>
    <definedName name="cbalY3Wobbler4">cbal!$E$516:$E$516</definedName>
    <definedName name="cbalY4SpecProg1">cbal!$E$497:$E$497</definedName>
    <definedName name="cbalY4SpecProg2">cbal!$E$498:$E$498</definedName>
    <definedName name="cbalY4SpecProg3">cbal!$E$499:$E$499</definedName>
    <definedName name="cbalY4SpecProg4">cbal!$E$500:$E$500</definedName>
    <definedName name="cbalY4SpecProg5">cbal!$E$501:$E$501</definedName>
    <definedName name="cbalY4SpecProg6">cbal!$E$502:$E$502</definedName>
    <definedName name="cbalY4SpecProg7">cbal!$E$503:$E$503</definedName>
    <definedName name="cbalY4Wobbler1">cbal!$E$517:$E$517</definedName>
    <definedName name="cbalY4Wobbler2">cbal!$E$518:$E$518</definedName>
    <definedName name="cbalY4Wobbler3">cbal!$E$519:$E$519</definedName>
    <definedName name="cbalY4Wobbler4">cbal!$E$520:$E$520</definedName>
    <definedName name="core_FilePrefix">Controls!$K$9</definedName>
    <definedName name="dataListEmpDismiss">DataPage!$B$749:$B$753</definedName>
    <definedName name="datalistFeedbackTS">DataPage!$B$736:$F$736</definedName>
    <definedName name="dataListOutsourcePer">DataPage!$B$722:$B$732</definedName>
    <definedName name="dataListProfile">DataPage!$B$699:$B$704</definedName>
    <definedName name="dataListProfileLookup">DataPage!$B$699:$H$702</definedName>
    <definedName name="dataListProfileLookupSIT">DataPage!$B$707:$H$710</definedName>
    <definedName name="dataListProfileMC">DataPage!$B$699:$E$704</definedName>
    <definedName name="dataListProfileSIT">DataPage!$B$707:$E$712</definedName>
    <definedName name="dataListProfileValues">DataPage!$C$699:$C$702</definedName>
    <definedName name="dataListProfileValues1">DataPage!$C$699:$C$702</definedName>
    <definedName name="dataListProfileValues2">DataPage!$D$699:$D$702</definedName>
    <definedName name="dataListProfileValues3">DataPage!$E$699:$E$702</definedName>
    <definedName name="dataListProfileValues4">DataPage!$F$699:$F$702</definedName>
    <definedName name="dataListProfileValues5">DataPage!$G$699:$G$702</definedName>
    <definedName name="dataListProfileValues6">DataPage!$H$699:$H$702</definedName>
    <definedName name="dataListSalary">DataPage!$B$715:$B$719</definedName>
    <definedName name="dataListStaffing">DataPage!$B$689:$B$695</definedName>
    <definedName name="dataListStaffingLvlLookup">DataPage!$B$689:$C$695</definedName>
    <definedName name="dataListStaffingValues">DataPage!$C$689:$C$695</definedName>
    <definedName name="DataNameBuyCtr1">DataPage!$C$133</definedName>
    <definedName name="DataNameBuyCtr10">DataPage!$C$142</definedName>
    <definedName name="DataNameBuyCtr11">DataPage!$C$143</definedName>
    <definedName name="DataNameBuyCtr12">DataPage!$C$144</definedName>
    <definedName name="DataNameBuyCtr2">DataPage!$C$134</definedName>
    <definedName name="DataNameBuyCtr3">DataPage!$C$135</definedName>
    <definedName name="DataNameBuyCtr4">DataPage!$C$136</definedName>
    <definedName name="DataNameBuyCtr5">DataPage!$C$137</definedName>
    <definedName name="DataNameBuyCtr6">DataPage!$C$138</definedName>
    <definedName name="DataNameBuyCtr7">DataPage!$C$139</definedName>
    <definedName name="DataNameBuyCtr8">DataPage!$C$140</definedName>
    <definedName name="DataNameBuyCtr9">DataPage!$C$141</definedName>
    <definedName name="DataNameDept1">DataPage!$C$26</definedName>
    <definedName name="DataNameEmp1">DataPage!$C$15</definedName>
    <definedName name="DataNameEmp10">DataPage!$C$24</definedName>
    <definedName name="DataNameEmp2">DataPage!$C$16</definedName>
    <definedName name="DataNameEmp3">DataPage!$C$17</definedName>
    <definedName name="DataNameEmp4">DataPage!$C$18</definedName>
    <definedName name="DataNameEmp5">DataPage!$C$19</definedName>
    <definedName name="DataNameEmp6">DataPage!$C$20</definedName>
    <definedName name="DataNameEmp7">DataPage!$C$21</definedName>
    <definedName name="DataNameEmp8">DataPage!$C$22</definedName>
    <definedName name="DataNameEmp9">DataPage!$C$23</definedName>
    <definedName name="DataNamePlant1">DataPage!$C$25</definedName>
    <definedName name="DataNamePlant2">DataPage!$C$26</definedName>
    <definedName name="DataNamePlant3">DataPage!$C$27</definedName>
    <definedName name="DataNameProd1" localSheetId="17">DataPage!$C$5</definedName>
    <definedName name="DataNameProd1">DataPage!$C$5</definedName>
    <definedName name="DataNameProd1Seg1">DataPage!$C$28</definedName>
    <definedName name="DataNameProd1Seg2">DataPage!$C$29</definedName>
    <definedName name="DataNameProd1Seg3">DataPage!$C$30</definedName>
    <definedName name="DataNameProd1Seg4">DataPage!$C$31</definedName>
    <definedName name="DataNameProd1Seg5">DataPage!$C$32</definedName>
    <definedName name="DataNameProd2" localSheetId="17">DataPage!$C$6</definedName>
    <definedName name="DataNameProd2">DataPage!$C$6</definedName>
    <definedName name="DataNameProd2Seg1" localSheetId="17">DataPage!$C$35</definedName>
    <definedName name="DataNameProd2Seg1">DataPage!$C$33</definedName>
    <definedName name="DataNameProd2Seg2">DataPage!$C$34</definedName>
    <definedName name="DataNameProd2Seg3">DataPage!$C$35</definedName>
    <definedName name="DataNameProd2Seg4">DataPage!$C$36</definedName>
    <definedName name="DataNameProd2Seg5">DataPage!$C$37</definedName>
    <definedName name="DataNameProd3" localSheetId="17">DataPage!$C$7</definedName>
    <definedName name="DataNameProd3">DataPage!$C$7</definedName>
    <definedName name="DataNameProd3Seg1" localSheetId="17">DataPage!$C$40</definedName>
    <definedName name="DataNameProd3Seg1">DataPage!$C$38</definedName>
    <definedName name="DataNameProd3Seg2">DataPage!$C$39</definedName>
    <definedName name="DataNameProd3Seg3">DataPage!$C$40</definedName>
    <definedName name="DataNameProd3Seg4">DataPage!$C$41</definedName>
    <definedName name="DataNameProd3Seg5">DataPage!$C$42</definedName>
    <definedName name="DataNameProd4">DataPage!$C$8</definedName>
    <definedName name="DataNameProd4Seg1">DataPage!$C$43</definedName>
    <definedName name="DataNameProd4Seg2">DataPage!$C$44</definedName>
    <definedName name="DataNameProd4Seg3">DataPage!$C$45</definedName>
    <definedName name="DataNameProd4Seg4">DataPage!$C$46</definedName>
    <definedName name="DataNameProd4Seg5">DataPage!$C$47</definedName>
    <definedName name="DataNameProd5" localSheetId="17">DataPage!$C$9</definedName>
    <definedName name="DataNameProd5">DataPage!$C$9</definedName>
    <definedName name="DataNameProd5Seg1" localSheetId="17">DataPage!$C$50</definedName>
    <definedName name="DataNameProd5Seg1">DataPage!$C$48</definedName>
    <definedName name="DataNameProd5Seg2" localSheetId="17">DataPage!$C$51</definedName>
    <definedName name="DataNameProd5Seg2">DataPage!$C$49</definedName>
    <definedName name="DataNameProd5Seg3">DataPage!$C$50</definedName>
    <definedName name="DataNameProd5Seg4">DataPage!$C$51</definedName>
    <definedName name="DataNameProd5Seg5">DataPage!$C$52</definedName>
    <definedName name="DataNameProd5Seg6">DataPage!$C$53</definedName>
    <definedName name="DataNameProd5Seg7">DataPage!$C$54</definedName>
    <definedName name="DataNameProd5Seg8">DataPage!$C$55</definedName>
    <definedName name="DataNameProd6">DataPage!$C$10</definedName>
    <definedName name="DataNameProd6Seg1">DataPage!$C$56</definedName>
    <definedName name="DataNameProd6Seg2">DataPage!$C$57</definedName>
    <definedName name="DataNameProd6Seg3">DataPage!$C$58</definedName>
    <definedName name="DataNameProd6Seg4">DataPage!$C$59</definedName>
    <definedName name="DataNameProd6Seg5">DataPage!$C$60</definedName>
    <definedName name="DataPageBPOData">DataPage!$B$298:$E$324</definedName>
    <definedName name="DataPageBusAV1BorrowAvail">DataPage!$C$264:$J$264</definedName>
    <definedName name="DataPageBusAV2BorrowAvail">DataPage!$C$265:$J$265</definedName>
    <definedName name="DataPageBusAV3BorrowAvail">DataPage!$C$266:$J$266</definedName>
    <definedName name="DataPageBusBV1BorrowAvail">DataPage!$C$269:$J$269</definedName>
    <definedName name="DataPageBusBV1WeightTable">DataPage!$N$142:$W$155</definedName>
    <definedName name="DataPageBusBV2BorrowAvail">DataPage!$C$270:$J$270</definedName>
    <definedName name="DataPageBusBV3BorrowAvail">DataPage!$C$271:$J$271</definedName>
    <definedName name="DataPageEmp1TrainEffectOnProductivity">DataPage!$E$450:$I$450</definedName>
    <definedName name="DataPageEmp2TrainEffectOnProductivity">DataPage!$E$453:$I$453</definedName>
    <definedName name="DataPageEmp3TrainEffectOnProductivity">DataPage!$E$456:$I$456</definedName>
    <definedName name="DataPageEmp4TrainEffectOnProductivity">DataPage!$E$459:$I$459</definedName>
    <definedName name="DataPageEmp6RecruitEffectOnTimeDemand">DataPage!$E$480:$I$480</definedName>
    <definedName name="DataPageEmp6RecruitTimeDemandLookup">DataPage!$B$467:$E$477</definedName>
    <definedName name="DataPageEmp6TotalTrainingEffectOnTimeDemand">DataPage!$E$498:$I$498</definedName>
    <definedName name="DataPageEmp6TotalTrainingEffectOnTimeDemandFuture">DataPage!$E$500:$I$500</definedName>
    <definedName name="DataPageEmp6TrainAllTimeDemandLookup">DataPage!$B$485:$E$495</definedName>
    <definedName name="DataPageEmp6TrainEffectOnProductivity">DataPage!$E$462:$I$462</definedName>
    <definedName name="DataPageTable1">DataPage!$B$358:$E$368</definedName>
    <definedName name="DataPageTable2">DataPage!$B$376:$E$386</definedName>
    <definedName name="DataPageTable3">DataPage!$B$393:$E$403</definedName>
    <definedName name="DataPageTable4">DataPage!$B$437:$E$447</definedName>
    <definedName name="DataPageTotalTrainingTargetHrs">DataPage!$C$280:$J$280</definedName>
    <definedName name="DataPageTrainingBudgetTargetEmp1">DataPage!$C$286:$J$286</definedName>
    <definedName name="DataPageTrainingBudgetTargetEmp2">DataPage!$C$285:$J$285</definedName>
    <definedName name="DataPageTrainingBudgetTargetEmp3">DataPage!$C$284:$J$284</definedName>
    <definedName name="DataPageTrainingBudgetTargetEmp4">DataPage!$C$283:$J$283</definedName>
    <definedName name="DataPageTrainingBudgetTargetEmp6">DataPage!$C$287:$J$287</definedName>
    <definedName name="DataPageTrainingTargetEmp1">DataPage!$C$278:$J$278</definedName>
    <definedName name="DataPageTrainingTargetEmp2">DataPage!$C$277:$J$277</definedName>
    <definedName name="DataPageTrainingTargetEmp3">DataPage!$C$276:$J$276</definedName>
    <definedName name="DataPageTrainingTargetEmp4">DataPage!$C$275:$J$275</definedName>
    <definedName name="DataPageTrainingTargetEmp6">DataPage!$C$279:$J$279</definedName>
    <definedName name="DataTableBid1COSReducPursuit">DataPage!$E$408:$I$408</definedName>
    <definedName name="DataTableBid2COSReducPursuit">DataPage!$E$411:$I$411</definedName>
    <definedName name="DataTableBid3COSReducPursuit">DataPage!$E$414:$I$414</definedName>
    <definedName name="DataTableBid4COSReducPursuit">DataPage!$E$417:$I$417</definedName>
    <definedName name="DataTableBid5COSReducPursuit">DataPage!$E$420:$I$420</definedName>
    <definedName name="DataTableBid6COSReducPursuit">DataPage!$E$423:$I$423</definedName>
    <definedName name="DataTableBid7COSReducPursuit">DataPage!$E$426:$I$426</definedName>
    <definedName name="DataTableBid8COSReducPursuit">DataPage!$E$429:$I$429</definedName>
    <definedName name="DataTableBid9COSReducPursuit">DataPage!$E$432:$I$432</definedName>
    <definedName name="DataTableBusARelationReduceFromLocalEmp1">DataPage!$E$354:$I$354</definedName>
    <definedName name="DataTableBusARelationReduceFromLocalEmp2">DataPage!$E$353:$I$353</definedName>
    <definedName name="DataTableBusARelationReduceFromLocalEmp3">DataPage!$E$352:$I$352</definedName>
    <definedName name="DataTableBusARelationReduceFromLocalEmp4">DataPage!$E$351:$I$351</definedName>
    <definedName name="dataTableEmpDismiss">DataPage!$B$749:$G$753</definedName>
    <definedName name="DataTableLocalBusARelationship">DataPage!$B$335:$E$345</definedName>
    <definedName name="DataTableQualityCostReduceFromTraining">DataPage!$E$371:$I$371</definedName>
    <definedName name="dataTableRDExp">DataPage!$B$738:$D$745</definedName>
    <definedName name="dec_ToolInputPrefix">Controls!$K$10</definedName>
    <definedName name="decBid1Check">dec!$E$121:$E$121</definedName>
    <definedName name="decBid1Emp2HrsRFQ">dec!$E$175:$E$175</definedName>
    <definedName name="decBid1Emp3HrsRFQ">dec!$E$166:$E$166</definedName>
    <definedName name="decBid1Emp4HrsRFQ">dec!$E$157:$E$157</definedName>
    <definedName name="decBid1Price">dec!$E$139:$E$139</definedName>
    <definedName name="decBid2Check">dec!$E$122:$E$122</definedName>
    <definedName name="decBid2Emp2HrsRFQ">dec!$E$176:$E$176</definedName>
    <definedName name="decBid2Emp3HrsRFQ">dec!$E$167:$E$167</definedName>
    <definedName name="decBid2Emp4HrsRFQ">dec!$E$158:$E$158</definedName>
    <definedName name="decBid2Price">dec!$E$140:$E$140</definedName>
    <definedName name="decBid3Check">dec!$E$123:$E$123</definedName>
    <definedName name="decBid3Emp2HrsRFQ">dec!$E$177:$E$177</definedName>
    <definedName name="decBid3Emp3HrsRFQ">dec!$E$168:$E$168</definedName>
    <definedName name="decBid3Emp4HrsRFQ">dec!$E$159:$E$159</definedName>
    <definedName name="decBid3Price">dec!$E$141:$E$141</definedName>
    <definedName name="decBid4Check">dec!$E$124:$E$124</definedName>
    <definedName name="decBid4Emp2HrsRFQ">dec!$E$178:$E$178</definedName>
    <definedName name="decBid4Emp3HrsRFQ">dec!$E$169:$E$169</definedName>
    <definedName name="decBid4Emp4HrsRFQ">dec!$E$160:$E$160</definedName>
    <definedName name="decBid4Price">dec!$E$142:$E$142</definedName>
    <definedName name="decBid5Check">dec!$E$125:$E$125</definedName>
    <definedName name="decBid5Emp2HrsRFQ">dec!$E$179:$E$179</definedName>
    <definedName name="decBid5Emp3HrsRFQ">dec!$E$170:$E$170</definedName>
    <definedName name="decBid5Emp4HrsRFQ">dec!$E$161:$E$161</definedName>
    <definedName name="decBid5Price">dec!$E$143:$E$143</definedName>
    <definedName name="decBid6Check">dec!$E$126:$E$126</definedName>
    <definedName name="decBid6Emp2HrsRFQ">dec!$E$180:$E$180</definedName>
    <definedName name="decBid6Emp3HrsRFQ">dec!$E$171:$E$171</definedName>
    <definedName name="decBid6Emp4HrsRFQ">dec!$E$162:$E$162</definedName>
    <definedName name="decBid6Price">dec!$E$144:$E$144</definedName>
    <definedName name="decBid7Check">dec!$E$127:$E$127</definedName>
    <definedName name="decBid7Emp2HrsRFQ">dec!$E$181:$E$181</definedName>
    <definedName name="decBid7Emp3HrsRFQ">dec!$E$172:$E$172</definedName>
    <definedName name="decBid7Emp4HrsRFQ">dec!$E$163:$E$163</definedName>
    <definedName name="decBid7Price">dec!$E$145:$E$145</definedName>
    <definedName name="decBid8Check">dec!$E$128:$E$128</definedName>
    <definedName name="decBid8Emp2HrsRFQ">dec!$E$182:$E$182</definedName>
    <definedName name="decBid8Emp3HrsRFQ">dec!$E$173:$E$173</definedName>
    <definedName name="decBid8Emp4HrsRFQ">dec!$E$164:$E$164</definedName>
    <definedName name="decBid8Price">dec!$E$146:$E$146</definedName>
    <definedName name="decBid9Check">dec!$E$129:$E$129</definedName>
    <definedName name="decBid9Emp2HrsRFQ">dec!$E$183:$E$183</definedName>
    <definedName name="decBid9Emp3HrsRFQ">dec!$E$174:$E$174</definedName>
    <definedName name="decBid9Emp4HrsRFQ">dec!$E$165:$E$165</definedName>
    <definedName name="decBid9Price">dec!$E$147:$E$147</definedName>
    <definedName name="decBusABusDevNonPayrollBud">dec!$E$107:$E$107</definedName>
    <definedName name="decBusAEmp1HrsCurrProj">dec!$E$44:$E$44</definedName>
    <definedName name="decBusAEmp1HrsCurrProjV2">dec!$E$45:$E$45</definedName>
    <definedName name="decBusAEmp1HrsCurrProjV3">dec!$E$46:$E$46</definedName>
    <definedName name="decBusAEmp1HrsSales">dec!$E$87:$E$87</definedName>
    <definedName name="decBusAEmp1HrsSalesV2">dec!$E$88:$E$88</definedName>
    <definedName name="decBusAEmp1HrsSalesV3">dec!$E$89:$E$89</definedName>
    <definedName name="decBusAEmp2HrsCurrProj">dec!$E$40:$E$40</definedName>
    <definedName name="decBusAEmp2HrsCurrProjV2">dec!$E$41:$E$41</definedName>
    <definedName name="decBusAEmp2HrsCurrProjV3">dec!$E$42:$E$42</definedName>
    <definedName name="decBusAEmp2HrsSales">dec!$E$83:$E$83</definedName>
    <definedName name="decBusAEmp2HrsSalesV2">dec!$E$84:$E$84</definedName>
    <definedName name="decBusAEmp2HrsSalesV3">dec!$E$85:$E$85</definedName>
    <definedName name="decBusAEmp3HrsCurrProj">dec!$E$36:$E$36</definedName>
    <definedName name="decBusAEmp3HrsCurrProjV2">dec!$E$37:$E$37</definedName>
    <definedName name="decBusAEmp3HrsCurrProjV3">dec!$E$38:$E$38</definedName>
    <definedName name="decBusAEmp3HrsSales">dec!$E$79:$E$79</definedName>
    <definedName name="decBusAEmp3HrsSalesV2">dec!$E$80:$E$80</definedName>
    <definedName name="decBusAEmp3HrsSalesV3">dec!$E$81:$E$81</definedName>
    <definedName name="decBusAEmp4HrsCurrProj">dec!$E$32:$E$32</definedName>
    <definedName name="decBusAEmp4HrsCurrProjV2">dec!$E$33:$E$33</definedName>
    <definedName name="decBusAEmp4HrsCurrProjV3">dec!$E$34:$E$34</definedName>
    <definedName name="decBusAEmp4HrsSales">dec!$E$75:$E$75</definedName>
    <definedName name="decBusAEmp4HrsSalesV2">dec!$E$76:$E$76</definedName>
    <definedName name="decBusAEmp4HrsSalesV3">dec!$E$77:$E$77</definedName>
    <definedName name="decBusAEmp7HrsCurrProj">dec!$E$52:$E$52</definedName>
    <definedName name="decBusAEmp7HrsCurrProjV2">dec!$E$53:$E$53</definedName>
    <definedName name="decBusAEmp7HrsCurrProjV3">dec!$E$54:$E$54</definedName>
    <definedName name="decBusAEmp7HrsSales">dec!$E$95:$E$95</definedName>
    <definedName name="decBusAEmp7HrsSalesV2">dec!$E$96:$E$96</definedName>
    <definedName name="decBusAEmp7HrsSalesV3">dec!$E$97:$E$97</definedName>
    <definedName name="decBusAEmp8HrsCurrProj">dec!$E$56:$E$56</definedName>
    <definedName name="decBusAEmp8HrsCurrProjV2">dec!$E$57:$E$57</definedName>
    <definedName name="decBusAEmp8HrsCurrProjV3">dec!$E$58:$E$58</definedName>
    <definedName name="decBusAEmp8HrsSales">dec!$E$99:$E$99</definedName>
    <definedName name="decBusAEmp8HrsSalesV2">dec!$E$100:$E$100</definedName>
    <definedName name="decBusAEmp8HrsSalesV3">dec!$E$101:$E$101</definedName>
    <definedName name="decBusAEmp9HrsCurrProj">dec!$E$60:$E$60</definedName>
    <definedName name="decBusAEmp9HrsCurrProjV2">dec!$E$61:$E$61</definedName>
    <definedName name="decBusAEmp9HrsCurrProjV3">dec!$E$62:$E$62</definedName>
    <definedName name="decBusAEmp9HrsSales">dec!$E$103:$E$103</definedName>
    <definedName name="decBusAEmp9HrsSalesV2">dec!$E$104:$E$104</definedName>
    <definedName name="decBusAEmp9HrsSalesV3">dec!$E$105:$E$105</definedName>
    <definedName name="decBusASales2">dec!$E$91:$E$91</definedName>
    <definedName name="decBusASales4">dec!$E$92:$E$92</definedName>
    <definedName name="decBusASales6">dec!$E$93:$E$93</definedName>
    <definedName name="decBusASalesMC1">dec!$E$71:$E$71</definedName>
    <definedName name="decBusASalesMC2">dec!$E$72:$E$72</definedName>
    <definedName name="decBusASalesMC3">dec!$E$73:$E$73</definedName>
    <definedName name="decBusAStaffProfMC1">dec!$E$28:$E$28</definedName>
    <definedName name="decBusAStaffProfMC2">dec!$E$29:$E$29</definedName>
    <definedName name="decBusAStaffProfMC3">dec!$E$30:$E$30</definedName>
    <definedName name="decBusAStaffProfSIT1">dec!$E$48:$E$48</definedName>
    <definedName name="decBusAStaffProfSIT2">dec!$E$49:$E$49</definedName>
    <definedName name="decBusAStaffProfSIT3">dec!$E$50:$E$50</definedName>
    <definedName name="decBusAV1HrsBorrowed">dec!$E$65:$E$65</definedName>
    <definedName name="decBusAV2HrsBorrowed">dec!$E$66:$E$66</definedName>
    <definedName name="decBusAV3HrsBorrowed">dec!$E$67:$E$67</definedName>
    <definedName name="decBusBBusDevNonPayrollBud">dec!$E$185:$E$185</definedName>
    <definedName name="decBusBEmp1HrsCurrProj">cap!$E$1827:$E$1827</definedName>
    <definedName name="decBusBEmp1HrsSales">dec!$E$87:$E$87</definedName>
    <definedName name="decBusBEmp2HrsCurrProj">dec!$E$40:$E$40</definedName>
    <definedName name="decBusBEmp2HrsSales">dec!$E$83:$E$83</definedName>
    <definedName name="decBusBEmp3HrsCurrProj">dec!$E$36:$E$36</definedName>
    <definedName name="decBusBEmp3HrsSales">cap!$E$1832:$E$1832</definedName>
    <definedName name="decBusBEmp4HrsSales">dec!$E$75:$E$75</definedName>
    <definedName name="decBusBH1HrsBorrowed">dec!$E$188:$E$188</definedName>
    <definedName name="decBusBH2HrsBorrowed">dec!$E$189:$E$189</definedName>
    <definedName name="decBusBH3HrsBorrowed">dec!$E$190:$E$190</definedName>
    <definedName name="decClientIntCostBid1">dec!$E$148:$E$148</definedName>
    <definedName name="decClientIntCostBid2">dec!$E$149:$E$149</definedName>
    <definedName name="decClientIntCostBid3">dec!$E$150:$E$150</definedName>
    <definedName name="decClientIntCostBid4">dec!$E$151:$E$151</definedName>
    <definedName name="decClientIntCostBid5">dec!$E$152:$E$152</definedName>
    <definedName name="decClientIntCostBid6">dec!$E$153:$E$153</definedName>
    <definedName name="decClientIntCostBid7">dec!$E$154:$E$154</definedName>
    <definedName name="decClientIntCostBid8">dec!$E$155:$E$155</definedName>
    <definedName name="decClientIntCostBid9">dec!$E$156:$E$156</definedName>
    <definedName name="decClientPctBid1">dec!$E$130:$E$130</definedName>
    <definedName name="decClientPctBid2">dec!$E$131:$E$131</definedName>
    <definedName name="decClientPctBid3">dec!$E$132:$E$132</definedName>
    <definedName name="decClientPctBid4">dec!$E$133:$E$133</definedName>
    <definedName name="decClientPctBid5">dec!$E$134:$E$134</definedName>
    <definedName name="decClientPctBid6">dec!$E$135:$E$135</definedName>
    <definedName name="decClientPctBid7">dec!$E$136:$E$136</definedName>
    <definedName name="decClientPctBid8">dec!$E$137:$E$137</definedName>
    <definedName name="decClientPctBid9">dec!$E$138:$E$138</definedName>
    <definedName name="decCompDevBusAV1">dec!$E$110:$E$110</definedName>
    <definedName name="decCompDevBusAV2">dec!$E$111:$E$111</definedName>
    <definedName name="decCompDevBusAV3">dec!$E$112:$E$112</definedName>
    <definedName name="decEmp1BusADismiss">dec!$E$226:$E$226</definedName>
    <definedName name="decEmp1BusAHire">dec!$E$218:$E$218</definedName>
    <definedName name="decEmp1BusALocalPer">dec!$E$118:$E$118</definedName>
    <definedName name="decEmp1BusBDismiss">dec!$E$240:$E$240</definedName>
    <definedName name="decEmp1BusBHire">dec!$E$235:$E$235</definedName>
    <definedName name="decEmp1BusBOpsImprove">dec!$E$211:$E$211</definedName>
    <definedName name="decEmp1SalaryLvl">dec!$E$262:$E$262</definedName>
    <definedName name="decEmp1Training">dec!$E$250:$E$250</definedName>
    <definedName name="decEmp1TrainingBudget">dec!$E$256:$E$256</definedName>
    <definedName name="decEmp2BusADismiss">dec!$E$225:$E$225</definedName>
    <definedName name="decEmp2BusAHire">dec!$E$217:$E$217</definedName>
    <definedName name="decEmp2BusALocalPer">dec!$E$117:$E$117</definedName>
    <definedName name="decEmp2BusBDismiss">dec!$E$239:$E$239</definedName>
    <definedName name="decEmp2BusBHire">dec!$E$234:$E$234</definedName>
    <definedName name="decEmp2BusBOpsImprove">dec!$E$210:$E$210</definedName>
    <definedName name="decEmp2SalaryLvl">dec!$E$261:$E$261</definedName>
    <definedName name="decEmp2Training">dec!$E$249:$E$249</definedName>
    <definedName name="decEmp2TrainingBudget">dec!$E$255:$E$255</definedName>
    <definedName name="decEmp3BusADismiss">dec!$E$224:$E$224</definedName>
    <definedName name="decEmp3BusAHire">dec!$E$216:$E$216</definedName>
    <definedName name="decEmp3BusALocalPer">dec!$E$116:$E$116</definedName>
    <definedName name="decEmp3BusBDismiss">dec!$E$238:$E$238</definedName>
    <definedName name="decEmp3BusBHire">dec!$E$233:$E$233</definedName>
    <definedName name="decEmp3BusBOpsImprove">dec!$E$209:$E$209</definedName>
    <definedName name="decEmp3SalaryLvl">dec!$E$260:$E$260</definedName>
    <definedName name="decEmp3Training">dec!$E$248:$E$248</definedName>
    <definedName name="decEmp3TrainingBudget">dec!$E$254:$E$254</definedName>
    <definedName name="decEmp4BusADismiss">dec!$E$223:$E$223</definedName>
    <definedName name="decEmp4BusAHire">dec!$E$215:$E$215</definedName>
    <definedName name="decEmp4BusALocalPer">dec!$E$115:$E$115</definedName>
    <definedName name="decEmp4BusBDismiss">dec!$E$237:$E$237</definedName>
    <definedName name="decEmp4BusBHire">dec!$E$232:$E$232</definedName>
    <definedName name="decEmp4BusBOpsImprove">dec!$E$208:$E$208</definedName>
    <definedName name="decEmp4SalaryLvl">dec!$E$259:$E$259</definedName>
    <definedName name="decEmp4Training">dec!$E$247:$E$247</definedName>
    <definedName name="decEmp4TrainingBudget">dec!$E$253:$E$253</definedName>
    <definedName name="decEmp7BusADismiss">dec!$E$227:$E$227</definedName>
    <definedName name="decEmp7BusAHire">dec!$E$219:$E$219</definedName>
    <definedName name="decEmp8BusADismiss">dec!$E$228:$E$228</definedName>
    <definedName name="decEmp8BusAHire">dec!$E$220:$E$220</definedName>
    <definedName name="decEmp9BusADismiss">dec!$E$229:$E$229</definedName>
    <definedName name="decEmp9BusAHire">dec!$E$221:$E$221</definedName>
    <definedName name="decEntSvcsSalesSupportLevelPrac1">dec!$E$265:$E$265</definedName>
    <definedName name="decEntSvcsSalesSupportLevelPrac2">dec!$E$266:$E$266</definedName>
    <definedName name="decEntSvcsSalesSupportLevelPrac3">dec!$E$267:$E$267</definedName>
    <definedName name="decEntWFDismiss">dec!$E$244:$E$244</definedName>
    <definedName name="decEntWFHire">dec!$E$243:$E$243</definedName>
    <definedName name="decEntWFTraining">dec!$E$251:$E$251</definedName>
    <definedName name="decEntWFTrainingBudget">dec!$E$257:$E$257</definedName>
    <definedName name="decExportType">dec!$E$6:$E$6</definedName>
    <definedName name="decIndustryEminence">dec!$E$270:$E$270</definedName>
    <definedName name="decInternalAssets">dec!$E$271:$E$271</definedName>
    <definedName name="decPopupWobbler1">dec!$E$290:$E$290</definedName>
    <definedName name="decPopupWobbler10">dec!$E$299:$E$299</definedName>
    <definedName name="decPopupWobbler2">dec!$E$291:$E$291</definedName>
    <definedName name="decPopupWobbler3">dec!$E$292:$E$292</definedName>
    <definedName name="decPopupWobbler4">dec!$E$293:$E$293</definedName>
    <definedName name="decPopupWobbler5">dec!$E$294:$E$294</definedName>
    <definedName name="decPopupWobbler6">dec!$E$295:$E$295</definedName>
    <definedName name="decPopupWobbler7">dec!$E$296:$E$296</definedName>
    <definedName name="decPopupWobbler8">dec!$E$297:$E$297</definedName>
    <definedName name="decPopupWobbler9">dec!$E$298:$E$298</definedName>
    <definedName name="decPopUpWobblerTime">dec!$E$7:$E$7</definedName>
    <definedName name="decPriorCommit">dec!$E$18:$E$18</definedName>
    <definedName name="decProd1Adv">dec!$E$264:$E$264</definedName>
    <definedName name="decProd1CreditDays">dec!$E$23:$E$23</definedName>
    <definedName name="decProd1Growth">dec!$E$19:$E$19</definedName>
    <definedName name="decProd1Price">dec!$E$11:$E$11</definedName>
    <definedName name="decProd1Units">dec!$E$15:$E$15</definedName>
    <definedName name="decProd1V2Growth">dec!$E$20:$E$20</definedName>
    <definedName name="decProd1V2Price">dec!$E$12:$E$12</definedName>
    <definedName name="decProd1V2Units">dec!$E$16:$E$16</definedName>
    <definedName name="decProd1V3Growth">dec!$E$21:$E$21</definedName>
    <definedName name="decProd1V3Price">dec!$E$13:$E$13</definedName>
    <definedName name="decProd1V3Units">dec!$E$17:$E$17</definedName>
    <definedName name="decScenarioTestCount">dec!$E$8</definedName>
    <definedName name="decScenarioTestCounter">dec!$E$8:$E$8</definedName>
    <definedName name="decSpecProg1">dec!$E$274:$E$274</definedName>
    <definedName name="decSpecProg2">dec!$E$275:$E$275</definedName>
    <definedName name="decSpecProg3">dec!$E$276:$E$276</definedName>
    <definedName name="decSpecProg4">dec!$E$277:$E$277</definedName>
    <definedName name="decSpecProg5">dec!$E$278:$E$278</definedName>
    <definedName name="decSpecProg6">dec!$E$279:$E$279</definedName>
    <definedName name="decSpecProg7">dec!$E$280:$E$280</definedName>
    <definedName name="decTeamName" localSheetId="17">dec!$E$4:$E$4</definedName>
    <definedName name="decTeamName">dec!$E$4:$E$4</definedName>
    <definedName name="decTeamNumber" localSheetId="17">dec!$E$3:$E$3</definedName>
    <definedName name="decTeamNumber">dec!$E$3:$E$3</definedName>
    <definedName name="decTeamRound">dec!$E$5:$E$5</definedName>
    <definedName name="decV1H1Dev">dec!$E$193:$E$193</definedName>
    <definedName name="decV1H2Dev">dec!$E$194:$E$194</definedName>
    <definedName name="decV1H3Dev">dec!$E$195:$E$195</definedName>
    <definedName name="decV2H1Dev">dec!$E$198:$E$198</definedName>
    <definedName name="decV2H2Dev">dec!$E$199:$E$199</definedName>
    <definedName name="decV2H3Dev">dec!$E$200:$E$200</definedName>
    <definedName name="decV3H1Dev">dec!$E$203:$E$203</definedName>
    <definedName name="decV3H2Dev">dec!$E$204:$E$204</definedName>
    <definedName name="decV3H3Dev">dec!$E$205:$E$205</definedName>
    <definedName name="decWobbler1">dec!$E$285:$E$285</definedName>
    <definedName name="decWobbler2">dec!$E$286:$E$286</definedName>
    <definedName name="decWobbler3">dec!$E$287:$E$287</definedName>
    <definedName name="decWobbler4">dec!$E$288:$E$288</definedName>
    <definedName name="Export_Decisions" localSheetId="13">tlPeople!Export_Decisions</definedName>
    <definedName name="Export_Decisions" localSheetId="15">tlPNLBusA!Export_Decisions</definedName>
    <definedName name="Export_Decisions" localSheetId="33">toolPNLBusB!Export_Decisions</definedName>
    <definedName name="Export_Decisions">[0]!Export_Decisions</definedName>
    <definedName name="finAssetTurnover">fin!$E$728:$E$728</definedName>
    <definedName name="finBalCardRankThisYr">fin!$E$749:$E$749</definedName>
    <definedName name="finBalCardScoreThisYr">fin!$E$748:$E$748</definedName>
    <definedName name="finBalCardTotalCI">fin!$E$738:$E$738</definedName>
    <definedName name="finBalCardTotalCSAT">fin!$E$744:$E$744</definedName>
    <definedName name="finBalCardTotalEmpEngagement">fin!$E$741:$E$741</definedName>
    <definedName name="finBalCardTotalSalesGrowth">fin!$E$735:$E$735</definedName>
    <definedName name="finBookings">fin!$E$681:$E$681</definedName>
    <definedName name="finBookingsCAGR">fin!$E$682:$E$682</definedName>
    <definedName name="finBusAV1BusDevNonPayroll">fin!$E$193:$E$193</definedName>
    <definedName name="finBusAV2BusDevNonPayroll">fin!$E$194:$E$194</definedName>
    <definedName name="finBusAV3BusDevNonPayroll">fin!$E$195:$E$195</definedName>
    <definedName name="finBusBV1BusDevNonPayroll">fin!$E$369:$E$369</definedName>
    <definedName name="finBusBV1BusDevTimeExp">fin!$E$368:$E$368</definedName>
    <definedName name="finBusBV1Emp2BusDevTimeExp">fin!$E$364:$E$364</definedName>
    <definedName name="finBusBV1Emp3BusDevTimeExp">fin!$E$365:$E$365</definedName>
    <definedName name="finBusBV1Emp4BusDevTimeExp">fin!$E$366:$E$366</definedName>
    <definedName name="finBusBV2BusDevNonPayroll">fin!$E$468:$E$468</definedName>
    <definedName name="finBusBV2BusDevTimeExp">fin!$E$467:$E$467</definedName>
    <definedName name="finBusBV2Emp2BusDevTimeExp">fin!$E$463:$E$463</definedName>
    <definedName name="finBusBV2Emp3BusDevTimeExp">fin!$E$464:$E$464</definedName>
    <definedName name="finBusBV2Emp4BusDevTimeExp">fin!$E$465:$E$465</definedName>
    <definedName name="finBusBV3BusDevNonPayroll">fin!$E$566:$E$566</definedName>
    <definedName name="finBusBV3BusDevTimeExp">fin!$E$565:$E$565</definedName>
    <definedName name="finBusBV3Emp2BusDevTimeExp">fin!$E$561:$E$561</definedName>
    <definedName name="finBusBV3Emp3BusDevTimeExp">fin!$E$562:$E$562</definedName>
    <definedName name="finBusBV3Emp4BusDevTimeExp">fin!$E$563:$E$563</definedName>
    <definedName name="finCashClosingValue">fin!$E$716:$E$716</definedName>
    <definedName name="finCashExpense">fin!$E$684:$E$684</definedName>
    <definedName name="finCashFlowAPChange">fin!$E$696:$E$696</definedName>
    <definedName name="finCashFlowARChange">fin!$E$695:$E$695</definedName>
    <definedName name="finCashFlowDep">fin!$E$691:$E$691</definedName>
    <definedName name="finCashFlowFinance">fin!$E$712:$E$712</definedName>
    <definedName name="finCashFlowInvest">fin!$E$706:$E$706</definedName>
    <definedName name="finCashFlowOtherCurrLiabChange">fin!$E$697:$E$697</definedName>
    <definedName name="finCashFlowSpecLoansChange">fin!$E$710:$E$710</definedName>
    <definedName name="finCashFlowWorkCap">fin!$E$699:$E$699</definedName>
    <definedName name="finCommonStockChange">fin!$E$721:$E$721</definedName>
    <definedName name="finCumBalCardRank">fin!$E$752:$E$752</definedName>
    <definedName name="finCumBalCardScore">fin!$E$751:$E$751</definedName>
    <definedName name="finEmp6AdminExp">fin!$E$13:$E$13</definedName>
    <definedName name="finEmp6RecDismExp">fin!$E$11:$E$11</definedName>
    <definedName name="finEmp6SalaryExp">fin!$E$7:$E$7</definedName>
    <definedName name="finEmp6SalesSupportExp">fin!$E$8:$E$8</definedName>
    <definedName name="finEmp6TrainingTimeExp">fin!$E$9:$E$9</definedName>
    <definedName name="finEntSvcsExpAllocPctBusA">fin!$E$29:$E$29</definedName>
    <definedName name="finEntSvcsExpAllocPctBusB">fin!$E$30:$E$30</definedName>
    <definedName name="finEntSvcsMarketing">fin!$E$15:$E$15</definedName>
    <definedName name="finEntSvcsTotalExp">fin!$E$25:$E$25</definedName>
    <definedName name="finEntSvcsTotalTrainingBudgetExp">fin!$E$23:$E$23</definedName>
    <definedName name="finPNLBusAEmp1GeneralTrainingExp">fin!$E$211:$E$211</definedName>
    <definedName name="finPNLBusAEmp1UnallocTimeExp">fin!$E$224:$E$224</definedName>
    <definedName name="finPNLBusAEmp2GeneralTrainingExp">fin!$E$212:$E$212</definedName>
    <definedName name="finPNLBusAEmp2UnallocTimeExp">fin!$E$225:$E$225</definedName>
    <definedName name="finPNLBusAEmp3GeneralTrainingExp">fin!$E$213:$E$213</definedName>
    <definedName name="finPNLBusAEmp3UnallocTimeExp">fin!$E$226:$E$226</definedName>
    <definedName name="finPNLBusAEmp4GeneralTrainingExp">fin!$E$214:$E$214</definedName>
    <definedName name="finPNLBusAEmp4UnallocTimeExp">fin!$E$227:$E$227</definedName>
    <definedName name="finPNLBusAEmp7GeneralTrainingExp">fin!$E$217:$E$217</definedName>
    <definedName name="finPNLBusAEmp8GeneralTrainingExp">fin!$E$216:$E$216</definedName>
    <definedName name="finPNLBusAEmp9GeneralTrainingExp">fin!$E$215:$E$215</definedName>
    <definedName name="finPNLBusAEmpRecDismExp">fin!$E$125:$E$125</definedName>
    <definedName name="finPNLBusAEntSvcsTtlExpAlloc">fin!$E$130:$E$130</definedName>
    <definedName name="finPNLBusAEntSvcsV1ExpAlloc">fin!$E$131:$E$131</definedName>
    <definedName name="finPNLBusAEntSvcsV2ExpAlloc">fin!$E$132:$E$132</definedName>
    <definedName name="finPNLBusAEntSvcsV3ExpAlloc">fin!$E$133:$E$133</definedName>
    <definedName name="finPNLBusAFixedAdminExp">fin!$E$264:$E$264</definedName>
    <definedName name="finPNLBusAGeneralTrainingExp">fin!$E$218:$E$218</definedName>
    <definedName name="finPNLBusAOpsMargin">fin!$E$289:$E$289</definedName>
    <definedName name="finPNLBusAOpsMarginPct">fin!$E$295:$E$295</definedName>
    <definedName name="finPNLBusAOtherExp">fin!$E$271:$E$271</definedName>
    <definedName name="finPNLBusASpecProgExp">fin!$E$276:$E$276</definedName>
    <definedName name="finPNLBusATotalCCI">fin!$E$138:$E$138</definedName>
    <definedName name="finPNLBusATotalGeneralTrainingBudgetExpense">fin!$E$243:$E$243</definedName>
    <definedName name="finPNLBusATotalGenMktExp">fin!$E$198:$E$198</definedName>
    <definedName name="finPNLBusATotalGlobalSalaryExp">fin!$E$82:$E$82</definedName>
    <definedName name="finPNLBusAtotalLoadExp">fin!$E$77:$E$77</definedName>
    <definedName name="finPNLBusATotalModCCI">fin!$E$144:$E$144</definedName>
    <definedName name="finPNLBusATotalOpExp">fin!$E$283:$E$283</definedName>
    <definedName name="finPNLBusATotalQualityCost">fin!$E$87:$E$87</definedName>
    <definedName name="finPNLBusATtlEmpAdminExp">fin!$E$256:$E$256</definedName>
    <definedName name="finPNLBusAUnallocTimeExp">fin!$E$231:$E$231</definedName>
    <definedName name="finPNLBusAV1BusDevTimeExp">fin!$E$165:$E$165</definedName>
    <definedName name="finPNLBusAV1CCI">fin!$E$135:$E$135</definedName>
    <definedName name="finPNLBusAV1CompDevTimeExp">fin!$E$97:$E$97</definedName>
    <definedName name="finPNLBusAV1Emp1BusDevTimeExp">fin!$E$154:$E$154</definedName>
    <definedName name="finPNLBusAV1Emp1CompDevTimeExp">fin!$E$90:$E$90</definedName>
    <definedName name="finPNLBusAV1Emp1SalaryExp">fin!$E$47:$E$47</definedName>
    <definedName name="finPNLBusAV1Emp2BusDevTimeExp">fin!$E$155:$E$155</definedName>
    <definedName name="finPNLBusAV1Emp2CompDevTimeExp">fin!$E$91:$E$91</definedName>
    <definedName name="finPNLBusAV1Emp2SalaryExp">fin!$E$48:$E$48</definedName>
    <definedName name="finPNLBusAV1Emp3BusDevTimeExp">fin!$E$156:$E$156</definedName>
    <definedName name="finPNLBusAV1Emp3CompDevTimeExp">fin!$E$92:$E$92</definedName>
    <definedName name="finPNLBusAV1Emp3SalaryExp">fin!$E$49:$E$49</definedName>
    <definedName name="finPNLBusAV1Emp4BusDevTimeExp">fin!$E$157:$E$157</definedName>
    <definedName name="finPNLBusAV1Emp4CompDevTimeExp">fin!$E$93:$E$93</definedName>
    <definedName name="finPNLBusAV1Emp4SalaryExp">fin!$E$50:$E$50</definedName>
    <definedName name="finPNLBusAV1Emp7BusDevTimeExp">fin!$E$160:$E$160</definedName>
    <definedName name="finPNLBusAV1Emp7SalaryExp">fin!$E$53:$E$53</definedName>
    <definedName name="finPNLBusAV1Emp8BusDevTimeExp">fin!$E$159:$E$159</definedName>
    <definedName name="finPNLBusAV1Emp8SalaryExp">fin!$E$52:$E$52</definedName>
    <definedName name="finPNLBusAV1Emp9BusDevTimeExp">fin!$E$158:$E$158</definedName>
    <definedName name="finPNLBusAV1Emp9SalaryExp">fin!$E$51:$E$51</definedName>
    <definedName name="finPNLBusAV1EmpRecDismExp">fin!$E$126:$E$126</definedName>
    <definedName name="finPNLBusAV1FixedAdminExp">fin!$E$261:$E$261</definedName>
    <definedName name="finPNLBusAV1GeneralTrainingExp">fin!$E$219:$E$219</definedName>
    <definedName name="finPNLBusAV1GlobalSalaryExp">fin!$E$79:$E$79</definedName>
    <definedName name="finPNLBusAV1LoadExp">fin!$E$74:$E$74</definedName>
    <definedName name="finPNLBusAV1ModCCI">fin!$E$141:$E$141</definedName>
    <definedName name="finPNLBusAV1OpsMargin">fin!$E$286:$E$286</definedName>
    <definedName name="finPNLBusAV1OpsMarginPct">fin!$E$292:$E$292</definedName>
    <definedName name="finPNLBusAV1OtherExp">fin!$E$268:$E$268</definedName>
    <definedName name="finPNLBusAV1OverheadPctAlloc">fin!$E$147:$E$147</definedName>
    <definedName name="finPNLBusAV1QualityCost">fin!$E$84:$E$84</definedName>
    <definedName name="finPNLBusAV1RDExp">fin!$E$205:$E$205</definedName>
    <definedName name="finPNLBusAV1SpecProgExp">fin!$E$273:$E$273</definedName>
    <definedName name="finPNLBusAV1TotalGeneralTrainingBudgetExpense">fin!$E$244:$E$244</definedName>
    <definedName name="finPNLBusAV1TotalGenMktExp">fin!$E$199:$E$199</definedName>
    <definedName name="finPNLBusAV1TotalOpExp">fin!$E$280:$E$280</definedName>
    <definedName name="finPNLBusAV1TotalSalaryExp">fin!$E$54:$E$54</definedName>
    <definedName name="finPNLBusAV1TtlAdminExp">fin!$E$257:$E$257</definedName>
    <definedName name="finPNLBusAV1UnallocTimeExp">fin!$E$232:$E$232</definedName>
    <definedName name="finPNLBusAV2BusDevTimeExp">fin!$E$178:$E$178</definedName>
    <definedName name="finPNLBusAV2CCI">fin!$E$136:$E$136</definedName>
    <definedName name="finPNLBusAV2CompDevTimeExp">fin!$E$106:$E$106</definedName>
    <definedName name="finPNLBusAV2Emp1BusDevTimeExp">fin!$E$167:$E$167</definedName>
    <definedName name="finPNLBusAV2Emp1CompDevTimeExp">fin!$E$99:$E$99</definedName>
    <definedName name="finPNLBusAV2Emp1SalaryExp">fin!$E$56:$E$56</definedName>
    <definedName name="finPNLBusAV2Emp2BusDevTimeExp">fin!$E$168:$E$168</definedName>
    <definedName name="finPNLBusAV2Emp2CompDevTimeExp">fin!$E$100:$E$100</definedName>
    <definedName name="finPNLBusAV2Emp2SalaryExp">fin!$E$57:$E$57</definedName>
    <definedName name="finPNLBusAV2Emp3BusDevTimeExp">fin!$E$169:$E$169</definedName>
    <definedName name="finPNLBusAV2Emp3CompDevTimeExp">fin!$E$101:$E$101</definedName>
    <definedName name="finPNLBusAV2Emp3SalaryExp">fin!$E$58:$E$58</definedName>
    <definedName name="finPNLBusAV2Emp4BusDevTimeExp">fin!$E$170:$E$170</definedName>
    <definedName name="finPNLBusAV2Emp4CompDevTimeExp">fin!$E$102:$E$102</definedName>
    <definedName name="finPNLBusAV2Emp4SalaryExp">fin!$E$59:$E$59</definedName>
    <definedName name="finPNLBusAV2Emp7BusDevTimeExp">fin!$E$173:$E$173</definedName>
    <definedName name="finPNLBusAV2Emp7SalaryExp">fin!$E$62:$E$62</definedName>
    <definedName name="finPNLBusAV2Emp8BusDevTimeExp">fin!$E$172:$E$172</definedName>
    <definedName name="finPNLBusAV2Emp8SalaryExp">fin!$E$61:$E$61</definedName>
    <definedName name="finPNLBusAV2Emp9BusDevTimeExp">fin!$E$171:$E$171</definedName>
    <definedName name="finPNLBusAV2Emp9SalaryExp">fin!$E$60:$E$60</definedName>
    <definedName name="finPNLBusAV2EmpRecDismExp">fin!$E$127:$E$127</definedName>
    <definedName name="finPNLBusAV2FixedAdminExp">fin!$E$262:$E$262</definedName>
    <definedName name="finPNLBusAV2GeneralTrainingExp">fin!$E$220:$E$220</definedName>
    <definedName name="finPNLBusAV2GlobalSalaryExp">fin!$E$80:$E$80</definedName>
    <definedName name="finPNLBusAV2LoadExp">fin!$E$75:$E$75</definedName>
    <definedName name="finPNLBusAV2ModCCI">fin!$E$142:$E$142</definedName>
    <definedName name="finPNLBusAV2OpsMargin">fin!$E$287:$E$287</definedName>
    <definedName name="finPNLBusAV2OpsMarginPct">fin!$E$293:$E$293</definedName>
    <definedName name="finPNLBusAV2OtherExp">fin!$E$269:$E$269</definedName>
    <definedName name="finPNLBusAV2OverheadPctAlloc">fin!$E$148:$E$148</definedName>
    <definedName name="finPNLBusAV2QualityCost">fin!$E$85:$E$85</definedName>
    <definedName name="finPNLBusAV2RDExp">fin!$E$206:$E$206</definedName>
    <definedName name="finPNLBusAV2SpecProgExp">fin!$E$274:$E$274</definedName>
    <definedName name="finPNLBusAV2TotalGeneralTrainingBudgetExpense">fin!$E$245:$E$245</definedName>
    <definedName name="finPNLBusAV2TotalGenMktExp">fin!$E$200:$E$200</definedName>
    <definedName name="finPNLBusAV2TotalOpExp">fin!$E$281:$E$281</definedName>
    <definedName name="finPNLBusAV2TotalSalaryExp">fin!$E$63:$E$63</definedName>
    <definedName name="finPNLBusAV2TtlAdminExp">fin!$E$258:$E$258</definedName>
    <definedName name="finPNLBusAV2UnallocTimeExp">fin!$E$233:$E$233</definedName>
    <definedName name="finPNLBusAV3BusDevTimeExp">fin!$E$191:$E$191</definedName>
    <definedName name="finPNLBusAV3CCI">fin!$E$137:$E$137</definedName>
    <definedName name="finPNLBusAV3CompDevTimeExp">fin!$E$115:$E$115</definedName>
    <definedName name="finPNLBusAV3Emp1BusDevTimeExp">fin!$E$180:$E$180</definedName>
    <definedName name="finPNLBusAV3Emp1CompDevTimeExp">fin!$E$108:$E$108</definedName>
    <definedName name="finPNLBusAV3Emp1SalaryExp">fin!$E$65:$E$65</definedName>
    <definedName name="finPNLBusAV3Emp2BusDevTimeExp">fin!$E$181:$E$181</definedName>
    <definedName name="finPNLBusAV3Emp2CompDevTimeExp">fin!$E$109:$E$109</definedName>
    <definedName name="finPNLBusAV3Emp2SalaryExp">fin!$E$66:$E$66</definedName>
    <definedName name="finPNLBusAV3Emp3BusDevTimeExp">fin!$E$182:$E$182</definedName>
    <definedName name="finPNLBusAV3Emp3CompDevTimeExp">fin!$E$110:$E$110</definedName>
    <definedName name="finPNLBusAV3Emp3SalaryExp">fin!$E$67:$E$67</definedName>
    <definedName name="finPNLBusAV3Emp4BusDevTimeExp">fin!$E$183:$E$183</definedName>
    <definedName name="finPNLBusAV3Emp4CompDevTimeExp">fin!$E$111:$E$111</definedName>
    <definedName name="finPNLBusAV3Emp4SalaryExp">fin!$E$68:$E$68</definedName>
    <definedName name="finPNLBusAV3Emp7BusDevTimeExp">fin!$E$186:$E$186</definedName>
    <definedName name="finPNLBusAV3Emp7SalaryExp">fin!$E$71:$E$71</definedName>
    <definedName name="finPNLBusAV3Emp8BusDevTimeExp">fin!$E$185:$E$185</definedName>
    <definedName name="finPNLBusAV3Emp8SalaryExp">fin!$E$70:$E$70</definedName>
    <definedName name="finPNLBusAV3Emp9BusDevTimeExp">fin!$E$184:$E$184</definedName>
    <definedName name="finPNLBusAV3Emp9SalaryExp">fin!$E$69:$E$69</definedName>
    <definedName name="finPNLBusAV3EmpRecDismExp">fin!$E$128:$E$128</definedName>
    <definedName name="finPNLBusAV3FixedAdminExp">fin!$E$263:$E$263</definedName>
    <definedName name="finPNLBusAV3GeneralTrainingExp">fin!$E$221:$E$221</definedName>
    <definedName name="finPNLBusAV3GlobalSalaryExp">fin!$E$81:$E$81</definedName>
    <definedName name="finPNLBusAV3LoadExp">fin!$E$76:$E$76</definedName>
    <definedName name="finPNLBusAV3ModCCI">fin!$E$143:$E$143</definedName>
    <definedName name="finPNLBusAV3OpsMargin">fin!$E$288:$E$288</definedName>
    <definedName name="finPNLBusAV3OpsMarginPct">fin!$E$294:$E$294</definedName>
    <definedName name="finPNLBusAV3OtherExp">fin!$E$270:$E$270</definedName>
    <definedName name="finPNLBusAV3OverheadPctAlloc">fin!$E$149:$E$149</definedName>
    <definedName name="finPNLBusAV3QualityCost">fin!$E$86:$E$86</definedName>
    <definedName name="finPNLBusAV3RDExp">fin!$E$207:$E$207</definedName>
    <definedName name="finPNLBusAV3SpecProgExp">fin!$E$275:$E$275</definedName>
    <definedName name="finPNLBusAV3TotalGeneralTrainingBudgetExpense">fin!$E$246:$E$246</definedName>
    <definedName name="finPNLBusAV3TotalGenMktExp">fin!$E$201:$E$201</definedName>
    <definedName name="finPNLBusAV3TotalOpExp">fin!$E$282:$E$282</definedName>
    <definedName name="finPNLBusAV3TotalSalaryExp">fin!$E$72:$E$72</definedName>
    <definedName name="finPNLBusAV3TtlAdminExp">fin!$E$259:$E$259</definedName>
    <definedName name="finPNLBusAV3UnallocTimeExp">fin!$E$234:$E$234</definedName>
    <definedName name="finPNLBusBEntSvcsV1ExpAlloc">fin!$E$325:$E$325</definedName>
    <definedName name="finPNLBusBEntSvcsV2ExpAlloc">fin!$E$423:$E$423</definedName>
    <definedName name="finPNLBusBEntSvcsV3ExpAlloc">fin!$E$521:$E$521</definedName>
    <definedName name="finPNLBusBOpsImproveExp">fin!$E$616:$E$616</definedName>
    <definedName name="finPNLBusBSpecProgExp">fin!$E$629:$E$629</definedName>
    <definedName name="finPNLBusBTotalBusDevExp">fin!$E$621:$E$621</definedName>
    <definedName name="finPNLBusBTotalCompDevExp">fin!$E$613:$E$613</definedName>
    <definedName name="finPNLBusBTotalCOS">fin!$E$611:$E$611</definedName>
    <definedName name="finPNLBusBTotalEmpAdminExp">fin!$E$626:$E$626</definedName>
    <definedName name="finPNLBusBTotalEntWFExp">fin!$E$612:$E$612</definedName>
    <definedName name="finPNLBusBTotalFixedAdminExp">fin!$E$627:$E$627</definedName>
    <definedName name="finPNLBusBTotalGeneralTrainingBudgetExp">fin!$E$625:$E$625</definedName>
    <definedName name="finPNLBusBTotalGeneralTrainingBudgetExpense">fin!$E$308:$E$308</definedName>
    <definedName name="finPNLBusBTotalGeneralTrainingExp">fin!$E$614:$E$614</definedName>
    <definedName name="finPNLBusBTotalGenMktExp">fin!$E$623:$E$623</definedName>
    <definedName name="finPNLBusBTotalGrossProfit">fin!$E$619:$E$619</definedName>
    <definedName name="finPNLBusBTotalOpExp">fin!$E$630:$E$630</definedName>
    <definedName name="finPNLBusBTotalOpIncome">fin!$E$632:$E$632</definedName>
    <definedName name="finPNLBusBTotalOpMarginPct">fin!$E$633:$E$633</definedName>
    <definedName name="finPNLBusBTotalOtherOpExp">fin!$E$628:$E$628</definedName>
    <definedName name="finPNLBusBTotalQualityCost">fin!$E$617:$E$617</definedName>
    <definedName name="finPNLBusBTotalRecDismExp">fin!$E$615:$E$615</definedName>
    <definedName name="finPNLBusBTotalRev">fin!$E$610:$E$610</definedName>
    <definedName name="finPNLBusBTotalUnallocWFExp">fin!$E$624:$E$624</definedName>
    <definedName name="finPNLBusBV1CompDevExp">fin!$E$332:$E$332</definedName>
    <definedName name="finPNLBusBV1COSExp">fin!$E$323:$E$323</definedName>
    <definedName name="finPNLBusBV1Emp1CompDevExp">fin!$E$328:$E$328</definedName>
    <definedName name="finPNLBusBV1Emp1GeneralTrainingExp">fin!$E$335:$E$335</definedName>
    <definedName name="finPNLBusBV1Emp1OpsImproveExp">fin!$E$342:$E$342</definedName>
    <definedName name="finPNLBusBV1Emp1UnallocTimeExp">fin!$E$380:$E$380</definedName>
    <definedName name="finPNLBusBV1Emp2CompDevExp">fin!$E$329:$E$329</definedName>
    <definedName name="finPNLBusBV1Emp2GeneralTrainingExp">fin!$E$336:$E$336</definedName>
    <definedName name="finPNLBusBV1Emp2OpsImproveExp">fin!$E$343:$E$343</definedName>
    <definedName name="finPNLBusBV1Emp2UnallocTimeExp">fin!$E$381:$E$381</definedName>
    <definedName name="finPNLBusBV1Emp3CompDevExp">fin!$E$330:$E$330</definedName>
    <definedName name="finPNLBusBV1Emp3GeneralTrainingExp">fin!$E$337:$E$337</definedName>
    <definedName name="finPNLBusBV1Emp3OpsImproveExp">fin!$E$344:$E$344</definedName>
    <definedName name="finPNLBusBV1Emp3UnallocTimeExp">fin!$E$382:$E$382</definedName>
    <definedName name="finPNLBusBV1Emp4CompDevExp">fin!$E$331:$E$331</definedName>
    <definedName name="finPNLBusBV1Emp4GeneralTrainingExp">fin!$E$338:$E$338</definedName>
    <definedName name="finPNLBusBV1Emp4OpsImproveExp">fin!$E$345:$E$345</definedName>
    <definedName name="finPNLBusBV1Emp4UnallocTimeExp">fin!$E$383:$E$383</definedName>
    <definedName name="finPNLBusBV1EmpRecDismExp">fin!$E$353:$E$353</definedName>
    <definedName name="finPNLBusBV1FixedAdminExp">fin!$E$396:$E$396</definedName>
    <definedName name="finPNLBusBV1GeneralTrainingBudgetExpense">fin!$E$386:$E$386</definedName>
    <definedName name="finPNLBusBV1GeneralTrainingExp">fin!$E$339:$E$339</definedName>
    <definedName name="finPNLBusBV1GrossMargin">fin!$E$358:$E$358</definedName>
    <definedName name="finPNLBusBV1H1GlobalSalaryExp">fin!$E$371:$E$371</definedName>
    <definedName name="finPNLBusBV1H2GlobalSalaryExp">fin!$E$372:$E$372</definedName>
    <definedName name="finPNLBusBV1H3GlobalSalaryExp">fin!$E$373:$E$373</definedName>
    <definedName name="finPNLBusBV1ModGrossMargin">fin!$E$360:$E$360</definedName>
    <definedName name="finPNLBusBV1OpsImproveExp">fin!$E$346:$E$346</definedName>
    <definedName name="finPNLBusBV1OpsMargin">fin!$E$407:$E$407</definedName>
    <definedName name="finPNLBusBV1OpsMarginPct">fin!$E$409:$E$409</definedName>
    <definedName name="finPNLBusBV1OtherExp">fin!$E$400:$E$400</definedName>
    <definedName name="finPNLBusBV1OverheadPctAlloc">fin!$E$299:$E$299</definedName>
    <definedName name="finPNLBusBV1QualityCost">fin!$E$355:$E$355</definedName>
    <definedName name="finPNLBusBV1Rev">fin!$E$318:$E$318</definedName>
    <definedName name="finPNLBusBV1SpecProgExp">fin!$E$402:$E$402</definedName>
    <definedName name="finPNLBusBV1TotalGenMktExp">fin!$E$376:$E$376</definedName>
    <definedName name="finPNLBusBV1TotalGlobalSalaryExp">fin!$E$374:$E$374</definedName>
    <definedName name="finPNLBusBV1TotalOpExp">fin!$E$405:$E$405</definedName>
    <definedName name="finPNLBusBV1TtlEmpAdminExp">fin!$E$393:$E$393</definedName>
    <definedName name="finPNLBusBV1UnallocTimeExp">fin!$E$384:$E$384</definedName>
    <definedName name="finPNLBusBV2CompDevExp">fin!$E$431:$E$431</definedName>
    <definedName name="finPNLBusBV2COSExp">fin!$E$421:$E$421</definedName>
    <definedName name="finPNLBusBV2Emp1CompDevExp">fin!$E$427:$E$427</definedName>
    <definedName name="finPNLBusBV2Emp1GeneralTrainingExp">fin!$E$434:$E$434</definedName>
    <definedName name="finPNLBusBV2Emp1OpsImproveExp">fin!$E$441:$E$441</definedName>
    <definedName name="finPNLBusBV2Emp1UnallocTimeExp">fin!$E$478:$E$478</definedName>
    <definedName name="finPNLBusBV2Emp2CompDevExp">fin!$E$428:$E$428</definedName>
    <definedName name="finPNLBusBV2Emp2GeneralTrainingExp">fin!$E$435:$E$435</definedName>
    <definedName name="finPNLBusBV2Emp2OpsImproveExp">fin!$E$442:$E$442</definedName>
    <definedName name="finPNLBusBV2Emp2UnallocTimeExp">fin!$E$479:$E$479</definedName>
    <definedName name="finPNLBusBV2Emp3CompDevExp">fin!$E$429:$E$429</definedName>
    <definedName name="finPNLBusBV2Emp3GeneralTrainingExp">fin!$E$436:$E$436</definedName>
    <definedName name="finPNLBusBV2Emp3OpsImproveExp">fin!$E$443:$E$443</definedName>
    <definedName name="finPNLBusBV2Emp3UnallocTimeExp">fin!$E$480:$E$480</definedName>
    <definedName name="finPNLBusBV2Emp4CompDevExp">fin!$E$430:$E$430</definedName>
    <definedName name="finPNLBusBV2Emp4GeneralTrainingExp">fin!$E$437:$E$437</definedName>
    <definedName name="finPNLBusBV2Emp4OpsImproveExp">fin!$E$444:$E$444</definedName>
    <definedName name="finPNLBusBV2Emp4UnallocTimeExp">fin!$E$481:$E$481</definedName>
    <definedName name="finPNLBusBV2EmpRecDismExp">fin!$E$452:$E$452</definedName>
    <definedName name="finPNLBusBV2FixedAdminExp">fin!$E$494:$E$494</definedName>
    <definedName name="finPNLBusBV2GeneralTrainingBudgetExpense">fin!$E$484:$E$484</definedName>
    <definedName name="finPNLBusBV2GeneralTrainingExp">fin!$E$438:$E$438</definedName>
    <definedName name="finPNLBusBV2GrossMargin">fin!$E$459:$E$459</definedName>
    <definedName name="finPNLBusBV2H1GlobalSalaryExp">fin!$E$470:$E$470</definedName>
    <definedName name="finPNLBusBV2H2GlobalSalaryExp">fin!$E$471:$E$471</definedName>
    <definedName name="finPNLBusBV2H3GlobalSalaryExp">fin!$E$472:$E$472</definedName>
    <definedName name="finPNLBusBV2ModGrossMargin">fin!$E$460:$E$460</definedName>
    <definedName name="finPNLBusBV2OpsImproveExp">fin!$E$445:$E$445</definedName>
    <definedName name="finPNLBusBV2OpsMargin">fin!$E$505:$E$505</definedName>
    <definedName name="finPNLBusBV2OpsMarginPct">fin!$E$507:$E$507</definedName>
    <definedName name="finPNLBusBV2OtherExp">fin!$E$498:$E$498</definedName>
    <definedName name="finPNLBusBV2OverheadPctAlloc">fin!$E$300:$E$300</definedName>
    <definedName name="finPNLBusBV2QualityCost">fin!$E$455:$E$455</definedName>
    <definedName name="finPNLBusBV2Rev">fin!$E$416:$E$416</definedName>
    <definedName name="finPNLBusBV2SpecProgExp">fin!$E$500:$E$500</definedName>
    <definedName name="finPNLBusBV2TotalGenMktExp">fin!$E$475:$E$475</definedName>
    <definedName name="finPNLBusBV2TotalGlobalSalaryExp">fin!$E$473:$E$473</definedName>
    <definedName name="finPNLBusBV2TotalOpExp">fin!$E$503:$E$503</definedName>
    <definedName name="finPNLBusBV2TtlEmpAdminExp">fin!$E$491:$E$491</definedName>
    <definedName name="finPNLBusBV2UnallocTimeExp">fin!$E$482:$E$482</definedName>
    <definedName name="finPNLBusBV3CompDevExp">fin!$E$528:$E$528</definedName>
    <definedName name="finPNLBusBV3COSExp">fin!$E$519:$E$519</definedName>
    <definedName name="finPNLBusBV3Emp1CompDevExp">fin!$E$524:$E$524</definedName>
    <definedName name="finPNLBusBV3Emp1GeneralTrainingExp">fin!$E$531:$E$531</definedName>
    <definedName name="finPNLBusBV3Emp1OpsImproveExp">fin!$E$538:$E$538</definedName>
    <definedName name="finPNLBusBV3Emp1UnallocTimeExp">fin!$E$577:$E$577</definedName>
    <definedName name="finPNLBusBV3Emp2CompDevExp">fin!$E$525:$E$525</definedName>
    <definedName name="finPNLBusBV3Emp2GeneralTrainingExp">fin!$E$532:$E$532</definedName>
    <definedName name="finPNLBusBV3Emp2OpsImproveExp">fin!$E$539:$E$539</definedName>
    <definedName name="finPNLBusBV3Emp2UnallocTimeExp">fin!$E$578:$E$578</definedName>
    <definedName name="finPNLBusBV3Emp3CompDevExp">fin!$E$526:$E$526</definedName>
    <definedName name="finPNLBusBV3Emp3GeneralTrainingExp">fin!$E$533:$E$533</definedName>
    <definedName name="finPNLBusBV3Emp3OpsImproveExp">fin!$E$540:$E$540</definedName>
    <definedName name="finPNLBusBV3Emp3UnallocTimeExp">fin!$E$579:$E$579</definedName>
    <definedName name="finPNLBusBV3Emp4CompDevExp">fin!$E$527:$E$527</definedName>
    <definedName name="finPNLBusBV3Emp4GeneralTrainingExp">fin!$E$534:$E$534</definedName>
    <definedName name="finPNLBusBV3Emp4OpsImproveExp">fin!$E$541:$E$541</definedName>
    <definedName name="finPNLBusBV3Emp4UnallocTimeExp">fin!$E$580:$E$580</definedName>
    <definedName name="finPNLBusBV3EmpRecDismExp">fin!$E$549:$E$549</definedName>
    <definedName name="finPNLBusBV3FixedAdminExp">fin!$E$593:$E$593</definedName>
    <definedName name="finPNLBusBV3GeneralTrainingBudgetExpense">fin!$E$583:$E$583</definedName>
    <definedName name="finPNLBusBV3GeneralTrainingExp">fin!$E$535:$E$535</definedName>
    <definedName name="finPNLBusBV3GrossMargin">fin!$E$553:$E$553</definedName>
    <definedName name="finPNLBusBV3H1GlobalSalaryExp">fin!$E$570:$E$570</definedName>
    <definedName name="finPNLBusBV3H2GlobalSalaryExp">fin!$E$571:$E$571</definedName>
    <definedName name="finPNLBusBV3H3GlobalSalaryExp">fin!$E$572:$E$572</definedName>
    <definedName name="finPNLBusBV3ModGrossMargin">fin!$E$554:$E$554</definedName>
    <definedName name="finPNLBusBV3OpsImproveExp">fin!$E$542:$E$542</definedName>
    <definedName name="finPNLBusBV3OpsMargin">fin!$E$604:$E$604</definedName>
    <definedName name="finPNLBusBV3OpsMarginPct">fin!$E$606:$E$606</definedName>
    <definedName name="finPNLBusBV3OtherExp">fin!$E$597:$E$597</definedName>
    <definedName name="finPNLBusBV3OverheadPctAlloc">fin!$E$301:$E$301</definedName>
    <definedName name="finPNLBusBV3QualityCost">fin!$E$551:$E$551</definedName>
    <definedName name="finPNLBusBV3Rev">fin!$E$514:$E$514</definedName>
    <definedName name="finPNLBusBV3SpecProgExp">fin!$E$599:$E$599</definedName>
    <definedName name="finPNLBusBV3TotalGenMktExp">fin!$E$567:$E$567</definedName>
    <definedName name="finPNLBusBV3TotalGlobalSalaryExp">fin!$E$573:$E$573</definedName>
    <definedName name="finPNLBusBV3TotalOpExp">fin!$E$602:$E$602</definedName>
    <definedName name="finPNLBusBV3TtlEmpAdminExp">fin!$E$590:$E$590</definedName>
    <definedName name="finPNLBusBV3UnallocTimeExp">fin!$E$581:$E$581</definedName>
    <definedName name="finPNLIndustryEminenceExp">fin!$E$667:$E$667</definedName>
    <definedName name="finPNLInternalAssetsExp">fin!$E$668:$E$668</definedName>
    <definedName name="finPNLNetIncome">fin!$E$679:$E$679</definedName>
    <definedName name="finPNLOpsImproveExp">fin!$E$645:$E$645</definedName>
    <definedName name="finPNLProd1Bookings">fin!$E$37:$E$37</definedName>
    <definedName name="finPNLProd1Rev">fin!$E$43:$E$43</definedName>
    <definedName name="finPNLProd1V1Bookings">fin!$E$34:$E$34</definedName>
    <definedName name="finPNLProd1V1Rev">fin!$E$40:$E$40</definedName>
    <definedName name="finPNLProd1V2Bookings">fin!$E$35:$E$35</definedName>
    <definedName name="finPNLProd1V2Rev">fin!$E$41:$E$41</definedName>
    <definedName name="finPNLProd1V3Bookings">fin!$E$36:$E$36</definedName>
    <definedName name="finPNLProd1V3Rev">fin!$E$42:$E$42</definedName>
    <definedName name="finPNLRDExp">fin!$E$669:$E$669</definedName>
    <definedName name="finPNLSpecProgExp">fin!$E$663:$E$663</definedName>
    <definedName name="finPNLTotalBusDevExp">fin!$E$652:$E$652</definedName>
    <definedName name="finPNLTotalCOSExp">fin!$E$648:$E$648</definedName>
    <definedName name="finPNLTotalDeprExp">fin!$D$675:$E$675</definedName>
    <definedName name="finPNLTotalDirectDeliveryExp">fin!$E$641:$E$641</definedName>
    <definedName name="finPNLTotalEmpAdminExp">fin!$E$659:$E$659</definedName>
    <definedName name="finPNLTotalEntWFExp">fin!$E$642:$E$642</definedName>
    <definedName name="finPNLTotalFixedAdminExp">fin!$E$660:$E$660</definedName>
    <definedName name="finPNLTotalGeneralTrainingBudgetExp">fin!$E$658:$E$658</definedName>
    <definedName name="finPNLTotalGeneralTrainingExp">fin!$E$662:$E$662</definedName>
    <definedName name="finPNLTotalGenMktExp">fin!$E$653:$E$653</definedName>
    <definedName name="finPNLTotalGlobalWFExp">fin!$E$643:$E$643</definedName>
    <definedName name="finPNLTotalGrossProfit">fin!$E$649:$E$649</definedName>
    <definedName name="finPNLTotalInterestExp">fin!$E$676:$E$676</definedName>
    <definedName name="finPNLTotalMSExp">fin!$E$654:$E$654</definedName>
    <definedName name="finPNLTotalOpExp">fin!$E$664:$E$664</definedName>
    <definedName name="finPNLTotalOpIncome">fin!$E$672:$E$672</definedName>
    <definedName name="finPNLTotalOtherOpExp">fin!$E$661:$E$661</definedName>
    <definedName name="finPNLTotalQualityCost">fin!$E$647:$E$647</definedName>
    <definedName name="finPNLTotalRecDismExp">fin!$E$644:$E$644</definedName>
    <definedName name="finPNLTotalRev">fin!$E$639:$E$639</definedName>
    <definedName name="finPNLTotalTaxes">fin!$E$677:$E$677</definedName>
    <definedName name="finPNLTotalUnallocWFExp">fin!$E$657:$E$657</definedName>
    <definedName name="finProfitMargin">fin!$E$727:$E$727</definedName>
    <definedName name="finRetEarnChange">fin!$E$722:$E$722</definedName>
    <definedName name="finROA">fin!$E$726:$E$726</definedName>
    <definedName name="finStockchange">fin!$E$720:$E$720</definedName>
    <definedName name="FMATBGround">Controls!$E$43</definedName>
    <definedName name="FMATDAReaBorder">Controls!$E$49</definedName>
    <definedName name="FMATDAreaBorderHeader">Controls!$E$51</definedName>
    <definedName name="FMATDAreaColor">Controls!$E$44</definedName>
    <definedName name="FMATDAreaColorHeader">Controls!$E$45</definedName>
    <definedName name="FMATDAreaFont">Controls!$E$46</definedName>
    <definedName name="FMATDAreaFontHeader">Controls!$E$47</definedName>
    <definedName name="FMATDBoardBorder">Controls!$E$70</definedName>
    <definedName name="FMATDBoardColor">Controls!$E$67</definedName>
    <definedName name="FMATDBoardFont">Controls!$E$68</definedName>
    <definedName name="FMATDCellBorder">Controls!$E$65</definedName>
    <definedName name="FMATDCellColor">Controls!$E$62</definedName>
    <definedName name="FMATDCellFont">Controls!$E$63</definedName>
    <definedName name="FMATRAreaBorder">Controls!$E$58</definedName>
    <definedName name="FMATRAreaBorderHeader">Controls!$E$60</definedName>
    <definedName name="FMATRAreaColor">Controls!$E$53</definedName>
    <definedName name="FMATRAreaColorHeader">Controls!$E$54</definedName>
    <definedName name="FMATRAreaFont">Controls!$E$55</definedName>
    <definedName name="FMATRAreaFontHeader">Controls!$E$56</definedName>
    <definedName name="frmNavControlsButtonLabels">frmNavControls!$C$54:$C$368</definedName>
    <definedName name="HideColtoolPrograms" localSheetId="13">tlPeople!$A$1:$P$1</definedName>
    <definedName name="HideColtoolPrograms">tlInitiatives!$I$1:$M$1</definedName>
    <definedName name="HideTeam5" localSheetId="15">tlPNLBusA!HideTeam5</definedName>
    <definedName name="HideTeam5" localSheetId="33">toolPNLBusB!HideTeam5</definedName>
    <definedName name="icon_macro0">frmNavControls!$G$50</definedName>
    <definedName name="icon_macro1">frmNavControls!$C$60</definedName>
    <definedName name="icon_macro10">frmNavControls!$C$100</definedName>
    <definedName name="icon_macro11">frmNavControls!$E$100</definedName>
    <definedName name="icon_macro12">frmNavControls!$G$100</definedName>
    <definedName name="icon_macro13">frmNavControls!$C$112</definedName>
    <definedName name="icon_macro14">frmNavControls!$E$112</definedName>
    <definedName name="icon_macro15">frmNavControls!$G$112</definedName>
    <definedName name="icon_macro16">frmNavControls!$C$124</definedName>
    <definedName name="icon_macro17">frmNavControls!$E$124</definedName>
    <definedName name="icon_macro18">frmNavControls!$G$124</definedName>
    <definedName name="icon_macro19">frmNavControls!$C$140</definedName>
    <definedName name="icon_macro2">frmNavControls!$E$60</definedName>
    <definedName name="icon_macro20">frmNavControls!$E$140</definedName>
    <definedName name="icon_macro21">frmNavControls!$G$140</definedName>
    <definedName name="icon_macro22">frmNavControls!$C$152</definedName>
    <definedName name="icon_macro23">frmNavControls!$E$152</definedName>
    <definedName name="icon_macro24">frmNavControls!$G$152</definedName>
    <definedName name="icon_macro25">frmNavControls!$C$164</definedName>
    <definedName name="icon_macro26">frmNavControls!$E$164</definedName>
    <definedName name="icon_macro27">frmNavControls!$G$164</definedName>
    <definedName name="icon_macro28">frmNavControls!$C$180</definedName>
    <definedName name="icon_macro29">frmNavControls!$E$180</definedName>
    <definedName name="icon_macro3">frmNavControls!$G$60</definedName>
    <definedName name="icon_macro30">frmNavControls!$G$180</definedName>
    <definedName name="icon_macro31">frmNavControls!$C$192</definedName>
    <definedName name="icon_macro32">frmNavControls!$E$192</definedName>
    <definedName name="icon_macro33">frmNavControls!$G$192</definedName>
    <definedName name="icon_macro34">frmNavControls!$C$204</definedName>
    <definedName name="icon_macro35">frmNavControls!$E$204</definedName>
    <definedName name="icon_macro36">frmNavControls!$G$204</definedName>
    <definedName name="icon_macro37">frmNavControls!$C$220</definedName>
    <definedName name="icon_macro38">frmNavControls!$E$220</definedName>
    <definedName name="icon_macro39">frmNavControls!$G$220</definedName>
    <definedName name="icon_macro4">frmNavControls!$C$72</definedName>
    <definedName name="icon_macro40">frmNavControls!$C$232</definedName>
    <definedName name="icon_macro41">frmNavControls!$E$232</definedName>
    <definedName name="icon_macro42">frmNavControls!$G$232</definedName>
    <definedName name="icon_macro43">frmNavControls!$C$244</definedName>
    <definedName name="icon_macro44">frmNavControls!$E$244</definedName>
    <definedName name="icon_macro45">frmNavControls!$G$244</definedName>
    <definedName name="icon_macro46">frmNavControls!$C$260</definedName>
    <definedName name="icon_macro47">frmNavControls!$E$260</definedName>
    <definedName name="icon_macro48">frmNavControls!$G$260</definedName>
    <definedName name="icon_macro49">frmNavControls!$C$272</definedName>
    <definedName name="icon_macro5">frmNavControls!$E$72</definedName>
    <definedName name="icon_macro50">frmNavControls!$E$272</definedName>
    <definedName name="icon_macro51">frmNavControls!$G$272</definedName>
    <definedName name="icon_macro52">frmNavControls!$C$284</definedName>
    <definedName name="icon_macro53">frmNavControls!$E$284</definedName>
    <definedName name="icon_macro54">frmNavControls!$G$284</definedName>
    <definedName name="icon_macro55">frmNavControls!$C$300</definedName>
    <definedName name="icon_macro56">frmNavControls!$E$300</definedName>
    <definedName name="icon_macro57">frmNavControls!$G$300</definedName>
    <definedName name="icon_macro58">frmNavControls!$C$312</definedName>
    <definedName name="icon_macro59">frmNavControls!$E$312</definedName>
    <definedName name="icon_macro6">frmNavControls!$G$72</definedName>
    <definedName name="icon_macro60">frmNavControls!$G$312</definedName>
    <definedName name="icon_macro61">frmNavControls!$C$324</definedName>
    <definedName name="icon_macro62">frmNavControls!$E$324</definedName>
    <definedName name="icon_macro63">frmNavControls!$G$324</definedName>
    <definedName name="icon_macro64">frmNavControls!$C$340</definedName>
    <definedName name="icon_macro65">frmNavControls!$E$340</definedName>
    <definedName name="icon_macro67">frmNavControls!$C$352</definedName>
    <definedName name="icon_macro68">frmNavControls!$E$352</definedName>
    <definedName name="icon_macro69">frmNavControls!$G$352</definedName>
    <definedName name="icon_macro7">frmNavControls!$C$84</definedName>
    <definedName name="icon_macro70">frmNavControls!$C$364</definedName>
    <definedName name="icon_macro71">frmNavControls!$E$364</definedName>
    <definedName name="icon_macro72">frmNavControls!$G$364</definedName>
    <definedName name="icon_macro8">frmNavControls!$E$84</definedName>
    <definedName name="icon_macro9">frmNavControls!$G$84</definedName>
    <definedName name="icon_script1">frmNavControls!$C$62</definedName>
    <definedName name="icon_script10">frmNavControls!$C$102</definedName>
    <definedName name="icon_script11">frmNavControls!$E$102</definedName>
    <definedName name="icon_script12">frmNavControls!$G$102</definedName>
    <definedName name="icon_script13">frmNavControls!$C$114</definedName>
    <definedName name="icon_script14">frmNavControls!$E$114</definedName>
    <definedName name="icon_script15">frmNavControls!$G$114</definedName>
    <definedName name="icon_script16">frmNavControls!$C$126</definedName>
    <definedName name="icon_script17">frmNavControls!$E$126</definedName>
    <definedName name="icon_script18">frmNavControls!$G$126</definedName>
    <definedName name="icon_script19">frmNavControls!$C$142</definedName>
    <definedName name="icon_script2">frmNavControls!$E$62</definedName>
    <definedName name="icon_script20">frmNavControls!$E$142</definedName>
    <definedName name="icon_script21">frmNavControls!$G$142</definedName>
    <definedName name="icon_script22">frmNavControls!$C$154</definedName>
    <definedName name="icon_script23">frmNavControls!$E$154</definedName>
    <definedName name="icon_script24">frmNavControls!$G$154</definedName>
    <definedName name="icon_script25">frmNavControls!$C$166</definedName>
    <definedName name="icon_script26">frmNavControls!$E$166</definedName>
    <definedName name="icon_script27">frmNavControls!$G$166</definedName>
    <definedName name="icon_script28">frmNavControls!$C$182</definedName>
    <definedName name="icon_script29">frmNavControls!$E$182</definedName>
    <definedName name="icon_script3">frmNavControls!$G$62</definedName>
    <definedName name="icon_script30">frmNavControls!$G$182</definedName>
    <definedName name="icon_script31">frmNavControls!$C$194</definedName>
    <definedName name="icon_script32">frmNavControls!$E$194</definedName>
    <definedName name="icon_script33">frmNavControls!$G$194</definedName>
    <definedName name="icon_script34">frmNavControls!$C$206</definedName>
    <definedName name="icon_script35">frmNavControls!$E$206</definedName>
    <definedName name="icon_script36">frmNavControls!$G$206</definedName>
    <definedName name="icon_script37">frmNavControls!$C$222</definedName>
    <definedName name="icon_script38">frmNavControls!$E$222</definedName>
    <definedName name="icon_script39">frmNavControls!$G$222</definedName>
    <definedName name="icon_script4">frmNavControls!$C$74</definedName>
    <definedName name="icon_script40">frmNavControls!$C$234</definedName>
    <definedName name="icon_script41">frmNavControls!$E$234</definedName>
    <definedName name="icon_script42">frmNavControls!$G$234</definedName>
    <definedName name="icon_script43">frmNavControls!$C$246</definedName>
    <definedName name="icon_script44">frmNavControls!$E$246</definedName>
    <definedName name="icon_script45">frmNavControls!$G$246</definedName>
    <definedName name="icon_script46">frmNavControls!$C$262</definedName>
    <definedName name="icon_script47">frmNavControls!$E$262</definedName>
    <definedName name="icon_script48">frmNavControls!$G$262</definedName>
    <definedName name="icon_script49">frmNavControls!$C$274</definedName>
    <definedName name="icon_script5">frmNavControls!$E$74</definedName>
    <definedName name="icon_script50">frmNavControls!$E$274</definedName>
    <definedName name="icon_script51">frmNavControls!$G$274</definedName>
    <definedName name="icon_script52">frmNavControls!$C$286</definedName>
    <definedName name="icon_script53">frmNavControls!$E$286</definedName>
    <definedName name="icon_script54">frmNavControls!$G$286</definedName>
    <definedName name="icon_script55">frmNavControls!$C$302</definedName>
    <definedName name="icon_script56">frmNavControls!$E$302</definedName>
    <definedName name="icon_script57">frmNavControls!$G$302</definedName>
    <definedName name="icon_script58">frmNavControls!$C$314</definedName>
    <definedName name="icon_script59">frmNavControls!$E$314</definedName>
    <definedName name="icon_script6">frmNavControls!$G$74</definedName>
    <definedName name="icon_script60">frmNavControls!$G$314</definedName>
    <definedName name="icon_script61">frmNavControls!$C$326</definedName>
    <definedName name="icon_script62">frmNavControls!$E$326</definedName>
    <definedName name="icon_script63">frmNavControls!$G$326</definedName>
    <definedName name="icon_script64">frmNavControls!$C$342</definedName>
    <definedName name="icon_script65">frmNavControls!$E$342</definedName>
    <definedName name="icon_script66">frmNavControls!$G$342</definedName>
    <definedName name="icon_script67">frmNavControls!$C$354</definedName>
    <definedName name="icon_script68">frmNavControls!$E$354</definedName>
    <definedName name="icon_script69">frmNavControls!$G$354</definedName>
    <definedName name="icon_script7">frmNavControls!$C$86</definedName>
    <definedName name="icon_script70">frmNavControls!$C$366</definedName>
    <definedName name="icon_script71">frmNavControls!$E$366</definedName>
    <definedName name="icon_script72">frmNavControls!$G$366</definedName>
    <definedName name="icon_script8">frmNavControls!$E$86</definedName>
    <definedName name="icon_script9">frmNavControls!$G$86</definedName>
    <definedName name="icon1">frmNavControls!$C$56</definedName>
    <definedName name="icon1_light">frmNavControls!$C$58</definedName>
    <definedName name="icon10">frmNavControls!$C$96</definedName>
    <definedName name="icon10_light">frmNavControls!$C$98</definedName>
    <definedName name="icon11">frmNavControls!$E$96</definedName>
    <definedName name="icon11_light">frmNavControls!$E$98</definedName>
    <definedName name="icon12">frmNavControls!$G$96</definedName>
    <definedName name="icon12_light">frmNavControls!$G$98</definedName>
    <definedName name="icon13">frmNavControls!$C$108</definedName>
    <definedName name="icon13_light">frmNavControls!$C$110</definedName>
    <definedName name="icon14">frmNavControls!$E$108</definedName>
    <definedName name="icon14_light">frmNavControls!$E$110</definedName>
    <definedName name="icon15">frmNavControls!$G$108</definedName>
    <definedName name="icon15_light">frmNavControls!$G$110</definedName>
    <definedName name="icon16">frmNavControls!$C$120</definedName>
    <definedName name="icon16_light">frmNavControls!$C$122</definedName>
    <definedName name="icon17">frmNavControls!$E$120</definedName>
    <definedName name="icon17_light">frmNavControls!$E$122</definedName>
    <definedName name="icon18">frmNavControls!$G$120</definedName>
    <definedName name="icon18_light">frmNavControls!$G$122</definedName>
    <definedName name="icon19">frmNavControls!$C$136</definedName>
    <definedName name="icon19_light">frmNavControls!$C$138</definedName>
    <definedName name="icon2">frmNavControls!$E$56</definedName>
    <definedName name="icon2_light">frmNavControls!$E$58</definedName>
    <definedName name="icon20">frmNavControls!$E$136</definedName>
    <definedName name="icon20_light">frmNavControls!$E$138</definedName>
    <definedName name="icon21">frmNavControls!$G$136</definedName>
    <definedName name="icon21_light">frmNavControls!$G$138</definedName>
    <definedName name="icon22">frmNavControls!$C$148</definedName>
    <definedName name="icon22_light">frmNavControls!$C$150</definedName>
    <definedName name="icon23">frmNavControls!$E$148</definedName>
    <definedName name="icon23_light">frmNavControls!$E$150</definedName>
    <definedName name="icon24">frmNavControls!$G$148</definedName>
    <definedName name="icon24_light">frmNavControls!$G$150</definedName>
    <definedName name="icon25">frmNavControls!$C$160</definedName>
    <definedName name="icon25_light">frmNavControls!$C$162</definedName>
    <definedName name="icon26">frmNavControls!$E$160</definedName>
    <definedName name="icon26_light">frmNavControls!$E$162</definedName>
    <definedName name="icon27">frmNavControls!$G$160</definedName>
    <definedName name="icon27_light">frmNavControls!$G$162</definedName>
    <definedName name="icon28">frmNavControls!$C$176</definedName>
    <definedName name="icon28_light">frmNavControls!$C$178</definedName>
    <definedName name="icon29">frmNavControls!$E$176</definedName>
    <definedName name="icon29_light">frmNavControls!$E$178</definedName>
    <definedName name="icon3">frmNavControls!$G$56</definedName>
    <definedName name="icon3_light">frmNavControls!$G$58</definedName>
    <definedName name="icon30">frmNavControls!$G$176</definedName>
    <definedName name="icon30_light">frmNavControls!$G$178</definedName>
    <definedName name="icon31">frmNavControls!$C$188</definedName>
    <definedName name="icon31_light">frmNavControls!$C$190</definedName>
    <definedName name="icon32">frmNavControls!$E$188</definedName>
    <definedName name="icon32_light">frmNavControls!$E$190</definedName>
    <definedName name="icon33">frmNavControls!$G$188</definedName>
    <definedName name="icon33_light">frmNavControls!$G$190</definedName>
    <definedName name="icon34">frmNavControls!$C$200</definedName>
    <definedName name="icon34_light">frmNavControls!$C$202</definedName>
    <definedName name="icon35">frmNavControls!$E$200</definedName>
    <definedName name="icon35_light">frmNavControls!$E$202</definedName>
    <definedName name="icon36">frmNavControls!$G$200</definedName>
    <definedName name="icon36_light">frmNavControls!$G$202</definedName>
    <definedName name="icon37">frmNavControls!$C$216</definedName>
    <definedName name="icon37_light">frmNavControls!$C$218</definedName>
    <definedName name="icon38">frmNavControls!$E$216</definedName>
    <definedName name="icon38_light">frmNavControls!$E$218</definedName>
    <definedName name="icon39">frmNavControls!$G$216</definedName>
    <definedName name="icon39_light">frmNavControls!$G$218</definedName>
    <definedName name="icon4">frmNavControls!$C$68</definedName>
    <definedName name="icon4_light">frmNavControls!$C$70</definedName>
    <definedName name="icon40">frmNavControls!$C$228</definedName>
    <definedName name="icon40_light">frmNavControls!$C$230</definedName>
    <definedName name="icon41">frmNavControls!$E$228</definedName>
    <definedName name="icon41_light">frmNavControls!$E$230</definedName>
    <definedName name="icon42">frmNavControls!$G$228</definedName>
    <definedName name="icon42_light">frmNavControls!$G$230</definedName>
    <definedName name="icon43">frmNavControls!$C$240</definedName>
    <definedName name="icon43_light">frmNavControls!$C$242</definedName>
    <definedName name="icon44">frmNavControls!$E$240</definedName>
    <definedName name="icon44_light">frmNavControls!$E$242</definedName>
    <definedName name="icon45">frmNavControls!$G$240</definedName>
    <definedName name="icon45_light">frmNavControls!$G$242</definedName>
    <definedName name="icon46">frmNavControls!$C$256</definedName>
    <definedName name="icon46_light">frmNavControls!$C$258</definedName>
    <definedName name="icon47">frmNavControls!$E$256</definedName>
    <definedName name="icon47_light">frmNavControls!$E$258</definedName>
    <definedName name="icon48">frmNavControls!$G$256</definedName>
    <definedName name="icon48_light">frmNavControls!$G$258</definedName>
    <definedName name="icon49">frmNavControls!$C$268</definedName>
    <definedName name="icon49_light">frmNavControls!$C$270</definedName>
    <definedName name="icon5">frmNavControls!$E$68</definedName>
    <definedName name="icon5_light">frmNavControls!$E$70</definedName>
    <definedName name="icon50">frmNavControls!$E$268</definedName>
    <definedName name="icon50_light">frmNavControls!$E$270</definedName>
    <definedName name="icon51">frmNavControls!$G$268</definedName>
    <definedName name="icon51_light">frmNavControls!$G$270</definedName>
    <definedName name="icon52">frmNavControls!$C$280</definedName>
    <definedName name="icon52_light">frmNavControls!$C$282</definedName>
    <definedName name="icon53">frmNavControls!$E$280</definedName>
    <definedName name="icon53_light">frmNavControls!$E$282</definedName>
    <definedName name="icon54">frmNavControls!$G$280</definedName>
    <definedName name="icon54_light">frmNavControls!$G$282</definedName>
    <definedName name="icon55">frmNavControls!$C$296</definedName>
    <definedName name="icon55_light">frmNavControls!$C$298</definedName>
    <definedName name="icon56">frmNavControls!$E$296</definedName>
    <definedName name="icon56_light">frmNavControls!$E$298</definedName>
    <definedName name="icon57">frmNavControls!$G$296</definedName>
    <definedName name="icon57_light">frmNavControls!$G$298</definedName>
    <definedName name="icon58">frmNavControls!$C$308</definedName>
    <definedName name="icon58_light">frmNavControls!$C$310</definedName>
    <definedName name="icon59">frmNavControls!$E$308</definedName>
    <definedName name="icon59_light">frmNavControls!$E$310</definedName>
    <definedName name="icon6">frmNavControls!$G$68</definedName>
    <definedName name="icon6_light">frmNavControls!$G$70</definedName>
    <definedName name="icon60">frmNavControls!$G$308</definedName>
    <definedName name="icon60_light">frmNavControls!$G$310</definedName>
    <definedName name="icon61">frmNavControls!$C$320</definedName>
    <definedName name="icon61_light">frmNavControls!$C$322</definedName>
    <definedName name="icon62">frmNavControls!$E$320</definedName>
    <definedName name="icon62_light">frmNavControls!$E$322</definedName>
    <definedName name="icon63">frmNavControls!$G$320</definedName>
    <definedName name="icon63_light">frmNavControls!$G$322</definedName>
    <definedName name="icon64">frmNavControls!$C$336</definedName>
    <definedName name="icon64_light">frmNavControls!$C$338</definedName>
    <definedName name="icon65">frmNavControls!$E$336</definedName>
    <definedName name="icon65_light">frmNavControls!$E$338</definedName>
    <definedName name="icon66">frmNavControls!$G$336</definedName>
    <definedName name="icon66_light">frmNavControls!$G$338</definedName>
    <definedName name="icon67">frmNavControls!$C$348</definedName>
    <definedName name="icon67_light">frmNavControls!$C$350</definedName>
    <definedName name="icon68">frmNavControls!$E$348</definedName>
    <definedName name="icon68_light">frmNavControls!$E$350</definedName>
    <definedName name="icon69">frmNavControls!$G$348</definedName>
    <definedName name="icon69_light">frmNavControls!$G$350</definedName>
    <definedName name="icon7">frmNavControls!$C$80</definedName>
    <definedName name="icon7_light">frmNavControls!$C$82</definedName>
    <definedName name="icon70">frmNavControls!$C$360</definedName>
    <definedName name="icon70_light">frmNavControls!$C$362</definedName>
    <definedName name="icon71">frmNavControls!$E$360</definedName>
    <definedName name="icon71_light">frmNavControls!$E$362</definedName>
    <definedName name="icon72">frmNavControls!$G$360</definedName>
    <definedName name="icon72_light">frmNavControls!$G$362</definedName>
    <definedName name="icon8">frmNavControls!$E$80</definedName>
    <definedName name="icon8_light">frmNavControls!$E$82</definedName>
    <definedName name="icon9">frmNavControls!$G$80</definedName>
    <definedName name="icon9_light">frmNavControls!$G$82</definedName>
    <definedName name="ImportExportCSV_BalSheetClosing">ImportExportCSV!$D$18</definedName>
    <definedName name="ImportExportCSV_BalSheetOnObal">ImportExportCSV!$D$14</definedName>
    <definedName name="ImportExportCSV_BalSheetOpening">ImportExportCSV!$D$16</definedName>
    <definedName name="label1_text">frmNavControls!$C$54</definedName>
    <definedName name="label10_text">frmNavControls!$C$94</definedName>
    <definedName name="label11_text">frmNavControls!$E$94</definedName>
    <definedName name="label12_text">frmNavControls!$G$94</definedName>
    <definedName name="label13_text">frmNavControls!$C$106</definedName>
    <definedName name="label14_text">frmNavControls!$E$106</definedName>
    <definedName name="label15_text">frmNavControls!$G$106</definedName>
    <definedName name="label16_text">frmNavControls!$C$118</definedName>
    <definedName name="label17_text">frmNavControls!$E$118</definedName>
    <definedName name="label18_text">frmNavControls!$G$118</definedName>
    <definedName name="label19_text">frmNavControls!$C$134</definedName>
    <definedName name="label2_text">frmNavControls!$E$54</definedName>
    <definedName name="label20_text">frmNavControls!$E$134</definedName>
    <definedName name="label21_text">frmNavControls!$G$134</definedName>
    <definedName name="label22_text">frmNavControls!$C$146</definedName>
    <definedName name="label23_text">frmNavControls!$E$146</definedName>
    <definedName name="label24_text">frmNavControls!$G$146</definedName>
    <definedName name="label25_text">frmNavControls!$C$158</definedName>
    <definedName name="label26_text">frmNavControls!$E$158</definedName>
    <definedName name="label27_text">frmNavControls!$G$158</definedName>
    <definedName name="label28_text">frmNavControls!$C$174</definedName>
    <definedName name="label29_text">frmNavControls!$E$174</definedName>
    <definedName name="label3_text">frmNavControls!$G$54</definedName>
    <definedName name="label30_text">frmNavControls!$G$174</definedName>
    <definedName name="label31_text">frmNavControls!$C$186</definedName>
    <definedName name="label32_text">frmNavControls!$E$186</definedName>
    <definedName name="label33_text">frmNavControls!$G$186</definedName>
    <definedName name="label34_text">frmNavControls!$C$198</definedName>
    <definedName name="label35_text">frmNavControls!$E$198</definedName>
    <definedName name="label36_text">frmNavControls!$G$198</definedName>
    <definedName name="label37_text">frmNavControls!$C$214</definedName>
    <definedName name="label38_text">frmNavControls!$E$214</definedName>
    <definedName name="label39_text">frmNavControls!$G$214</definedName>
    <definedName name="label4_text">frmNavControls!$C$66</definedName>
    <definedName name="label40_text">frmNavControls!$C$226</definedName>
    <definedName name="label41_text">frmNavControls!$E$226</definedName>
    <definedName name="label42_text">frmNavControls!$G$226</definedName>
    <definedName name="label43_text">frmNavControls!$C$238</definedName>
    <definedName name="label44_text">frmNavControls!$E$238</definedName>
    <definedName name="label45_text">frmNavControls!$G$238</definedName>
    <definedName name="label46_text">frmNavControls!$C$254</definedName>
    <definedName name="label47_text">frmNavControls!$E$254</definedName>
    <definedName name="label48_text">frmNavControls!$G$254</definedName>
    <definedName name="label49_text">frmNavControls!$C$266</definedName>
    <definedName name="label5_text">frmNavControls!$E$66</definedName>
    <definedName name="label50_text">frmNavControls!$E$266</definedName>
    <definedName name="label51_text">frmNavControls!$G$266</definedName>
    <definedName name="label52_text">frmNavControls!$C$278</definedName>
    <definedName name="label53_text">frmNavControls!$E$278</definedName>
    <definedName name="label54_text">frmNavControls!$G$278</definedName>
    <definedName name="label55_text">frmNavControls!$C$294</definedName>
    <definedName name="label56_text">frmNavControls!$E$294</definedName>
    <definedName name="label57_text">frmNavControls!$G$294</definedName>
    <definedName name="label58_text">frmNavControls!$C$306</definedName>
    <definedName name="label59_text">frmNavControls!$E$306</definedName>
    <definedName name="label6_text">frmNavControls!$G$66</definedName>
    <definedName name="label60_text">frmNavControls!$G$306</definedName>
    <definedName name="label61_text">frmNavControls!$C$318</definedName>
    <definedName name="label62_text">frmNavControls!$E$318</definedName>
    <definedName name="label63_text">frmNavControls!$G$318</definedName>
    <definedName name="label64_text">frmNavControls!$C$334</definedName>
    <definedName name="label65_text">frmNavControls!$E$334</definedName>
    <definedName name="label66_text">frmNavControls!$G$334</definedName>
    <definedName name="label67_text">frmNavControls!$C$346</definedName>
    <definedName name="label68_text">frmNavControls!$E$346</definedName>
    <definedName name="label69_text">frmNavControls!$G$346</definedName>
    <definedName name="label7_text">frmNavControls!$C$78</definedName>
    <definedName name="label70_text">frmNavControls!$C$358</definedName>
    <definedName name="label71_text">frmNavControls!$E$358</definedName>
    <definedName name="label72_text">frmNavControls!$G$358</definedName>
    <definedName name="label8_text">frmNavControls!$E$78</definedName>
    <definedName name="label9_text">frmNavControls!$G$78</definedName>
    <definedName name="listDataSpecProgs">DataPage!$D$599</definedName>
    <definedName name="listDataSpecProgsCode">DataPage!$C$579:$C$593</definedName>
    <definedName name="listDataSpecProgsNames">DataPage!$F$579:$F$593</definedName>
    <definedName name="listDataSpecProgsTemp">DataPage!$D$599:$D$609</definedName>
    <definedName name="listDataSpecProgsTempRows">DataPage!$D$595</definedName>
    <definedName name="ManualAdjClearAdjCostReduction">ManualAdjustments!$E$111:$I$114</definedName>
    <definedName name="ManualAdjClearAdjPeople">ManualAdjustments!$E$77:$I$79</definedName>
    <definedName name="ManualAdjClearAdjProd1">ManualAdjustments!$E$8:$I$12</definedName>
    <definedName name="ManualAdjClearAdjProd2">ManualAdjustments!$E$23:$I$27</definedName>
    <definedName name="ManualAdjClearAdjProd3">ManualAdjustments!$E$36:$I$40</definedName>
    <definedName name="ManualAdjClearAdjProd4">ManualAdjustments!$E$49:$I$53</definedName>
    <definedName name="ManualAdjClearAdjProd5">ManualAdjustments!$E$62:$I$66</definedName>
    <definedName name="MENU1CBar">Controls!$E$76</definedName>
    <definedName name="MENU1MenuItems">Controls!$E$86</definedName>
    <definedName name="MENU1Menus">Controls!$E$79</definedName>
    <definedName name="MENU1SubMenuItems">Controls!$E$104</definedName>
    <definedName name="MENU2CBar">Controls!$E$113</definedName>
    <definedName name="MENU2MenuItems">Controls!$E$119</definedName>
    <definedName name="MENU2Menus">Controls!$E$116</definedName>
    <definedName name="MENU2SubMenuItems">Controls!$E$134</definedName>
    <definedName name="menuActActive">Controls!$T$110</definedName>
    <definedName name="menuActionActive">Controls!$U$88</definedName>
    <definedName name="menuActionList">Controls!$U$90:$U$94</definedName>
    <definedName name="menuActionMacro">Controls!$V$90:$V$94</definedName>
    <definedName name="menuActionMacroActive">Controls!$V$88</definedName>
    <definedName name="menuActList">Controls!$T$112:$T$118</definedName>
    <definedName name="menuActMacro">Controls!$U$112:$U$118</definedName>
    <definedName name="menuDecsActive">Controls!$N$88</definedName>
    <definedName name="menuDecsList">Controls!$N$90:$N$98</definedName>
    <definedName name="menuDecsMacro">Controls!$O$90:$O$98</definedName>
    <definedName name="menuDecsMacroActive">Controls!$O$88</definedName>
    <definedName name="menuEngActive">Controls!$P$110</definedName>
    <definedName name="MenuEngList">Controls!$P$112:$P$125</definedName>
    <definedName name="menuEngMacro">Controls!$Q$112:$Q$125</definedName>
    <definedName name="menuFinancialActive">Controls!$Q$88</definedName>
    <definedName name="MenuFinancialList">Controls!$Q$90:$Q$94</definedName>
    <definedName name="menuFinancialMacro">Controls!$R$90:$R$94</definedName>
    <definedName name="menuFinancialMacroActive">Controls!$R$88</definedName>
    <definedName name="NextSlide" localSheetId="13">tlPeople!NextSlide</definedName>
    <definedName name="NextSlide" localSheetId="15">tlPNLBusA!NextSlide</definedName>
    <definedName name="NextSlide" localSheetId="33">toolPNLBusB!NextSlide</definedName>
    <definedName name="NextSlide">[0]!NextSlide</definedName>
    <definedName name="obalAPValue">obal!$E$20:$I$20</definedName>
    <definedName name="obalARValue">obal!$E$5:$I$5</definedName>
    <definedName name="obalAssetsValue">obal!$E$16:$I$16</definedName>
    <definedName name="obalAvgTrainingBudgetDelta">obal!$E$170:$I$170</definedName>
    <definedName name="obalBookings">obal!$E$51:$I$51</definedName>
    <definedName name="obalBusABusDevNonPayroll">obal!$E$233:$I$233</definedName>
    <definedName name="obalBusACompDev">obal!$E$140:$I$140</definedName>
    <definedName name="obalBusACompDevCurrYrTotal">obal!$E$144:$I$144</definedName>
    <definedName name="obalBusACompDevV1">obal!$E$141:$I$141</definedName>
    <definedName name="obalBusACompDevV2">obal!$E$142:$I$142</definedName>
    <definedName name="obalBusACompDevV3">obal!$E$143:$I$143</definedName>
    <definedName name="obalBusAEmp1">obal!$E$77:$I$77</definedName>
    <definedName name="obalBusAEmp1IndAvgUtiliz">obal!$E$114:$I$114</definedName>
    <definedName name="obalBusAEmp1Recruited">obal!$E$58:$I$58</definedName>
    <definedName name="obalBusAEmp1Utiliz">obal!$E$96:$I$96</definedName>
    <definedName name="obalBusAEmp2">obal!$E$80:$I$80</definedName>
    <definedName name="obalBusAEmp2IndAvgUtiliz">obal!$E$117:$I$117</definedName>
    <definedName name="obalBusAEmp2Recruited">obal!$E$61:$I$61</definedName>
    <definedName name="obalBusAEmp2Utiliz">obal!$E$99:$I$99</definedName>
    <definedName name="obalBusAEmp2UtilizY1">obal!$E$469:$I$469</definedName>
    <definedName name="obalBusAEmp2UtilizY2">obal!$E$470:$I$470</definedName>
    <definedName name="obalBusAEmp3">obal!$E$83:$I$83</definedName>
    <definedName name="obalBusAEmp3IndAvgUtiliz">obal!$E$120:$I$120</definedName>
    <definedName name="obalBusAEmp3Recruited">obal!$E$64:$I$64</definedName>
    <definedName name="obalBusAEmp3Utiliz">obal!$E$102:$I$102</definedName>
    <definedName name="obalBusAEmp3UtilizY1">obal!$E$467:$I$467</definedName>
    <definedName name="obalBusAEmp3UtilizY2">obal!$E$468:$I$468</definedName>
    <definedName name="obalBusAEmp4">obal!$E$86:$I$86</definedName>
    <definedName name="obalBusAEmp4IndAvgUtiliz">obal!$E$123:$I$123</definedName>
    <definedName name="obalBusAEmp4Recruited">obal!$E$67:$I$67</definedName>
    <definedName name="obalBusAEmp4Utiliz">obal!$E$105:$I$105</definedName>
    <definedName name="obalBusAEmp4UtilizY1">obal!$E$465:$I$465</definedName>
    <definedName name="obalBusAEmp4UtilizY2">obal!$E$466:$I$466</definedName>
    <definedName name="obalBusAEmp7">obal!$E$88:$I$88</definedName>
    <definedName name="obalBusAEmp7Utiliz">obal!$E$108:$I$108</definedName>
    <definedName name="obalBusAEmp8">obal!$E$89:$I$89</definedName>
    <definedName name="obalBusAEmp8Utiliz">obal!$E$109:$I$109</definedName>
    <definedName name="obalBusAEmp9">obal!$E$90:$I$90</definedName>
    <definedName name="obalBusAEmp9Utiliz">obal!$E$110:$I$110</definedName>
    <definedName name="obalBusAEmp9UtilizY1">obal!$E$471:$I$471</definedName>
    <definedName name="obalBusAEmp9UtilizY2">obal!$E$472:$I$472</definedName>
    <definedName name="obalBusALocalPerCostReduce">obal!$E$566:$I$566</definedName>
    <definedName name="obalBusAOverallConsUtil">obal!$E$128:$I$128</definedName>
    <definedName name="obalBusAOverallSolnWFUtil">obal!$E$129:$I$129</definedName>
    <definedName name="obalBusARevenue">obal!$E$40:$I$40</definedName>
    <definedName name="obalBusATLV1">obal!$E$146:$I$146</definedName>
    <definedName name="obalBusATLV2">obal!$E$147:$I$147</definedName>
    <definedName name="obalBusATLV3">obal!$E$148:$I$148</definedName>
    <definedName name="obalBusATotalCurrentRev">obal!$E$249:$I$249</definedName>
    <definedName name="obalBusAV1ControllableIncome">obal!$E$252:$I$252</definedName>
    <definedName name="obalBusAV1HrsSold">obal!$E$225:$I$225</definedName>
    <definedName name="obalBusAV1MktShr">obal!$E$220:$I$220</definedName>
    <definedName name="obalBusAV1PricePerHr">obal!$E$229:$I$229</definedName>
    <definedName name="obalBusAV1Y1Rev">obal!$E$238:$I$238</definedName>
    <definedName name="obalBusAV1Y2Rev">obal!$E$242:$I$242</definedName>
    <definedName name="obalBusAV1Y3Rev">obal!$E$246:$I$246</definedName>
    <definedName name="obalBusAV2ControllableIncome">obal!$E$253:$I$253</definedName>
    <definedName name="obalBusAV2HrsSold">obal!$E$226:$I$226</definedName>
    <definedName name="obalBusAV2MktShr">obal!$E$221:$I$221</definedName>
    <definedName name="obalBusAV2PricePerHr">obal!$E$230:$I$230</definedName>
    <definedName name="obalBusAV2Y1Rev">obal!$E$239:$I$239</definedName>
    <definedName name="obalBusAV2Y2Rev">obal!$E$243:$I$243</definedName>
    <definedName name="obalBusAV2Y3Rev">obal!$E$247:$I$247</definedName>
    <definedName name="obalBusAV3ControllableIncome">obal!$E$254:$I$254</definedName>
    <definedName name="obalBusAV3HrsSold">obal!$E$227:$I$227</definedName>
    <definedName name="obalBusAV3MktShr">obal!$E$222:$I$222</definedName>
    <definedName name="obalBusAV3PricePerHr">obal!$E$231:$I$231</definedName>
    <definedName name="obalBusAV3Y1Rev">obal!$E$240:$I$240</definedName>
    <definedName name="obalBusAV3Y2Rev">obal!$E$244:$I$244</definedName>
    <definedName name="obalBusAV3Y3Rev">obal!$E$248:$I$248</definedName>
    <definedName name="obalBusBBusDevNonPayroll">obal!$E$234:$I$234</definedName>
    <definedName name="obalBusBCompDev">obal!$E$207:$I$207</definedName>
    <definedName name="obalBusBCompDevCurrYrTotal">obal!$E$197:$I$197</definedName>
    <definedName name="obalBusBEmp1">obal!$E$78:$I$78</definedName>
    <definedName name="obalBusBEmp1IndAvgUtiliz">obal!$E$115:$I$115</definedName>
    <definedName name="obalBusBEmp1Recruited">obal!$E$59:$I$59</definedName>
    <definedName name="obalBusBEmp1Utiliz">obal!$E$97:$I$97</definedName>
    <definedName name="obalBusBEmp2">obal!$E$81:$I$81</definedName>
    <definedName name="obalBusBEmp2IndAvgUtiliz">obal!$E$118:$I$118</definedName>
    <definedName name="obalBusBEmp2Recruited">obal!$E$62:$I$62</definedName>
    <definedName name="obalBusBEmp2Utiliz">obal!$E$100:$I$100</definedName>
    <definedName name="obalBusBEmp3">obal!$E$84:$I$84</definedName>
    <definedName name="obalBusBEmp3IndAvgUtiliz">obal!$E$121:$I$121</definedName>
    <definedName name="obalBusBEmp3Recruited">obal!$E$65:$I$65</definedName>
    <definedName name="obalBusBEmp3Utiliz">obal!$E$103:$I$103</definedName>
    <definedName name="obalBusBEmp4">obal!$E$87:$I$87</definedName>
    <definedName name="obalBusBEmp4IndAvgUtiliz">obal!$E$124:$I$124</definedName>
    <definedName name="obalBusBEmp4Recruited">obal!$E$68:$I$68</definedName>
    <definedName name="obalBusBEmp4Utiliz">obal!$E$106:$I$106</definedName>
    <definedName name="obalBusBGenOpsPctCostReduce">obal!$E$217:$I$217</definedName>
    <definedName name="obalBusBOverallConsUtil">obal!$E$131:$I$131</definedName>
    <definedName name="obalBusBOverallSolnWFUtil">obal!$E$132:$I$132</definedName>
    <definedName name="obalBusBRevenue">obal!$E$39:$I$39</definedName>
    <definedName name="obalBusBV1ControllableIncome">obal!$E$257:$I$257</definedName>
    <definedName name="obalBusBV2ControllableIncome">obal!$E$258:$I$258</definedName>
    <definedName name="obalBusBV3ControllableIncome">obal!$E$259:$I$259</definedName>
    <definedName name="obalCashValue">obal!$E$4:$I$4</definedName>
    <definedName name="obalConsultingCCIPctRevY1">obal!$E$417:$I$417</definedName>
    <definedName name="obalConsultingCCIPctRevY2">obal!$E$418:$I$418</definedName>
    <definedName name="obalConsultingCCIPctRevY3">obal!$E$419:$I$419</definedName>
    <definedName name="obalConsultingCCIPctRevY4">obal!$E$420:$I$420</definedName>
    <definedName name="obalConsultingConsultantUtilY1">obal!$E$421:$I$421</definedName>
    <definedName name="obalConsultingConsultantUtilY2">obal!$E$422:$I$422</definedName>
    <definedName name="obalConsultingConsultantUtilY3">obal!$E$423:$I$423</definedName>
    <definedName name="obalConsultingConsultantUtilY4">obal!$E$424:$I$424</definedName>
    <definedName name="obalConsultingRevenueY1">obal!$E$405:$I$405</definedName>
    <definedName name="obalConsultingRevenueY2">obal!$E$406:$I$406</definedName>
    <definedName name="obalConsultingRevenueY3">obal!$E$407:$I$407</definedName>
    <definedName name="obalConsultingRevenueY4">obal!$E$408:$I$408</definedName>
    <definedName name="obalConsultingRevPctofTotalRevY1">obal!$E$413:$I$413</definedName>
    <definedName name="obalConsultingRevPctofTotalRevY2">obal!$E$414:$I$414</definedName>
    <definedName name="obalConsultingRevPctofTotalRevY3">obal!$E$415:$I$415</definedName>
    <definedName name="obalConsultingRevPctofTotalRevY4">obal!$E$416:$I$416</definedName>
    <definedName name="obalConsultingSalesGrowthY1">obal!$E$409:$I$409</definedName>
    <definedName name="obalConsultingSalesGrowthY2">obal!$E$410:$I$410</definedName>
    <definedName name="obalConsultingSalesGrowthY3">obal!$E$411:$I$411</definedName>
    <definedName name="obalConsultingSalesGrowthY4">obal!$E$412:$I$412</definedName>
    <definedName name="obalConsultingSolnWFUtilY1">obal!$E$425:$I$425</definedName>
    <definedName name="obalConsultingSolnWFUtilY2">obal!$E$426:$I$426</definedName>
    <definedName name="obalConsultingSolnWFUtilY3">obal!$E$427:$I$427</definedName>
    <definedName name="obalConsultingSolnWFUtilY4">obal!$E$428:$I$428</definedName>
    <definedName name="obalCSAT">obal!$E$48:$I$48</definedName>
    <definedName name="obalCSATY1">obal!$E$463:$I$463</definedName>
    <definedName name="obalCSATY2">obal!$E$464:$I$464</definedName>
    <definedName name="obalCStockPricePShare">obal!$E$186:$I$186</definedName>
    <definedName name="obalCStockShares">obal!$E$187:$I$187</definedName>
    <definedName name="obalCStockValue">obal!$E$30:$I$30</definedName>
    <definedName name="obalCumBalCardPoints">obal!$E$47:$I$47</definedName>
    <definedName name="obalDBYr0Bookings">obal!$E$569:$I$569</definedName>
    <definedName name="obalDBYr0BookingsCAGR">obal!$E$570:$I$570</definedName>
    <definedName name="obalDBYr0BusAEmp1Utiliz">obal!$E$591:$I$591</definedName>
    <definedName name="obalDBYr0BusAEmp2Utiliz">obal!$E$579:$I$579</definedName>
    <definedName name="obalDBYr0BusAEmp3Utiliz">obal!$E$578:$I$578</definedName>
    <definedName name="obalDBYr0BusAEmp4Utiliz">obal!$E$577:$I$577</definedName>
    <definedName name="obalDBYr0BusAEmp7Utiliz">obal!$E$588:$I$588</definedName>
    <definedName name="obalDBYr0BusAEmp8Utiliz">obal!$E$589:$I$589</definedName>
    <definedName name="obalDBYr0BusAEmp9Utiliz">obal!$E$590:$I$590</definedName>
    <definedName name="obalDBYr0BusATotalQualityCost">obal!$E$574:$I$574</definedName>
    <definedName name="obalDBYr0BusBEmp1Utiliz">obal!$E$583:$I$583</definedName>
    <definedName name="obalDBYr0BusBEmp2Utiliz">obal!$E$582:$I$582</definedName>
    <definedName name="obalDBYr0BusBEmp3Utiliz">obal!$E$581:$I$581</definedName>
    <definedName name="obalDBYr0BusBEmp4Utiliz">obal!$E$580:$I$580</definedName>
    <definedName name="obalDBYr0BusBTotalForecastRev">obal!$E$585:$I$585</definedName>
    <definedName name="obalDBYr0BusBTotalQualityCost">obal!$E$584:$I$584</definedName>
    <definedName name="obalDBYr0CSATEnd">obal!$E$576:$I$576</definedName>
    <definedName name="obalDBYr0Emp6Utiliz">obal!$E$586:$I$586</definedName>
    <definedName name="obalDBYr0ESATEnd">obal!$E$575:$I$575</definedName>
    <definedName name="obalDBYr0GaugeBusAEmp2Utiliz">obal!$E$594:$I$594</definedName>
    <definedName name="obalDBYr0GaugeBusAEmp3Utiliz">obal!$E$593:$I$593</definedName>
    <definedName name="obalDBYr0GaugeBusAEmp4Utiliz">obal!$E$592:$I$592</definedName>
    <definedName name="obalDBYr0GaugeBusAEmp9Utiliz">obal!$E$595:$I$595</definedName>
    <definedName name="obalDBYr0GaugeEmp6Utiliz">obal!$E$596:$I$596</definedName>
    <definedName name="obalDBYr0GM">obal!$E$572:$I$572</definedName>
    <definedName name="obalDBYr0OM">obal!$E$573:$I$573</definedName>
    <definedName name="obalDBYr0TotalRev">obal!$E$571:$I$571</definedName>
    <definedName name="obalDBYr0TotalTrainingBudForecast">obal!$E$587:$I$587</definedName>
    <definedName name="obalDBYr1Bookings">obal!$E$598:$I$598</definedName>
    <definedName name="obalDBYr1BookingsCAGR">obal!$E$599:$I$599</definedName>
    <definedName name="obalDBYr1BusAEmp1Utiliz">obal!$E$620:$I$620</definedName>
    <definedName name="obalDBYr1BusAEmp2Utiliz">obal!$E$608:$I$608</definedName>
    <definedName name="obalDBYr1BusAEmp3Utiliz">obal!$E$607:$I$607</definedName>
    <definedName name="obalDBYr1BusAEmp4Utiliz">obal!$E$606:$I$606</definedName>
    <definedName name="obalDBYr1BusAEmp7Utiliz">obal!$E$617:$I$617</definedName>
    <definedName name="obalDBYr1BusAEmp8Utiliz">obal!$E$618:$I$618</definedName>
    <definedName name="obalDBYr1BusAEmp9Utiliz">obal!$E$619:$I$619</definedName>
    <definedName name="obalDBYr1BusATotalQualityCost">obal!$E$603:$I$603</definedName>
    <definedName name="obalDBYr1BusBEmp1Utiliz">obal!$E$612:$I$612</definedName>
    <definedName name="obalDBYr1BusBEmp2Utiliz">obal!$E$611:$I$611</definedName>
    <definedName name="obalDBYr1BusBEmp3Utiliz">obal!$E$610:$I$610</definedName>
    <definedName name="obalDBYr1BusBEmp4Utiliz">obal!$E$609:$I$609</definedName>
    <definedName name="obalDBYr1BusBTotalForecastRev">obal!$E$614:$I$614</definedName>
    <definedName name="obalDBYr1BusBTotalQualityCost">obal!$E$613:$I$613</definedName>
    <definedName name="obalDBYr1CSATEnd">obal!$E$605:$I$605</definedName>
    <definedName name="obalDBYr1Emp6Utiliz">obal!$E$615:$I$615</definedName>
    <definedName name="obalDBYr1ESATEnd">obal!$E$604:$I$604</definedName>
    <definedName name="obalDBYr1GaugeBusAEmp2Utiliz">obal!$E$623:$I$623</definedName>
    <definedName name="obalDBYr1GaugeBusAEmp3Utiliz">obal!$E$622:$I$622</definedName>
    <definedName name="obalDBYr1GaugeBusAEmp4Utiliz">obal!$E$621:$I$621</definedName>
    <definedName name="obalDBYr1GaugeBusAEmp9Utiliz">obal!$E$624:$I$624</definedName>
    <definedName name="obalDBYr1GaugeEmp6Utiliz">obal!$E$625:$I$625</definedName>
    <definedName name="obalDBYr1GM">obal!$E$601:$I$601</definedName>
    <definedName name="obalDBYr1OM">obal!$E$602:$I$602</definedName>
    <definedName name="obalDBYr1TotalRev">obal!$E$600:$I$600</definedName>
    <definedName name="obalDBYr1TotalTrainingBudForecast">obal!$E$616:$I$616</definedName>
    <definedName name="obalDBYr2Bookings">obal!$E$627:$I$627</definedName>
    <definedName name="obalDBYr2BookingsCAGR">obal!$E$628:$I$628</definedName>
    <definedName name="obalDBYr2BusAEmp1Utiliz">obal!$E$649:$I$649</definedName>
    <definedName name="obalDBYr2BusAEmp2Utiliz">obal!$E$637:$I$637</definedName>
    <definedName name="obalDBYr2BusAEmp3Utiliz">obal!$E$636:$I$636</definedName>
    <definedName name="obalDBYr2BusAEmp4Utiliz">obal!$E$635:$I$635</definedName>
    <definedName name="obalDBYr2BusAEmp7Utiliz">obal!$E$646:$I$646</definedName>
    <definedName name="obalDBYr2BusAEmp8Utiliz">obal!$E$647:$I$647</definedName>
    <definedName name="obalDBYr2BusAEmp9Utiliz">obal!$E$648:$I$648</definedName>
    <definedName name="obalDBYr2BusATotalQualityCost">obal!$E$632:$I$632</definedName>
    <definedName name="obalDBYr2BusBEmp1Utiliz">obal!$E$641:$I$641</definedName>
    <definedName name="obalDBYr2BusBEmp2Utiliz">obal!$E$640:$I$640</definedName>
    <definedName name="obalDBYr2BusBEmp3Utiliz">obal!$E$639:$I$639</definedName>
    <definedName name="obalDBYr2BusBEmp4Utiliz">obal!$E$638:$I$638</definedName>
    <definedName name="obalDBYr2BusBTotalForecastRev">obal!$E$643:$I$643</definedName>
    <definedName name="obalDBYr2BusBTotalQualityCost">obal!$E$642:$I$642</definedName>
    <definedName name="obalDBYr2CSATEnd">obal!$E$634:$I$634</definedName>
    <definedName name="obalDBYr2Emp6Utiliz">obal!$E$644:$I$644</definedName>
    <definedName name="obalDBYr2ESATEnd">obal!$E$633:$I$633</definedName>
    <definedName name="obalDBYr2GaugeBusAEmp2Utiliz">obal!$E$652:$I$652</definedName>
    <definedName name="obalDBYr2GaugeBusAEmp3Utiliz">obal!$E$651:$I$651</definedName>
    <definedName name="obalDBYr2GaugeBusAEmp4Utiliz">obal!$E$650:$I$650</definedName>
    <definedName name="obalDBYr2GaugeBusAEmp9Utiliz">obal!$E$653:$I$653</definedName>
    <definedName name="obalDBYr2GaugeEmp6Utiliz">obal!$E$654:$I$654</definedName>
    <definedName name="obalDBYr2GM">obal!$E$630:$I$630</definedName>
    <definedName name="obalDBYr2OM">obal!$E$631:$I$631</definedName>
    <definedName name="obalDBYr2TotalRev">obal!$E$629:$I$629</definedName>
    <definedName name="obalDBYr2TotalTrainingBudForecast">obal!$E$645:$I$645</definedName>
    <definedName name="obalEmp1">obal!$E$76:$I$76</definedName>
    <definedName name="obalEmp1CumTrainingHrs">obal!$E$179:$I$179</definedName>
    <definedName name="obalEmp1GeneralTrainingBudget">obal!$E$172:$I$172</definedName>
    <definedName name="obalEmp1GeneralTrainingHrsAvail">obal!$E$157:$I$157</definedName>
    <definedName name="obalEmp1GeneralTrainingHrsCompleted">obal!$E$150:$I$150</definedName>
    <definedName name="obalEmp1Salary">obal!$E$134:$I$134</definedName>
    <definedName name="obalEmp1TrainingBudgetDelta" localSheetId="18">obal!$E$165:$I$165</definedName>
    <definedName name="obalEmp2">obal!$E$79:$I$79</definedName>
    <definedName name="obalEmp2CumTrainingHrs">obal!$E$180:$I$180</definedName>
    <definedName name="obalEmp2GeneralTrainingBudget">obal!$E$173:$I$173</definedName>
    <definedName name="obalEmp2GeneralTrainingHrsAvail">obal!$E$158:$I$158</definedName>
    <definedName name="obalEmp2GeneralTrainingHrsCompleted">obal!$E$151:$I$151</definedName>
    <definedName name="obalEmp2Salary">obal!$E$135:$I$135</definedName>
    <definedName name="obalEmp2TrainingBudgetDelta" localSheetId="18">obal!$E$166:$I$166</definedName>
    <definedName name="obalEmp3">obal!$E$82:$I$82</definedName>
    <definedName name="obalEmp3CumTrainingHrs">obal!$E$181:$I$181</definedName>
    <definedName name="obalEmp3GeneralTrainingBudget">obal!$E$174:$I$174</definedName>
    <definedName name="obalEmp3GeneralTrainingHrsAvail">obal!$E$159:$I$159</definedName>
    <definedName name="obalEmp3GeneralTrainingHrsCompleted">obal!$E$152:$I$152</definedName>
    <definedName name="obalEmp3Salary">obal!$E$136:$I$136</definedName>
    <definedName name="obalEmp3TrainingBudgetDelta" localSheetId="18">obal!$E$167:$I$167</definedName>
    <definedName name="obalEmp4">obal!$E$85:$I$85</definedName>
    <definedName name="obalEmp4CumTrainingHrs">obal!$E$182:$I$182</definedName>
    <definedName name="obalEmp4GeneralTrainingBudget">obal!$E$175:$I$175</definedName>
    <definedName name="obalEmp4GeneralTrainingHrsAvail">obal!$E$160:$I$160</definedName>
    <definedName name="obalEmp4GeneralTrainingHrsCompleted">obal!$E$153:$I$153</definedName>
    <definedName name="obalEmp4Salary">obal!$E$137:$I$137</definedName>
    <definedName name="obalEmp4TrainingBudgetDelta" localSheetId="18">obal!$E$168:$I$168</definedName>
    <definedName name="obalEmp6">obal!$E$91:$I$91</definedName>
    <definedName name="obalEmp6CumTrainingHrs">obal!$E$183:$I$183</definedName>
    <definedName name="obalEmp6GeneralTrainingBudget">obal!$E$176:$I$176</definedName>
    <definedName name="obalEmp6GeneralTrainingHrsAvail">obal!$E$161:$I$161</definedName>
    <definedName name="obalEmp6GeneralTrainingHrsCompleted">obal!$E$154:$I$154</definedName>
    <definedName name="obalEmp6IndAvgUtiliz">obal!$E$125:$I$125</definedName>
    <definedName name="obalEmp6Recruited">obal!$E$72:$I$72</definedName>
    <definedName name="obalEmp6TrainingBudgetDelta" localSheetId="18">obal!$E$169:$I$169</definedName>
    <definedName name="obalEmp6Utiliz">obal!$E$107:$I$107</definedName>
    <definedName name="obalEmp7Recruited">obal!$E$69:$I$69</definedName>
    <definedName name="obalEmp8Recruited">obal!$E$70:$I$70</definedName>
    <definedName name="obalEmp9Recruited">obal!$E$71:$I$71</definedName>
    <definedName name="obalEmpEngagementY1">obal!$E$393:$I$393</definedName>
    <definedName name="obalEmpEngagementY2">obal!$E$394:$I$394</definedName>
    <definedName name="obalEmpEngagementY3">obal!$E$395:$I$395</definedName>
    <definedName name="obalEmpEngagementY4">obal!$E$396:$I$396</definedName>
    <definedName name="obalEnterpriseWFUtilizationY1">obal!$E$449:$I$449</definedName>
    <definedName name="obalEnterpriseWFUtilizationY2">obal!$E$450:$I$450</definedName>
    <definedName name="obalEnterpriseWFUtilizationY3">obal!$E$451:$I$451</definedName>
    <definedName name="obalEnterpriseWFUtilizationY4">obal!$E$452:$I$452</definedName>
    <definedName name="obalESAT">obal!$E$46:$I$46</definedName>
    <definedName name="obalGeneralTrainingHrsPullOut">obal!$E$163:$I$163</definedName>
    <definedName name="obalH1Competency">obal!$E$212:$I$212</definedName>
    <definedName name="obalH2Competency">obal!$E$213:$I$213</definedName>
    <definedName name="obalH3Competency">obal!$E$214:$I$214</definedName>
    <definedName name="obalIndustryAvgCIMargin">obal!$E$44:$I$44</definedName>
    <definedName name="obalIndustryEminence">obal!$E$193:$I$193</definedName>
    <definedName name="obalInternalAssets">obal!$E$194:$I$194</definedName>
    <definedName name="obalLTDebtValue">obal!$E$25:$I$25</definedName>
    <definedName name="obalNetEarnValue">obal!$E$32:$I$32</definedName>
    <definedName name="obalNetLocalSavingsY1">obal!$E$453:$I$453</definedName>
    <definedName name="obalNetLocalSavingsY2">obal!$E$454:$I$454</definedName>
    <definedName name="obalNetLocalSavingsY3">obal!$E$455:$I$455</definedName>
    <definedName name="obalNetLocalSavingsY4">obal!$E$456:$I$456</definedName>
    <definedName name="obalOtherAsstesValue">obal!$E$13:$I$13</definedName>
    <definedName name="obalOtherCurrLiabValue">obal!$E$21:$I$21</definedName>
    <definedName name="obalOtherLTLiab">obal!$E$26:$I$26</definedName>
    <definedName name="obalOutsourcingCCIPctofRevenueY1">obal!$E$441:$I$441</definedName>
    <definedName name="obalOutsourcingCCIPctofRevenueY2">obal!$E$442:$I$442</definedName>
    <definedName name="obalOutsourcingCCIPctofRevenueY3">obal!$E$443:$I$443</definedName>
    <definedName name="obalOutsourcingCCIPctofRevenueY4">obal!$E$444:$I$444</definedName>
    <definedName name="obalOutsourcingProductivityGainY1">obal!$E$445:$I$445</definedName>
    <definedName name="obalOutsourcingProductivityGainY2">obal!$E$446:$I$446</definedName>
    <definedName name="obalOutsourcingProductivityGainY3">obal!$E$447:$I$447</definedName>
    <definedName name="obalOutsourcingProductivityGainY4">obal!$E$448:$I$448</definedName>
    <definedName name="obalOutsourcingRevPctofTotalRevenueY1">obal!$E$437:$I$437</definedName>
    <definedName name="obalOutsourcingRevPctofTotalRevenueY2">obal!$E$438:$I$438</definedName>
    <definedName name="obalOutsourcingRevPctofTotalRevenueY3">obal!$E$439:$I$439</definedName>
    <definedName name="obalOutsourcingRevPctofTotalRevenueY4">obal!$E$440:$I$440</definedName>
    <definedName name="obalOutsourcingRevY1">obal!$E$429:$I$429</definedName>
    <definedName name="obalOutsourcingRevY2">obal!$E$430:$I$430</definedName>
    <definedName name="obalOutsourcingRevY3">obal!$E$431:$I$431</definedName>
    <definedName name="obalOutsourcingRevY4">obal!$E$432:$I$432</definedName>
    <definedName name="obalOutsourcingSalesGrowthY1">obal!$E$433:$I$433</definedName>
    <definedName name="obalOutsourcingSalesGrowthY2">obal!$E$434:$I$434</definedName>
    <definedName name="obalOutsourcingSalesGrowthY3">obal!$E$435:$I$435</definedName>
    <definedName name="obalOutsourcingSalesGrowthY4">obal!$E$436:$I$436</definedName>
    <definedName name="obalPlant1Value">obal!$E$10:$I$10</definedName>
    <definedName name="obalPlantValue">obal!$E$11:$I$11</definedName>
    <definedName name="obalPrac1Bookings">obal!$E$52:$I$52</definedName>
    <definedName name="obalPrac1RevY1">obal!$E$457:$I$457</definedName>
    <definedName name="obalPrac1RevY2">obal!$E$458:$I$458</definedName>
    <definedName name="obalPrac2Bookings">obal!$E$53:$I$53</definedName>
    <definedName name="obalPrac2RevY1">obal!$E$459:$I$459</definedName>
    <definedName name="obalPrac2RevY2">obal!$E$460:$I$460</definedName>
    <definedName name="obalPrac3Bookings">obal!$E$54:$I$54</definedName>
    <definedName name="obalPrac3RevY1">obal!$E$461:$I$461</definedName>
    <definedName name="obalPrac3RevY2">obal!$E$462:$I$462</definedName>
    <definedName name="obalRetEarnValue">obal!$E$31:$I$31</definedName>
    <definedName name="obalSpecLoansValue">obal!$E$22:$I$22</definedName>
    <definedName name="obalTotalAttritionY1">obal!$E$397:$I$397</definedName>
    <definedName name="obalTotalAttritionY2">obal!$E$398:$I$398</definedName>
    <definedName name="obalTotalAttritionY3">obal!$E$399:$I$399</definedName>
    <definedName name="obalTotalAttritionY4">obal!$E$400:$I$400</definedName>
    <definedName name="obalTotalCI">obal!$E$42:$I$42</definedName>
    <definedName name="obalTotalCIMargin">obal!$E$43:$I$43</definedName>
    <definedName name="obalTotalCIPctRevY1">obal!$E$389:$I$389</definedName>
    <definedName name="obalTotalCIPctRevY2">obal!$E$390:$I$390</definedName>
    <definedName name="obalTotalCIPctRevY3">obal!$E$391:$I$391</definedName>
    <definedName name="obalTotalCIPctRevY4">obal!$E$392:$I$392</definedName>
    <definedName name="obalTotalControllableIncome">obal!$E$260:$I$260</definedName>
    <definedName name="obalTotalEmpRecruited">obal!$E$73:$I$73</definedName>
    <definedName name="obalTotalGeneralTrainingHrsAvail">obal!$E$162:$I$162</definedName>
    <definedName name="obalTotalGeneralTrainingHrsCompleted">obal!$E$155:$I$155</definedName>
    <definedName name="obalTotalHeadCount">obal!$E$92:$I$92</definedName>
    <definedName name="obalTotalInYearScoreY1">obal!$E$401:$I$401</definedName>
    <definedName name="obalTotalInYearScoreY2">obal!$E$402:$I$402</definedName>
    <definedName name="obalTotalInYearScoreY3">obal!$E$403:$I$403</definedName>
    <definedName name="obalTotalInYearScoreY4">obal!$E$404:$I$404</definedName>
    <definedName name="obalTotalRealizedRev">obal!$E$318:$I$318</definedName>
    <definedName name="obalTotalRevenue">obal!$E$38:$I$38</definedName>
    <definedName name="obalTotalRevY1">obal!$E$381:$I$381</definedName>
    <definedName name="obalTotalRevY2">obal!$E$382:$I$382</definedName>
    <definedName name="obalTotalRevY3">obal!$E$383:$I$383</definedName>
    <definedName name="obalTotalRevY4">obal!$E$384:$I$384</definedName>
    <definedName name="obalTotalSales">obal!$E$41:$I$41</definedName>
    <definedName name="obalTotalSalesGrowthY1">obal!$E$385:$I$385</definedName>
    <definedName name="obalTotalSalesGrowthY2">obal!$E$386:$I$386</definedName>
    <definedName name="obalTotalSalesGrowthY3">obal!$E$387:$I$387</definedName>
    <definedName name="obalTotalSalesGrowthY4">obal!$E$388:$I$388</definedName>
    <definedName name="obalV1Competency">obal!$E$209:$I$209</definedName>
    <definedName name="obalV1H1Comp">obal!$E$198:$I$198</definedName>
    <definedName name="obalV1H2Comp">obal!$E$199:$I$199</definedName>
    <definedName name="obalV1H3Comp">obal!$E$200:$I$200</definedName>
    <definedName name="obalV2Competency">obal!$E$210:$I$210</definedName>
    <definedName name="obalV2H1Comp">obal!$E$201:$I$201</definedName>
    <definedName name="obalV2H2Comp">obal!$E$202:$I$202</definedName>
    <definedName name="obalV2H3Comp">obal!$E$203:$I$203</definedName>
    <definedName name="obalV3Competency">obal!$E$211:$I$211</definedName>
    <definedName name="obalV3H1Comp">obal!$E$204:$I$204</definedName>
    <definedName name="obalV3H2Comp">obal!$E$205:$I$205</definedName>
    <definedName name="obalV3H3Comp">obal!$E$206:$I$206</definedName>
    <definedName name="obalY1SpecProg1">obal!$E$476:$I$476</definedName>
    <definedName name="obalY1SpecProg2">obal!$E$477:$I$477</definedName>
    <definedName name="obalY1SpecProg3">obal!$E$478:$I$478</definedName>
    <definedName name="obalY1SpecProg4">obal!$E$479:$I$479</definedName>
    <definedName name="obalY1SpecProg5">obal!$E$480:$I$480</definedName>
    <definedName name="obalY1SpecProg6">obal!$E$481:$I$481</definedName>
    <definedName name="obalY1SpecProg7">obal!$E$482:$I$482</definedName>
    <definedName name="obalY1V1H1BidRev">obal!$E$291:$I$291</definedName>
    <definedName name="obalY1V1H1BidWon">obal!$E$262:$I$262</definedName>
    <definedName name="obalY1V1H1COS">obal!$E$320:$I$320</definedName>
    <definedName name="obalY1V1H1COSRealized">obal!$E$350:$I$350</definedName>
    <definedName name="obalY1V1H2BidRev">obal!$E$292:$I$292</definedName>
    <definedName name="obalY1V1H2BidWon">obal!$E$263:$I$263</definedName>
    <definedName name="obalY1V1H2COS">obal!$E$321:$I$321</definedName>
    <definedName name="obalY1V1H2COSRealized">obal!$E$351:$I$351</definedName>
    <definedName name="obalY1V1H3BidRev">obal!$E$293:$I$293</definedName>
    <definedName name="obalY1V1H3BidWon">obal!$E$264:$I$264</definedName>
    <definedName name="obalY1V1H3COS">obal!$E$322:$I$322</definedName>
    <definedName name="obalY1V1H3COSRealized">obal!$E$352:$I$352</definedName>
    <definedName name="obalY1V2H1BidRev">obal!$E$294:$I$294</definedName>
    <definedName name="obalY1V2H1BidWon">obal!$E$265:$I$265</definedName>
    <definedName name="obalY1V2H1COS">obal!$E$323:$I$323</definedName>
    <definedName name="obalY1V2H1COSRealized">obal!$E$353:$I$353</definedName>
    <definedName name="obalY1V2H2BidRev">obal!$E$295:$I$295</definedName>
    <definedName name="obalY1V2H2BidWon">obal!$E$266:$I$266</definedName>
    <definedName name="obalY1V2H2COS">obal!$E$324:$I$324</definedName>
    <definedName name="obalY1V2H2COSRealized">obal!$E$354:$I$354</definedName>
    <definedName name="obalY1V2H3BidRev">obal!$E$296:$I$296</definedName>
    <definedName name="obalY1V2H3BidWon">obal!$E$267:$I$267</definedName>
    <definedName name="obalY1V2H3COS">obal!$E$325:$I$325</definedName>
    <definedName name="obalY1V2H3COSRealized">obal!$E$355:$I$355</definedName>
    <definedName name="obalY1V3H1BidRev">obal!$E$297:$I$297</definedName>
    <definedName name="obalY1V3H1BidWon">obal!$E$268:$I$268</definedName>
    <definedName name="obalY1V3H1COS">obal!$E$326:$I$326</definedName>
    <definedName name="obalY1V3H1COSRealized">obal!$E$356:$I$356</definedName>
    <definedName name="obalY1V3H2BidRev">obal!$E$298:$I$298</definedName>
    <definedName name="obalY1V3H2BidWon">obal!$E$269:$I$269</definedName>
    <definedName name="obalY1V3H2COS">obal!$E$327:$I$327</definedName>
    <definedName name="obalY1V3H2COSRealized">obal!$E$357:$I$357</definedName>
    <definedName name="obalY1V3H3BidRev">obal!$E$299:$I$299</definedName>
    <definedName name="obalY1V3H3BidWon">obal!$E$270:$I$270</definedName>
    <definedName name="obalY1V3H3COS">obal!$E$328:$I$328</definedName>
    <definedName name="obalY1V3H3COSRealized">obal!$E$358:$I$358</definedName>
    <definedName name="obalY1Wobbler1">obal!$E$505:$I$505</definedName>
    <definedName name="obalY1Wobbler2">obal!$E$506:$I$506</definedName>
    <definedName name="obalY1Wobbler3">obal!$E$507:$I$507</definedName>
    <definedName name="obalY1Wobbler4">obal!$E$508:$I$508</definedName>
    <definedName name="obalY2SpecProg1">obal!$E$483:$I$483</definedName>
    <definedName name="obalY2SpecProg2">obal!$E$484:$I$484</definedName>
    <definedName name="obalY2SpecProg3">obal!$E$485:$I$485</definedName>
    <definedName name="obalY2SpecProg4">obal!$E$486:$I$486</definedName>
    <definedName name="obalY2SpecProg5">obal!$E$487:$I$487</definedName>
    <definedName name="obalY2SpecProg6">obal!$E$488:$I$488</definedName>
    <definedName name="obalY2SpecProg7">obal!$E$489:$I$489</definedName>
    <definedName name="obalY2V1H1BidRev">obal!$E$300:$I$300</definedName>
    <definedName name="obalY2V1H1BidWon">obal!$E$271:$I$271</definedName>
    <definedName name="obalY2V1H1COS">obal!$E$329:$I$329</definedName>
    <definedName name="obalY2V1H1COSRealized">obal!$E$359:$I$359</definedName>
    <definedName name="obalY2V1H2BidRev">obal!$E$301:$I$301</definedName>
    <definedName name="obalY2V1H2BidWon">obal!$E$272:$I$272</definedName>
    <definedName name="obalY2V1H2COS">obal!$E$330:$I$330</definedName>
    <definedName name="obalY2V1H2COSRealized">obal!$E$360:$I$360</definedName>
    <definedName name="obalY2V1H3BidRev">obal!$E$302:$I$302</definedName>
    <definedName name="obalY2V1H3BidWon">obal!$E$273:$I$273</definedName>
    <definedName name="obalY2V1H3COS">obal!$E$331:$I$331</definedName>
    <definedName name="obalY2V1H3COSRealized">obal!$E$361:$I$361</definedName>
    <definedName name="obalY2V2H1BidRev">obal!$E$303:$I$303</definedName>
    <definedName name="obalY2V2H1BidWon">obal!$E$274:$I$274</definedName>
    <definedName name="obalY2V2H1COS">obal!$E$332:$I$332</definedName>
    <definedName name="obalY2V2H1COSRealized">obal!$E$362:$I$362</definedName>
    <definedName name="obalY2V2H2BidRev">obal!$E$304:$I$304</definedName>
    <definedName name="obalY2V2H2BidWon">obal!$E$275:$I$275</definedName>
    <definedName name="obalY2V2H2COS">obal!$E$333:$I$333</definedName>
    <definedName name="obalY2V2H2COSRealized">obal!$E$363:$I$363</definedName>
    <definedName name="obalY2V2H3BidRev">obal!$E$305:$I$305</definedName>
    <definedName name="obalY2V2H3BidWon">obal!$E$276:$I$276</definedName>
    <definedName name="obalY2V2H3COS">obal!$E$334:$I$334</definedName>
    <definedName name="obalY2V2H3COSRealized">obal!$E$364:$I$364</definedName>
    <definedName name="obalY2V3H1BidRev">obal!$E$306:$I$306</definedName>
    <definedName name="obalY2V3H1BidWon">obal!$E$277:$I$277</definedName>
    <definedName name="obalY2V3H1COS">obal!$E$335:$I$335</definedName>
    <definedName name="obalY2V3H1COSRealized">obal!$E$365:$I$365</definedName>
    <definedName name="obalY2V3H2BidRev">obal!$E$307:$I$307</definedName>
    <definedName name="obalY2V3H2BidWon">obal!$E$278:$I$278</definedName>
    <definedName name="obalY2V3H2COS">obal!$E$336:$I$336</definedName>
    <definedName name="obalY2V3H2COSRealized">obal!$E$366:$I$366</definedName>
    <definedName name="obalY2V3H3BidRev">obal!$E$308:$I$308</definedName>
    <definedName name="obalY2V3H3BidWon">obal!$E$279:$I$279</definedName>
    <definedName name="obalY2V3H3COS">obal!$E$337:$I$337</definedName>
    <definedName name="obalY2V3H3COSRealized">obal!$E$367:$I$367</definedName>
    <definedName name="obalY2Wobbler1">obal!$E$509:$I$509</definedName>
    <definedName name="obalY2Wobbler2">obal!$E$510:$I$510</definedName>
    <definedName name="obalY2Wobbler3">obal!$E$511:$I$511</definedName>
    <definedName name="obalY2Wobbler4">obal!$E$512:$I$512</definedName>
    <definedName name="obalY3SpecProg1">obal!$E$490:$I$490</definedName>
    <definedName name="obalY3SpecProg2">obal!$E$491:$I$491</definedName>
    <definedName name="obalY3SpecProg3">obal!$E$492:$I$492</definedName>
    <definedName name="obalY3SpecProg4">obal!$E$493:$I$493</definedName>
    <definedName name="obalY3SpecProg5">obal!$E$494:$I$494</definedName>
    <definedName name="obalY3SpecProg6">obal!$E$495:$I$495</definedName>
    <definedName name="obalY3SpecProg7">obal!$E$496:$I$496</definedName>
    <definedName name="obalY3V1H1BidRev">obal!$E$309:$I$309</definedName>
    <definedName name="obalY3V1H1BidWon">obal!$E$280:$I$280</definedName>
    <definedName name="obalY3V1H1COS">obal!$E$338:$I$338</definedName>
    <definedName name="obalY3V1H1COSRealized">obal!$E$368:$I$368</definedName>
    <definedName name="obalY3V1H2BidRev">obal!$E$310:$I$310</definedName>
    <definedName name="obalY3V1H2BidWon">obal!$E$281:$I$281</definedName>
    <definedName name="obalY3V1H2COS">obal!$E$339:$I$339</definedName>
    <definedName name="obalY3V1H2COSRealized">obal!$E$369:$I$369</definedName>
    <definedName name="obalY3V1H3BidRev">obal!$E$311:$I$311</definedName>
    <definedName name="obalY3V1H3BidWon">obal!$E$282:$I$282</definedName>
    <definedName name="obalY3V1H3COS">obal!$E$340:$I$340</definedName>
    <definedName name="obalY3V1H3COSRealized">obal!$E$370:$I$370</definedName>
    <definedName name="obalY3V2H1BidRev">obal!$E$312:$I$312</definedName>
    <definedName name="obalY3V2H1BidWon">obal!$E$283:$I$283</definedName>
    <definedName name="obalY3V2H1COS">obal!$E$341:$I$341</definedName>
    <definedName name="obalY3V2H1COSRealized">obal!$E$371:$I$371</definedName>
    <definedName name="obalY3V2H2BidRev">obal!$E$313:$I$313</definedName>
    <definedName name="obalY3V2H2BidWon">obal!$E$284:$I$284</definedName>
    <definedName name="obalY3V2H2COS">obal!$E$342:$I$342</definedName>
    <definedName name="obalY3V2H2COSRealized">obal!$E$372:$I$372</definedName>
    <definedName name="obalY3V2H3BidRev">obal!$E$314:$I$314</definedName>
    <definedName name="obalY3V2H3BidWon">obal!$E$285:$I$285</definedName>
    <definedName name="obalY3V2H3COS">obal!$E$343:$I$343</definedName>
    <definedName name="obalY3V2H3COSRealized">obal!$E$373:$I$373</definedName>
    <definedName name="obalY3V3H1BidRev">obal!$E$315:$I$315</definedName>
    <definedName name="obalY3V3H1BidWon">obal!$E$286:$I$286</definedName>
    <definedName name="obalY3V3H1COS">obal!$E$344:$I$344</definedName>
    <definedName name="obalY3V3H1COSRealized">obal!$E$374:$I$374</definedName>
    <definedName name="obalY3V3H2BidRev">obal!$E$316:$I$316</definedName>
    <definedName name="obalY3V3H2BidWon">obal!$E$287:$I$287</definedName>
    <definedName name="obalY3V3H2COS">obal!$E$345:$I$345</definedName>
    <definedName name="obalY3V3H2COSRealized">obal!$E$375:$I$375</definedName>
    <definedName name="obalY3V3H3BidRev">obal!$E$317:$I$317</definedName>
    <definedName name="obalY3V3H3BidWon">obal!$E$288:$I$288</definedName>
    <definedName name="obalY3V3H3COS">obal!$E$346:$I$346</definedName>
    <definedName name="obalY3V3H3COSRealized">obal!$E$376:$I$376</definedName>
    <definedName name="obalY3Wobbler1">obal!$E$513:$I$513</definedName>
    <definedName name="obalY3Wobbler2">obal!$E$514:$I$514</definedName>
    <definedName name="obalY3Wobbler3">obal!$E$515:$I$515</definedName>
    <definedName name="obalY3Wobbler4">obal!$E$516:$I$516</definedName>
    <definedName name="obalY4SpecProg1">obal!$E$497:$I$497</definedName>
    <definedName name="obalY4SpecProg2">obal!$E$498:$I$498</definedName>
    <definedName name="obalY4SpecProg3">obal!$E$499:$I$499</definedName>
    <definedName name="obalY4SpecProg4">obal!$E$500:$I$500</definedName>
    <definedName name="obalY4SpecProg5">obal!$E$501:$I$501</definedName>
    <definedName name="obalY4SpecProg6">obal!$E$502:$I$502</definedName>
    <definedName name="obalY4SpecProg7">obal!$E$503:$I$503</definedName>
    <definedName name="obalY4Wobbler1">obal!$E$517:$I$517</definedName>
    <definedName name="obalY4Wobbler2">obal!$E$518:$I$518</definedName>
    <definedName name="obalY4Wobbler3">obal!$E$519:$I$519</definedName>
    <definedName name="obalY4Wobbler4">obal!$E$520:$I$520</definedName>
    <definedName name="PaperSizer" localSheetId="13">tlPeople!PaperSizer</definedName>
    <definedName name="PaperSizer" localSheetId="15">tlPNLBusA!PaperSizer</definedName>
    <definedName name="PaperSizer" localSheetId="33">toolPNLBusB!PaperSizer</definedName>
    <definedName name="PaperSizer">[0]!PaperSizer</definedName>
    <definedName name="paramAPDays">param!$E$345:$E$345</definedName>
    <definedName name="paramBusACreditDays">param!$E$349:$E$349</definedName>
    <definedName name="paramBusALocalPerQualityCost">param!$E$17:$E$17</definedName>
    <definedName name="paramBusAQualityCostPctCOS">param!$E$16:$E$16</definedName>
    <definedName name="paramBusBH1RevPullThruWeight">param!$E$93:$E$93</definedName>
    <definedName name="paramBusBH2RevPullThruWeight">param!$E$94:$E$94</definedName>
    <definedName name="paramBusBH3RevPullThruWeight">param!$E$95:$E$95</definedName>
    <definedName name="paramBusBQualityCostPctCOS">param!$E$92:$E$92</definedName>
    <definedName name="paramBusBYearsPerContract">param!$E$391:$E$391</definedName>
    <definedName name="paramCashIntRate">param!$E$341:$E$341</definedName>
    <definedName name="paramCStockParValue">param!$E$348:$E$348</definedName>
    <definedName name="paramDaysPerYear">param!$E$346:$E$346</definedName>
    <definedName name="paramEmp10AdminCostPct">param!$E$311:$E$311</definedName>
    <definedName name="paramEmp10AttRate">param!$E$308:$E$308</definedName>
    <definedName name="paramEmp10Exp">param!$E$309:$E$309</definedName>
    <definedName name="paramEmp10HoursPYear">param!$E$313:$E$313</definedName>
    <definedName name="paramEmp10OTRate">param!$E$312:$E$312</definedName>
    <definedName name="paramEmp10RecDismCost">param!$E$310:$E$310</definedName>
    <definedName name="paramEmp1AdminCostPct">param!$E$141:$E$141</definedName>
    <definedName name="paramEmp1AttRate">param!$E$138:$E$138</definedName>
    <definedName name="paramEmp1BusAGenOpsPctCostReducPerHr">param!$E$151:$E$151</definedName>
    <definedName name="paramEmp1BusAHrsReqPerCompDevLevel">param!$E$147:$E$147</definedName>
    <definedName name="paramEmp1BusBGenOpsPctCostReducPerHr">param!$E$149:$E$149</definedName>
    <definedName name="paramEmp1BusBHrsReqPerCompDevLevel">param!$E$148:$E$148</definedName>
    <definedName name="paramEmp1CompMltplr">param!$E$146:$E$146</definedName>
    <definedName name="paramEmp1Exp">param!$E$139:$E$139</definedName>
    <definedName name="paramEmp1HoursPYear">param!$E$143:$E$143</definedName>
    <definedName name="paramEmp1LoadPctSalary">param!$E$145:$E$145</definedName>
    <definedName name="paramEmp1OTRate">param!$E$142:$E$142</definedName>
    <definedName name="paramEmp1ProductivityCoef">param!$E$144:$E$144</definedName>
    <definedName name="paramEmp1RecDismCost">param!$E$140:$E$140</definedName>
    <definedName name="paramEmp1TrainingHrsPerDollar">param!$E$150:$E$150</definedName>
    <definedName name="paramEmp2AdminCostPct">param!$E$163:$E$163</definedName>
    <definedName name="paramEmp2AttRate">param!$E$159:$E$159</definedName>
    <definedName name="paramEmp2BusAGenOpsPctCostReducPerHr">param!$E$172:$E$172</definedName>
    <definedName name="paramEmp2BusAHrsReqPerCompDevLevel">param!$E$168:$E$168</definedName>
    <definedName name="paramEmp2BusBGenOpsPctCostReducPerHr">param!$E$170:$E$170</definedName>
    <definedName name="paramEmp2BusBHrsReqPerCompDevLevel">param!$E$169:$E$169</definedName>
    <definedName name="paramEmp2CompMltplr">param!$E$167:$E$167</definedName>
    <definedName name="paramEmp2Exp">param!$E$160:$E$160</definedName>
    <definedName name="paramEmp2HoursPYear">param!$E$164:$E$164</definedName>
    <definedName name="paramEmp2LoadPctSalary">param!$E$166:$E$166</definedName>
    <definedName name="paramEmp2OTRate">param!$E$161:$E$161</definedName>
    <definedName name="paramEmp2ProductivityCoef">param!$E$165:$E$165</definedName>
    <definedName name="paramEmp2RecDismCost">param!$E$162:$E$162</definedName>
    <definedName name="paramEmp2TrainingHrsPerDollar">param!$E$171:$E$171</definedName>
    <definedName name="paramEmp3AdminCostPct">param!$E$184:$E$184</definedName>
    <definedName name="paramEmp3AttRate">param!$E$181:$E$181</definedName>
    <definedName name="paramEmp3BusAGenOpsPctCostReducPerHr">param!$E$194:$E$194</definedName>
    <definedName name="paramEmp3BusAHrsReqPerCompDevLevel">param!$E$190:$E$190</definedName>
    <definedName name="paramEmp3BusBGenOpsPctCostReducPerHr">param!$E$192:$E$192</definedName>
    <definedName name="paramEmp3BusBHrsReqPerCompDevLevel">param!$E$191:$E$191</definedName>
    <definedName name="paramEmp3CompMltplr">param!$E$189:$E$189</definedName>
    <definedName name="paramEmp3Exp">param!$E$182:$E$182</definedName>
    <definedName name="paramEmp3HoursPYear">param!$E$186:$E$186</definedName>
    <definedName name="paramEmp3LoadPctSalary">param!$E$188:$E$188</definedName>
    <definedName name="paramEmp3OTRate">param!$E$185:$E$185</definedName>
    <definedName name="paramEmp3ProductivityCoef">param!$E$187:$E$187</definedName>
    <definedName name="paramEmp3RecDismCost">param!$E$183:$E$183</definedName>
    <definedName name="paramEmp3TrainingHrsPerDollar">param!$E$193:$E$193</definedName>
    <definedName name="paramEmp4AdminCostPct">param!$E$206:$E$206</definedName>
    <definedName name="paramEmp4AttRate">param!$E$203:$E$203</definedName>
    <definedName name="paramEmp4BusAGenOpsPctCostReducPerHr">param!$E$216:$E$216</definedName>
    <definedName name="paramEmp4BusAHrsReqPerCompDevLevel">param!$E$212:$E$212</definedName>
    <definedName name="paramEmp4BusBGenOpsPctCostReducPerHr">param!$E$214:$E$214</definedName>
    <definedName name="paramEmp4BusBHrsReqPerCompDevLevel">param!$E$213:$E$213</definedName>
    <definedName name="paramEmp4CompMltplr">param!$E$211:$E$211</definedName>
    <definedName name="paramEmp4Exp">param!$E$204:$E$204</definedName>
    <definedName name="paramEmp4HoursPYear">param!$E$208:$E$208</definedName>
    <definedName name="paramEmp4LoadPctSalary">param!$E$210:$E$210</definedName>
    <definedName name="paramEmp4OTRate">param!$E$207:$E$207</definedName>
    <definedName name="paramEmp4ProductivityCoef">param!$E$209:$E$209</definedName>
    <definedName name="paramEmp4RecDismCost">param!$E$205:$E$205</definedName>
    <definedName name="paramEmp4TrainingHrsPerDollar">param!$E$215:$E$215</definedName>
    <definedName name="paramEmp5AdminCostPct">param!$E$229:$E$229</definedName>
    <definedName name="paramEmp5AttRate">param!$E$224:$E$224</definedName>
    <definedName name="paramEmp5Exp">param!$E$225:$E$225</definedName>
    <definedName name="paramEmp5HoursPYear">param!$E$231:$E$231</definedName>
    <definedName name="paramEmp5OTRate">param!$E$230:$E$230</definedName>
    <definedName name="paramEmp5ProductivityCoef">param!$E$232:$E$232</definedName>
    <definedName name="paramEmp5RecDismCost">param!$E$228:$E$228</definedName>
    <definedName name="paramEmp5V2Exp">param!$E$226:$E$226</definedName>
    <definedName name="paramEmp5V3Exp">param!$E$227:$E$227</definedName>
    <definedName name="paramEmp6AdminCostPct">param!$E$243:$E$243</definedName>
    <definedName name="paramEmp6AttRate">param!$E$240:$E$240</definedName>
    <definedName name="paramEmp6Exp">param!$E$241:$E$241</definedName>
    <definedName name="paramEmp6HoursPYear">param!$E$245:$E$245</definedName>
    <definedName name="paramEmp6HrsPerSalesSupportLevel">param!$E$249:$E$249</definedName>
    <definedName name="paramEmp6OTRate">param!$E$244:$E$244</definedName>
    <definedName name="paramEmp6ProductivityCoef">param!$E$247:$E$247</definedName>
    <definedName name="paramEmp6RecDismCost">param!$E$242:$E$242</definedName>
    <definedName name="paramEmp6ReqPMilRev">param!$E$246:$E$246</definedName>
    <definedName name="paramEmp6TrainingHrsPerDollar">param!$E$248:$E$248</definedName>
    <definedName name="paramEmp7AdminCostPct">param!$E$260:$E$260</definedName>
    <definedName name="paramEmp7AttRate">param!$E$257:$E$257</definedName>
    <definedName name="paramEmp7BusAHrsReqPerCompDevLevel">param!$E$266:$E$266</definedName>
    <definedName name="paramEmp7BusBGenOpsPctCostReducPerHr">param!$E$268:$E$268</definedName>
    <definedName name="paramEmp7BusBHrsReqPerCompDevLevel">param!$E$267:$E$267</definedName>
    <definedName name="paramEmp7CompMltplr">param!$E$265:$E$265</definedName>
    <definedName name="paramEmp7Exp">param!$E$258:$E$258</definedName>
    <definedName name="paramEmp7HoursPYear">param!$E$262:$E$262</definedName>
    <definedName name="paramEmp7LoadPctSalary">param!$E$264:$E$264</definedName>
    <definedName name="paramEmp7OTRate">param!$E$261:$E$261</definedName>
    <definedName name="paramEmp7ProductivityCoef">param!$E$263:$E$263</definedName>
    <definedName name="paramEmp7RecDismCost">param!$E$259:$E$259</definedName>
    <definedName name="paramEmp7TrainingHrsPerDollar">param!$E$269:$E$269</definedName>
    <definedName name="paramEmp8AdminCostPct">param!$E$277:$E$277</definedName>
    <definedName name="paramEmp8AttRate">param!$E$274:$E$274</definedName>
    <definedName name="paramEmp8BusAHrsReqPerCompDevLevel">param!$E$283:$E$283</definedName>
    <definedName name="paramEmp8BusBGenOpsPctCostReducPerHr">param!$E$285:$E$285</definedName>
    <definedName name="paramEmp8BusBHrsReqPerCompDevLevel">param!$E$284:$E$284</definedName>
    <definedName name="paramEmp8CompMltplr">param!$E$282:$E$282</definedName>
    <definedName name="paramEmp8Exp">param!$E$275:$E$275</definedName>
    <definedName name="paramEmp8HoursPYear">param!$E$279:$E$279</definedName>
    <definedName name="paramEmp8LoadPctSalary">param!$E$281:$E$281</definedName>
    <definedName name="paramEmp8OTRate">param!$E$278:$E$278</definedName>
    <definedName name="paramEmp8ProductivityCoef">param!$E$280:$E$280</definedName>
    <definedName name="paramEmp8RecDismCost">param!$E$276:$E$276</definedName>
    <definedName name="paramEmp8TrainingHrsPerDollar">param!$E$286:$E$286</definedName>
    <definedName name="paramEmp9AdminCostPct">param!$E$294:$E$294</definedName>
    <definedName name="paramEmp9AttRate">param!$E$291:$E$291</definedName>
    <definedName name="paramEmp9BusAHrsReqPerCompDevLevel">param!$E$300:$E$300</definedName>
    <definedName name="paramEmp9BusBGenOpsPctCostReducPerHr">param!$E$302:$E$302</definedName>
    <definedName name="paramEmp9BusBHrsReqPerCompDevLevel">param!$E$301:$E$301</definedName>
    <definedName name="paramEmp9CompMltplr">param!$E$299:$E$299</definedName>
    <definedName name="paramEmp9Exp">param!$E$292:$E$292</definedName>
    <definedName name="paramEmp9HoursPYear">param!$E$296:$E$296</definedName>
    <definedName name="paramEmp9LoadPctSalary">param!$E$298:$E$298</definedName>
    <definedName name="paramEmp9OTRate">param!$E$295:$E$295</definedName>
    <definedName name="paramEmp9ProductivityCoef">param!$E$297:$E$297</definedName>
    <definedName name="paramEmp9RecDismCost">param!$E$293:$E$293</definedName>
    <definedName name="paramEmp9TrainingHrsPerDollar">param!$E$303:$E$303</definedName>
    <definedName name="paramH1PctCostReducPerHCompLvl">param!$E$89:$E$89</definedName>
    <definedName name="paramH2PctCostReducPerHCompLvl">param!$E$90:$E$90</definedName>
    <definedName name="paramH3PctCostReducPerHCompLvl">param!$E$91:$E$91</definedName>
    <definedName name="paramInternalCreditDays">param!$E$344:$E$344</definedName>
    <definedName name="paramLTDebtIntRate">param!$E$342:$E$342</definedName>
    <definedName name="paramOtherCurrLiabGrowth">param!$E$347:$E$347</definedName>
    <definedName name="paramPlant1DepRate">param!$E$320:$E$320</definedName>
    <definedName name="paramPlant1DivRevenue">param!$E$316:$E$316</definedName>
    <definedName name="paramPlant1InvCost">param!$E$317:$E$317</definedName>
    <definedName name="paramPlant1MachCostPHr">param!$E$319:$E$319</definedName>
    <definedName name="paramPlant1MachHrsPUnit">param!$E$318:$E$318</definedName>
    <definedName name="paramPlant1RampUpPct">param!$E$321:$E$321</definedName>
    <definedName name="paramPlant2DepRate">param!$E$328:$E$328</definedName>
    <definedName name="paramPlant2DivRevenue">param!$E$324:$E$324</definedName>
    <definedName name="paramPlant2InvCost">param!$E$325:$E$325</definedName>
    <definedName name="paramPlant2MachCostPHr">param!$E$327:$E$327</definedName>
    <definedName name="paramPlant2MachHrsPUnit">param!$E$326:$E$326</definedName>
    <definedName name="paramPlant2RampUpPct">param!$E$329:$E$329</definedName>
    <definedName name="paramPlant3DepRate">param!$E$336:$E$336</definedName>
    <definedName name="paramPlant3DivRevenue">param!$E$332:$E$332</definedName>
    <definedName name="paramPlant3InvCost">param!$E$333:$E$333</definedName>
    <definedName name="paramPlant3MachCostPHr">param!$E$335:$E$335</definedName>
    <definedName name="paramPlant3MachHrsPUnit">param!$E$334:$E$334</definedName>
    <definedName name="paramPlant3RampUpPct">param!$E$337:$E$337</definedName>
    <definedName name="paramProd1AdminCost">param!$E$12:$E$12</definedName>
    <definedName name="paramProd1CycTimeDays">param!$E$5:$E$5</definedName>
    <definedName name="paramProd1DistCostPUnit">param!$E$13:$E$13</definedName>
    <definedName name="paramProd1Emp1Req">param!$E$11:$E$11</definedName>
    <definedName name="paramProd1FixedAdmin">param!$E$14:$E$14</definedName>
    <definedName name="paramProd1InventoryHndlgPct">param!$E$12:$E$12</definedName>
    <definedName name="paramProd1LabHrsReqPUnit">param!$E$9:$E$9</definedName>
    <definedName name="paramProd1MachHrsReqPUnit">param!$E$10:$E$10</definedName>
    <definedName name="paramProd1MatCostPUnit">param!$E$7:$E$7</definedName>
    <definedName name="paramProd1MatCostPUnitPFtr1Level">param!$E$6:$E$6</definedName>
    <definedName name="paramProd1MatPctOfProduction">param!$E$8:$E$8</definedName>
    <definedName name="paramProd1OtherCost">param!$E$15:$E$15</definedName>
    <definedName name="paramProd2CycTimeDays">param!$E$24:$E$24</definedName>
    <definedName name="paramProd2DistCostPUnit">param!$E$32:$E$32</definedName>
    <definedName name="paramProd2Emp1Req">param!$E$30:$E$30</definedName>
    <definedName name="paramProd2FixedAdmin">param!$E$33:$E$33</definedName>
    <definedName name="paramProd2InventoryHndlgPct">param!$E$31:$E$31</definedName>
    <definedName name="paramProd2LabHrsReqPUnit">param!$E$28:$E$28</definedName>
    <definedName name="paramProd2MachHrsReqPUnit">param!$E$29:$E$29</definedName>
    <definedName name="paramProd2MatCostPUnit">param!$E$26:$E$26</definedName>
    <definedName name="paramProd2MatCostPUnitPFtr1Level">param!$E$25:$E$25</definedName>
    <definedName name="paramProd2MatPctOfProduction">param!$E$27:$E$27</definedName>
    <definedName name="paramProd2OtherCost">param!$E$34:$E$34</definedName>
    <definedName name="paramProd3CycTimeDays">param!$E$45:$E$45</definedName>
    <definedName name="paramProd3DistCostPUnit">param!$E$53:$E$53</definedName>
    <definedName name="paramProd3Emp1Req">param!$E$51:$E$51</definedName>
    <definedName name="paramProd3FixedAdmin">param!$E$54:$E$54</definedName>
    <definedName name="paramProd3InventoryHndlgPct">param!$E$52:$E$52</definedName>
    <definedName name="paramProd3LabHrsReqPUnit">param!$E$49:$E$49</definedName>
    <definedName name="paramProd3MachHrsReqPUnit">param!$E$50:$E$50</definedName>
    <definedName name="paramProd3MatCostPUnit">param!$E$47:$E$47</definedName>
    <definedName name="paramProd3MatCostPUnitPFtr1Level">param!$E$46:$E$46</definedName>
    <definedName name="paramProd3MatPctOfProduction">param!$E$48:$E$48</definedName>
    <definedName name="paramProd3OtherCost">param!$E$55:$E$55</definedName>
    <definedName name="paramProd4CycTimeDays">param!$E$67:$E$67</definedName>
    <definedName name="paramProd4DistCostPUnit">param!$E$75:$E$75</definedName>
    <definedName name="paramProd4Emp1Req">param!$E$73:$E$73</definedName>
    <definedName name="paramProd4FixedAdmin">param!$E$76:$E$76</definedName>
    <definedName name="paramProd4InventoryHndlgPct">param!$E$74:$E$74</definedName>
    <definedName name="paramProd4LabHrsReqPUnit">param!$E$71:$E$71</definedName>
    <definedName name="paramProd4MachHrsReqPUnit">param!$E$72:$E$72</definedName>
    <definedName name="paramProd4MatCostPUnit">param!$E$69:$E$69</definedName>
    <definedName name="paramProd4MatCostPUnitPFtr1Level">param!$E$68:$E$68</definedName>
    <definedName name="paramProd4MatPctOfProduction">param!$E$70:$E$70</definedName>
    <definedName name="paramProd4OtherCost">param!$E$77:$E$77</definedName>
    <definedName name="paramProd5CycTimeDays">param!$E$102:$E$102</definedName>
    <definedName name="paramProd5DistCostPUnit">param!$E$110:$E$110</definedName>
    <definedName name="paramProd5Emp1Req">param!$E$108:$E$108</definedName>
    <definedName name="paramProd5FixedAdmin">param!$E$111:$E$111</definedName>
    <definedName name="paramProd5InventoryHndlgPct">param!$E$109:$E$109</definedName>
    <definedName name="paramProd5LabHrsReqPUnit">param!$E$106:$E$106</definedName>
    <definedName name="paramProd5MachHrsReqPUnit">param!$E$107:$E$107</definedName>
    <definedName name="paramProd5MatCostPUnit">param!$E$104:$E$104</definedName>
    <definedName name="paramProd5MatCostPUnitPFtr1Level">param!$E$103:$E$103</definedName>
    <definedName name="paramProd5MatPctOfProduction">param!$E$105:$E$105</definedName>
    <definedName name="paramProd5OtherCost">param!$E$112:$E$112</definedName>
    <definedName name="paramProd6CycTimeDays">param!$E$120:$E$120</definedName>
    <definedName name="paramProd6DistCostPUnit">param!$E$128:$E$128</definedName>
    <definedName name="paramProd6Emp1Req">param!$E$126:$E$126</definedName>
    <definedName name="paramProd6FixedAdmin">param!$E$129:$E$129</definedName>
    <definedName name="paramProd6InventoryHndlgPct">param!$E$127:$E$127</definedName>
    <definedName name="paramProd6LabHrsReqPUnit">param!$E$124:$E$124</definedName>
    <definedName name="paramProd6MachHrsReqPUnit">param!$E$125:$E$125</definedName>
    <definedName name="paramProd6MatCostPUnit">param!$E$122:$E$122</definedName>
    <definedName name="paramProd6MatCostPUnitPFtr1Level">param!$E$121:$E$121</definedName>
    <definedName name="paramProd6MatPctOfProduction">param!$E$123:$E$123</definedName>
    <definedName name="paramProd6OtherCost">param!$E$130:$E$130</definedName>
    <definedName name="paramSpecLoansIntRate">param!$E$340:$E$340</definedName>
    <definedName name="paramSpecLoansRate">param!$E$340:$E$340</definedName>
    <definedName name="paramSpecProgBusAV1Exp">param!$E$360:$E$360</definedName>
    <definedName name="paramSpecProgBusAV2Exp">param!$E$361:$E$361</definedName>
    <definedName name="paramSpecProgBusAV3Exp">param!$E$362:$E$362</definedName>
    <definedName name="paramSpecProgBusBV1Exp">param!$E$363:$E$363</definedName>
    <definedName name="paramSpecProgBusBV2Exp">param!$E$364:$E$364</definedName>
    <definedName name="paramSpecProgBusBV3Exp">param!$E$365:$E$365</definedName>
    <definedName name="paramSpecProgESAT">param!$E$359:$E$359</definedName>
    <definedName name="paramSpecProgExp">param!$E$358:$E$358</definedName>
    <definedName name="paramSpecProgIndustryEminenceLevelAdd">param!$E$414:$E$414</definedName>
    <definedName name="paramSpecProgProd1Sales">param!$E$370:$E$370</definedName>
    <definedName name="paramSpecProgProd1Seg1Sales">param!$E$371:$E$371</definedName>
    <definedName name="paramSpecProgProd1Seg2Sales">param!$E$372:$E$372</definedName>
    <definedName name="paramSpecProgProd1Seg3Sales">param!$E$373:$E$373</definedName>
    <definedName name="paramSpecProgProd3Exp">param!$E$366:$E$366</definedName>
    <definedName name="paramSpecProgProd4Exp">param!$E$367:$E$367</definedName>
    <definedName name="paramSpecProgProd4Sales">param!$E$373:$E$373</definedName>
    <definedName name="paramSpecProgProd5Exp">param!$E$368:$E$368</definedName>
    <definedName name="paramSpecProgProd5Sales">param!$E$374:$E$374</definedName>
    <definedName name="paramSpecProgProd6Exp">param!$E$369:$E$369</definedName>
    <definedName name="paramSpecProgProd6Sales">param!$E$375:$E$375</definedName>
    <definedName name="paramSpecProgPursuitEfficiency">param!$E$392:$E$392</definedName>
    <definedName name="paramSpecProgPursuitEfficiencyH1">param!$E$396:$E$396</definedName>
    <definedName name="paramSpecProgPursuitEfficiencyH2">param!$E$397:$E$397</definedName>
    <definedName name="paramSpecProgPursuitEfficiencyH3">param!$E$398:$E$398</definedName>
    <definedName name="paramSpecProgPursuitEfficiencyV1">param!$E$393:$E$393</definedName>
    <definedName name="paramSpecProgPursuitEfficiencyV2">param!$E$394:$E$394</definedName>
    <definedName name="paramSpecProgPursuitEfficiencyV3">param!$E$395:$E$395</definedName>
    <definedName name="paramSpecProgramBPOH1CostReducPct">param!$E$379:$E$379</definedName>
    <definedName name="paramSpecProgramBPOH2CostReducPct">param!$E$380:$E$380</definedName>
    <definedName name="paramSpecProgramBPOH3CostReducPct">param!$E$381:$E$381</definedName>
    <definedName name="paramSpecProgramBPOV1CostReducPct">param!$E$376:$E$376</definedName>
    <definedName name="paramSpecProgramBPOV2CostReducPct">param!$E$377:$E$377</definedName>
    <definedName name="paramSpecProgramBPOV3CostReducPct">param!$E$378:$E$378</definedName>
    <definedName name="paramSpecProgramCash">param!$E$408:$E$408</definedName>
    <definedName name="paramSpecProgramCSAT">param!$E$410:$E$410</definedName>
    <definedName name="paramSpecProgramEmp1BusAInitHrsReq">param!$E$382:$E$382</definedName>
    <definedName name="paramSpecProgramEmp1BusBInitHrsReq">param!$E$386:$E$386</definedName>
    <definedName name="paramSpecProgramEmp2BusAInitHrsReq">param!$E$383:$E$383</definedName>
    <definedName name="paramSpecProgramEmp2BusBInitHrsReq">param!$E$387:$E$387</definedName>
    <definedName name="paramSpecProgramEmp3BusAInitHrsReq">param!$E$384:$E$384</definedName>
    <definedName name="paramSpecProgramEmp3BusBInitHrsReq">param!$E$388:$E$388</definedName>
    <definedName name="paramSpecProgramEmp4BusAInitHrsReq">param!$E$385:$E$385</definedName>
    <definedName name="paramSpecProgramEmp4BusBInitHrsReq">param!$E$389:$E$389</definedName>
    <definedName name="paramSpecProgramEmp6InitHrsReq">param!$E$390:$E$390</definedName>
    <definedName name="paramSpecProgramEmp7BusAInitHrsReq">param!$E$402:$E$402</definedName>
    <definedName name="paramSpecProgramEmp8BusAInitHrsReq">param!$E$403:$E$403</definedName>
    <definedName name="paramSpecProgramEmp9BusAInitHrsReq">param!$E$404:$E$404</definedName>
    <definedName name="paramSpecProgramOtherFixedAssets">param!$E$407:$E$407</definedName>
    <definedName name="paramSpecProgramPrac2ExpLvl">param!$E$405:$E$405</definedName>
    <definedName name="paramSpecProgramProd1CSAT">param!$E$409:$E$409</definedName>
    <definedName name="paramSpecProgramTotalEq">param!$E$406:$E$406</definedName>
    <definedName name="paramSpecProgTLLevelAddPrac1">param!$E$411:$E$411</definedName>
    <definedName name="paramSpecProgTLLevelAddPrac2">param!$E$412:$E$412</definedName>
    <definedName name="paramSpecProgTLLevelAddPrac3">param!$E$413:$E$413</definedName>
    <definedName name="paramTaxRate">param!$E$343:$E$343</definedName>
    <definedName name="paramV1BaseCOS">param!$E$37:$E$37</definedName>
    <definedName name="paramV1BaseRevenue">param!$E$36:$E$36</definedName>
    <definedName name="paramV1PctCostReducPerVCompLvl">param!$E$35:$E$35</definedName>
    <definedName name="paramV2BaseCOS">param!$E$58:$E$58</definedName>
    <definedName name="paramV2BaseRevenue">param!$E$57:$E$57</definedName>
    <definedName name="paramV2PctCostReducPerVCompLvl">param!$E$56:$E$56</definedName>
    <definedName name="paramV3BaseCOS">param!$E$80:$E$80</definedName>
    <definedName name="paramV3BaseRevenue">param!$E$79:$E$79</definedName>
    <definedName name="paramV3PctCostReducPerVCompLvl">param!$E$78:$E$78</definedName>
    <definedName name="paranBusAWobblerAddedRevV1">param!$E$399:$E$399</definedName>
    <definedName name="paranBusAWobblerAddedRevV2">param!$E$400:$E$400</definedName>
    <definedName name="paranBusAWobblerAddedRevV3">param!$E$401:$E$401</definedName>
    <definedName name="_xlnm.Print_Area" localSheetId="27">CompetitorReport!$B$2:$K$161</definedName>
    <definedName name="_xlnm.Print_Area" localSheetId="22">fin!$A$32:$E$295</definedName>
    <definedName name="_xlnm.Print_Area" localSheetId="10">tlBusAPrac1!$B$62:$W$168</definedName>
    <definedName name="_xlnm.Print_Area" localSheetId="15">tlPNLBusA!$C$3:$S$44</definedName>
    <definedName name="_xlnm.Print_Area" localSheetId="29">toolBalSheet!$C$3:$V$25</definedName>
    <definedName name="_xlnm.Print_Area" localSheetId="34">toolBusinessB!$C$34:$Z$96</definedName>
    <definedName name="_xlnm.Print_Area" localSheetId="30">toolCashFlow!$C$3:$K$33</definedName>
    <definedName name="_xlnm.Print_Area" localSheetId="31">toolHRReport!$B$7:$N$58</definedName>
    <definedName name="_xlnm.Print_Area" localSheetId="28">toolPNL!$C$4:$S$39</definedName>
    <definedName name="_xlnm.Print_Area" localSheetId="33">toolPNLBusB!$C$3:$S$33</definedName>
    <definedName name="PrintLeague" localSheetId="13">tlPeople!PrintLeague</definedName>
    <definedName name="PrintLeague" localSheetId="15">tlPNLBusA!PrintLeague</definedName>
    <definedName name="PrintLeague" localSheetId="33">toolPNLBusB!PrintLeague</definedName>
    <definedName name="PrintLeague">[0]!PrintLeague</definedName>
    <definedName name="PrintSlide" localSheetId="13">tlPeople!PrintSlide</definedName>
    <definedName name="PrintSlide" localSheetId="15">tlPNLBusA!PrintSlide</definedName>
    <definedName name="PrintSlide" localSheetId="33">toolPNLBusB!PrintSlide</definedName>
    <definedName name="PrintSlide">[0]!PrintSlide</definedName>
    <definedName name="Prod1Seg1">DataPage!$C$30</definedName>
    <definedName name="Prod1Seg2">DataPage!$C$31</definedName>
    <definedName name="Prod1Seg3">DataPage!$C$32</definedName>
    <definedName name="Prod1Seg4">DataPage!$C$33</definedName>
    <definedName name="Prod1Seg5">DataPage!$C$34</definedName>
    <definedName name="Prod5Seg6">DataPage!$C$53</definedName>
    <definedName name="Prod5Seg7">DataPage!$C$54</definedName>
    <definedName name="Prod5Seg8">DataPage!$C$55</definedName>
    <definedName name="RAreatoolBalSheet">toolBalSheet!$C$3:$V$25</definedName>
    <definedName name="RAreatoolCashFlow">toolCashFlow!$C$3:$K$33</definedName>
    <definedName name="RAreatoolPNL" localSheetId="15">tlPNLBusA!$C$3:$S$44</definedName>
    <definedName name="RAreatoolPNL" localSheetId="33">toolPNLBusB!$C$3:$S$33</definedName>
    <definedName name="RAreatoolPNL">toolPNL!$C$4:$S$30</definedName>
    <definedName name="row2buttons_visible">frmNavControls!$C$76,frmNavControls!$E$76,frmNavControls!$G$76,frmNavControls!$C$116,frmNavControls!$E$116,frmNavControls!$G$116,frmNavControls!$C$156,frmNavControls!$E$156,frmNavControls!$G$156,frmNavControls!$C$196,frmNavControls!$E$196,frmNavControls!$G$196,frmNavControls!$C$236,frmNavControls!$E$236,frmNavControls!$G$236,frmNavControls!$C$276,frmNavControls!$E$276,frmNavControls!$G$276,frmNavControls!$C$316,frmNavControls!$E$316,frmNavControls!$G$316,frmNavControls!$C$356,frmNavControls!$E$356,frmNavControls!$G$356</definedName>
    <definedName name="row3buttons_visible">frmNavControls!$C$368,frmNavControls!$E$368,frmNavControls!$G$368,frmNavControls!$C$328,frmNavControls!$E$328,frmNavControls!$G$328,frmNavControls!$C$288,frmNavControls!$E$288,frmNavControls!$G$288,frmNavControls!$C$248,frmNavControls!$E$248,frmNavControls!$G$248,frmNavControls!$C$208,frmNavControls!$E$208,frmNavControls!$G$208,frmNavControls!$C$168,frmNavControls!$E$168,frmNavControls!$G$168,frmNavControls!$C$128,frmNavControls!$E$128,frmNavControls!$G$128,frmNavControls!$C$88,frmNavControls!$E$88,frmNavControls!$G$88</definedName>
    <definedName name="rowCount">frmNavControls!$C$43</definedName>
    <definedName name="Screen" localSheetId="10">tlBusAPrac1!$X$2</definedName>
    <definedName name="Screen" localSheetId="11">tlBusAPrac2!$Z$2</definedName>
    <definedName name="Screen" localSheetId="12">tlBusAPrac3!$Z$2</definedName>
    <definedName name="Screen" localSheetId="9">tlBusinessA!$AA$2</definedName>
    <definedName name="Screen" localSheetId="23">tlGraphs!$W$1</definedName>
    <definedName name="Screen" localSheetId="14">tlInitiatives!$AD$3</definedName>
    <definedName name="Screen" localSheetId="13">tlPeople!$Z$3</definedName>
    <definedName name="Screen" localSheetId="15">tlPNLBusA!$U$2</definedName>
    <definedName name="Screen">tlPNLBusA!$C$3:$S$45</definedName>
    <definedName name="ScreentoolBalSheet">toolBalSheet!$A$1:$V$25</definedName>
    <definedName name="ScreentoolBPOReport">toolBPOReport!$A$1:$Y$34</definedName>
    <definedName name="ScreentoolBusAPrac1">tlBusAPrac1!$A$1:$X$191</definedName>
    <definedName name="ScreentoolBusAPrac2">tlBusAPrac2!$A$1:$X$65</definedName>
    <definedName name="ScreentoolBusAPrac3">tlBusAPrac3!$A$1:$X$65</definedName>
    <definedName name="ScreentoolBusinessA">tlBusinessA!$A$1:$X$79</definedName>
    <definedName name="ScreentoolBusinessB">toolBusinessB!$A$34:$Z$97</definedName>
    <definedName name="ScreentoolCashFlow">toolCashFlow!$A$1:$K$33</definedName>
    <definedName name="ScreentoolCompDev">toolCompDev!$A$1:$T$46</definedName>
    <definedName name="ScreentoolDecSummary">toolDecSummary!$A$1:$Q$87</definedName>
    <definedName name="ScreentoolHRReport">toolHRReport!$A$1:$N$58</definedName>
    <definedName name="ScreentoolInitiatives">tlInitiatives!$A$1:$U$70</definedName>
    <definedName name="ScreentoolIntro">toolIntro!$A$1:$K$24</definedName>
    <definedName name="ScreentoolPeople">tlPeople!$A$10:$Y$75</definedName>
    <definedName name="ScreentoolPNL">toolPNL!$B$2:$S$39</definedName>
    <definedName name="ScreentoolPNLBusA">tlPNLBusA!$B$1:$S$48</definedName>
    <definedName name="ScreentoolPNLBusB">toolPNLBusB!$B$2:$S$33</definedName>
    <definedName name="sheet_tab1_row1">frmNavControls!$A$54:$A$65</definedName>
    <definedName name="sheet_tab1_row2">frmNavControls!$A$66:$A$77</definedName>
    <definedName name="sheet_tab1_row3">frmNavControls!$A$78:$A$88</definedName>
    <definedName name="sheet_tab2_row1">frmNavControls!$A$94:$A$105</definedName>
    <definedName name="sheet_tab2_row2">frmNavControls!$A$106:$A$117</definedName>
    <definedName name="sheet_tab2_row3">frmNavControls!$A$118:$A$128</definedName>
    <definedName name="sheet_tab3_row1">frmNavControls!$A$134:$A$145</definedName>
    <definedName name="sheet_tab3_row2">frmNavControls!$A$146:$A$157</definedName>
    <definedName name="sheet_tab3_row3">frmNavControls!$A$158:$A$168</definedName>
    <definedName name="sheet_tab4_row1">frmNavControls!$A$174:$A$185</definedName>
    <definedName name="sheet_tab4_row2">frmNavControls!$A$186:$A$197</definedName>
    <definedName name="sheet_tab4_row3">frmNavControls!$A$198:$A$208</definedName>
    <definedName name="sheet_tab5_row1">frmNavControls!$A$214:$A$225</definedName>
    <definedName name="sheet_tab5_row2">frmNavControls!$A$226:$A$237</definedName>
    <definedName name="sheet_tab5_row3">frmNavControls!$A$238:$A$248</definedName>
    <definedName name="sheet_tab6_row1">frmNavControls!$A$254:$A$265</definedName>
    <definedName name="sheet_tab6_row2">frmNavControls!$A$266:$A$277</definedName>
    <definedName name="sheet_tab6_row3">frmNavControls!$A$278:$A$288</definedName>
    <definedName name="sheet_tab7_row1">frmNavControls!$A$294:$A$305</definedName>
    <definedName name="sheet_tab7_row2">frmNavControls!$A$306:$A$317</definedName>
    <definedName name="sheet_tab7_row23">frmNavControls!$A$306:$A$317</definedName>
    <definedName name="sheet_tab7_row3">frmNavControls!$A$318:$A$328</definedName>
    <definedName name="sheet_tab8_row1">frmNavControls!$A$334:$A$345</definedName>
    <definedName name="sheet_tab8_row2">frmNavControls!$A$346:$A$356</definedName>
    <definedName name="sheet_tab8_row3">frmNavControls!$A$358:$A$368</definedName>
    <definedName name="ShowTeam5" localSheetId="13">tlPeople!ShowTeam5</definedName>
    <definedName name="ShowTeam5" localSheetId="15">tlPNLBusA!ShowTeam5</definedName>
    <definedName name="ShowTeam5">[0]!ShowTeam5</definedName>
    <definedName name="tab1_row1_visible">frmNavControls!$C$64,frmNavControls!$E$64,frmNavControls!$G$64</definedName>
    <definedName name="tab1_row2_visible">frmNavControls!$C$76,frmNavControls!$E$76,frmNavControls!$G$76</definedName>
    <definedName name="tab1_row3_visible">frmNavControls!$C$88,frmNavControls!$E$88,frmNavControls!$G$88</definedName>
    <definedName name="tab1_rows">frmNavControls!$I$52</definedName>
    <definedName name="tab1_text">frmNavControls!$C$50</definedName>
    <definedName name="tab1_visible">frmNavControls!$C$52</definedName>
    <definedName name="tab2_row1_visible">frmNavControls!$C$104,frmNavControls!$E$104,frmNavControls!$G$104</definedName>
    <definedName name="tab2_row2_visible">frmNavControls!$C$116,frmNavControls!$E$116,frmNavControls!$G$116</definedName>
    <definedName name="tab2_row3_visible">frmNavControls!$C$128,frmNavControls!$E$128,frmNavControls!$G$128</definedName>
    <definedName name="tab2_rows">frmNavControls!$I$92</definedName>
    <definedName name="tab2_text">frmNavControls!$C$90</definedName>
    <definedName name="tab2_visible">frmNavControls!$C$92</definedName>
    <definedName name="tab3_row1_visible">frmNavControls!$C$144,frmNavControls!$E$144,frmNavControls!$G$144</definedName>
    <definedName name="tab3_row2_visible">frmNavControls!$C$156,frmNavControls!$E$156,frmNavControls!$G$156</definedName>
    <definedName name="tab3_row3_visible">frmNavControls!$C$168,frmNavControls!$E$168,frmNavControls!$G$168</definedName>
    <definedName name="tab3_rows">frmNavControls!$I$132</definedName>
    <definedName name="tab3_text">frmNavControls!$C$130</definedName>
    <definedName name="tab3_visible">frmNavControls!$C$132</definedName>
    <definedName name="tab4_row1_visible">frmNavControls!$C$184,frmNavControls!$E$184,frmNavControls!$G$184</definedName>
    <definedName name="tab4_row2_visible">frmNavControls!$C$196,frmNavControls!$E$196,frmNavControls!$G$196</definedName>
    <definedName name="tab4_row3_visible">frmNavControls!$C$208,frmNavControls!$E$208,frmNavControls!$G$208</definedName>
    <definedName name="tab4_rows">frmNavControls!$I$172</definedName>
    <definedName name="tab4_text">frmNavControls!$C$170</definedName>
    <definedName name="tab4_visible">frmNavControls!$C$172</definedName>
    <definedName name="tab4buttons_visible">frmNavControls!$C$184,frmNavControls!$E$184,frmNavControls!$G$184,frmNavControls!$G$196,frmNavControls!$E$196,frmNavControls!$C$196,frmNavControls!$C$208,frmNavControls!$E$208,frmNavControls!$G$208</definedName>
    <definedName name="tab5_row1_visible">frmNavControls!$C$224,frmNavControls!$E$224,frmNavControls!$G$224</definedName>
    <definedName name="tab5_row2_visible">frmNavControls!$C$236,frmNavControls!$E$236,frmNavControls!$G$236</definedName>
    <definedName name="tab5_row3_visible">frmNavControls!$C$248,frmNavControls!$E$248,frmNavControls!$G$248</definedName>
    <definedName name="tab5_rows">frmNavControls!$I$212</definedName>
    <definedName name="tab5_text">frmNavControls!$C$210</definedName>
    <definedName name="tab5_visible">frmNavControls!$C$212</definedName>
    <definedName name="tab5buttons_visible">frmNavControls!$C$224,frmNavControls!$E$224,frmNavControls!$G$224,frmNavControls!$G$236,frmNavControls!$E$236,frmNavControls!$C$236,frmNavControls!$C$248,frmNavControls!$E$248,frmNavControls!$G$248</definedName>
    <definedName name="tab6_row1_visible">frmNavControls!$C$264,frmNavControls!$E$264,frmNavControls!$G$264</definedName>
    <definedName name="tab6_row2_visible">frmNavControls!$C$276,frmNavControls!$E$276,frmNavControls!$G$276</definedName>
    <definedName name="tab6_row3_visible">frmNavControls!$C$288,frmNavControls!$E$288,frmNavControls!$G$288</definedName>
    <definedName name="tab6_rows">frmNavControls!$I$252</definedName>
    <definedName name="tab6_text">frmNavControls!$C$250</definedName>
    <definedName name="tab6_visible">frmNavControls!$C$252</definedName>
    <definedName name="tab6buttons_visible">frmNavControls!$C$264,frmNavControls!$E$264,frmNavControls!$G$264,frmNavControls!$G$276,frmNavControls!$E$276,frmNavControls!$C$276,frmNavControls!$C$288,frmNavControls!$E$288,frmNavControls!$G$288</definedName>
    <definedName name="tab7_row1_visible">frmNavControls!$C$304,frmNavControls!$E$304,frmNavControls!$G$304</definedName>
    <definedName name="tab7_row2_visible">frmNavControls!$C$316,frmNavControls!$E$316,frmNavControls!$G$316</definedName>
    <definedName name="tab7_row3_visible">frmNavControls!$C$328,frmNavControls!$E$328,frmNavControls!$G$328</definedName>
    <definedName name="tab7_rows">frmNavControls!$I$292</definedName>
    <definedName name="tab7_text">frmNavControls!$C$290</definedName>
    <definedName name="tab7_visible">frmNavControls!$C$292</definedName>
    <definedName name="tab7buttons_visible">frmNavControls!$C$304,frmNavControls!$E$304,frmNavControls!$G$304,frmNavControls!$G$316,frmNavControls!$E$316,frmNavControls!$C$316,frmNavControls!$C$328,frmNavControls!$E$328,frmNavControls!$G$328</definedName>
    <definedName name="tab8_row1_visible">frmNavControls!$C$344,frmNavControls!$E$344,frmNavControls!$G$344</definedName>
    <definedName name="tab8_row2_visible">frmNavControls!$C$356,frmNavControls!$E$356,frmNavControls!$G$356</definedName>
    <definedName name="tab8_row3_visible">frmNavControls!$G$368,frmNavControls!$E$368,frmNavControls!$C$368</definedName>
    <definedName name="tab8_rows">frmNavControls!$I$332</definedName>
    <definedName name="tab8_text">frmNavControls!$C$330</definedName>
    <definedName name="tab8_visible">frmNavControls!$C$332</definedName>
    <definedName name="tab8buttons_visible">frmNavControls!$C$344,frmNavControls!$E$345,frmNavControls!$E$344,frmNavControls!$G$344,frmNavControls!$G$356,frmNavControls!$E$356,frmNavControls!$C$356,frmNavControls!$C$368,frmNavControls!$E$368,frmNavControls!$G$368</definedName>
    <definedName name="tabCount">frmNavControls!$C$41</definedName>
    <definedName name="TeamName">INDEX(ManualAdjustments!decTeamName,ManualAdjustments!xxIndexTeam)</definedName>
    <definedName name="tlInputBid1Check">toolBusinessB!$AD$115</definedName>
    <definedName name="tlInputBid1Emp2HrsRFQ">toolBusinessB!$R$15</definedName>
    <definedName name="tlInputBid1Emp3HrsRFQ">toolBusinessB!$P$15</definedName>
    <definedName name="tlInputBid1Emp4HrsRFQ">toolBusinessB!$N$15</definedName>
    <definedName name="tlInputBid1Price">toolBusinessB!$L$15</definedName>
    <definedName name="tlInputBid2Check">toolBusinessB!$AD$116</definedName>
    <definedName name="tlInputBid2Emp2HrsRFQ">toolBusinessB!$V$43</definedName>
    <definedName name="tlInputBid2Emp3HrsRFQ">toolBusinessB!$T$43</definedName>
    <definedName name="tlInputBid2Emp4HrsRFQ">toolBusinessB!$R$43</definedName>
    <definedName name="tlInputBid2Price">toolBusinessB!$P$43</definedName>
    <definedName name="tlInputBid3Check">toolBusinessB!$AD$117</definedName>
    <definedName name="tlInputBid3Emp2HrsRFQ">toolBusinessB!$V$46</definedName>
    <definedName name="tlInputBid3Emp3HrsRFQ">toolBusinessB!$T$46</definedName>
    <definedName name="tlInputBid3Emp4HrsRFQ">toolBusinessB!$R$46</definedName>
    <definedName name="tlInputBid3Price">toolBusinessB!$P$46</definedName>
    <definedName name="tlInputBid4Check">toolBusinessB!$AD$118</definedName>
    <definedName name="tlInputBid4Emp2HrsRFQ">toolBusinessB!$V$51</definedName>
    <definedName name="tlInputBid4Emp3HrsRFQ">toolBusinessB!$T$51</definedName>
    <definedName name="tlInputBid4Emp4HrsRFQ">toolBusinessB!$R$51</definedName>
    <definedName name="tlInputBid4Price">toolBusinessB!$P$51</definedName>
    <definedName name="tlInputBid5Check">toolBusinessB!$AD$119</definedName>
    <definedName name="tlInputBid5Emp2HrsRFQ">toolBusinessB!$V$54</definedName>
    <definedName name="tlInputBid5Emp3HrsRFQ">toolBusinessB!$T$54</definedName>
    <definedName name="tlInputBid5Emp4HrsRFQ">toolBusinessB!$R$54</definedName>
    <definedName name="tlInputBid5Price">toolBusinessB!$P$54</definedName>
    <definedName name="tlInputBid6Check">toolBusinessB!$AD$120</definedName>
    <definedName name="tlInputBid6Emp2HrsRFQ">toolBusinessB!$V$57</definedName>
    <definedName name="tlInputBid6Emp3HrsRFQ">toolBusinessB!$T$57</definedName>
    <definedName name="tlInputBid6Emp4HrsRFQ">toolBusinessB!$R$57</definedName>
    <definedName name="tlInputBid6Price">toolBusinessB!$P$57</definedName>
    <definedName name="tlInputBid7Check">toolBusinessB!$AD$121</definedName>
    <definedName name="tlInputBid7Emp2HrsRFQ">toolBusinessB!$V$62</definedName>
    <definedName name="tlInputBid7Emp3HrsRFQ">toolBusinessB!$T$62</definedName>
    <definedName name="tlInputBid7Emp4HrsRFQ">toolBusinessB!$R$62</definedName>
    <definedName name="tlInputBid7Price">toolBusinessB!$P$62</definedName>
    <definedName name="tlInputBid8Check">toolBusinessB!$AD$122</definedName>
    <definedName name="tlInputBid8Emp2HrsRFQ">toolBusinessB!$V$65</definedName>
    <definedName name="tlInputBid8Emp3HrsRFQ">toolBusinessB!$T$65</definedName>
    <definedName name="tlInputBid8Emp4HrsRFQ">toolBusinessB!$R$65</definedName>
    <definedName name="tlInputBid8Price">toolBusinessB!$P$65</definedName>
    <definedName name="tlInputBid9Check">toolBusinessB!$AD$123</definedName>
    <definedName name="tlInputBid9Emp2HrsRFQ">toolBusinessB!$V$68</definedName>
    <definedName name="tlInputBid9Emp3HrsRFQ">toolBusinessB!$T$68</definedName>
    <definedName name="tlInputBid9Emp4HrsRFQ">toolBusinessB!$R$68</definedName>
    <definedName name="tlInputBid9Price">toolBusinessB!$P$68</definedName>
    <definedName name="tlInputBusABusDevNonPayrollBud">tlBusinessA!$G$76</definedName>
    <definedName name="tlInputBusAEmp1HrsCurrProj">dec!$C$44</definedName>
    <definedName name="tlInputBusAEmp1HrsCurrProjV2">dec!$C$45</definedName>
    <definedName name="tlInputBusAEmp1HrsCurrProjV3">dec!$C$46</definedName>
    <definedName name="tlInputBusAEmp1HrsSales">tlBusAPrac1!$H$48</definedName>
    <definedName name="tlInputBusAEmp1HrsSalesV2">tlBusAPrac2!$H$48</definedName>
    <definedName name="tlInputBusAEmp1HrsSalesV3">tlBusAPrac3!$H$48</definedName>
    <definedName name="tlInputBusAEmp2HrsCurrProj">tlBusAPrac1!$L$15</definedName>
    <definedName name="tlInputBusAEmp2HrsCurrProjV2">tlBusAPrac2!$L$15</definedName>
    <definedName name="tlInputBusAEmp2HrsCurrProjV3">tlBusAPrac3!$L$15</definedName>
    <definedName name="tlInputBusAEmp2HrsSales">tlBusAPrac1!$L$40</definedName>
    <definedName name="tlInputBusAEmp2HrsSalesV2">tlBusAPrac2!$L$40</definedName>
    <definedName name="tlInputBusAEmp2HrsSalesV3">tlBusAPrac3!$L$40</definedName>
    <definedName name="tlInputBusAEmp3HrsCurrProj">tlBusAPrac1!$J$15</definedName>
    <definedName name="tlInputBusAEmp3HrsCurrProjV2">tlBusAPrac2!$J$15</definedName>
    <definedName name="tlInputBusAEmp3HrsCurrProjV3">tlBusAPrac3!$J$15</definedName>
    <definedName name="tlInputBusAEmp3HrsSales">tlBusAPrac1!$J$40</definedName>
    <definedName name="tlInputBusAEmp3HrsSalesV2">tlBusAPrac2!$J$40</definedName>
    <definedName name="tlInputBusAEmp3HrsSalesV3">tlBusAPrac3!$J$40</definedName>
    <definedName name="tlInputBusAEmp4HrsCurrProj">tlBusAPrac1!$H$15</definedName>
    <definedName name="tlInputBusAEmp4HrsCurrProjV2">tlBusAPrac2!$H$15</definedName>
    <definedName name="tlInputBusAEmp4HrsCurrProjV3">tlBusAPrac3!$H$15</definedName>
    <definedName name="tlInputBusAEmp4HrsSales">tlBusAPrac1!$H$40</definedName>
    <definedName name="tlInputBusAEmp4HrsSalesV2">tlBusAPrac2!$H$40</definedName>
    <definedName name="tlInputBusAEmp4HrsSalesV3">tlBusAPrac3!$H$40</definedName>
    <definedName name="tlInputBusAEmp7HrsCurrProj">tlBusAPrac1!$D$51</definedName>
    <definedName name="tlInputBusAEmp7HrsCurrProjV2">tlBusAPrac2!$D$51</definedName>
    <definedName name="tlInputBusAEmp7HrsCurrProjV3">tlBusAPrac3!$D$51</definedName>
    <definedName name="tlInputBusAemp7HrsSales">tlBusAPrac1!$H$44</definedName>
    <definedName name="tlInputBusAemp7HrsSalesV2">tlBusAPrac2!$H$44</definedName>
    <definedName name="tlInputBusAemp7HrsSalesV3">tlBusAPrac3!$H$44</definedName>
    <definedName name="tlInputBusAEmp8HrsCurrProj">tlBusAPrac1!$F$51</definedName>
    <definedName name="tlInputBusAEmp8HrsCurrProjV2">tlBusAPrac2!$F$51</definedName>
    <definedName name="tlInputBusAEmp8HrsCurrProjV3">tlBusAPrac3!$F$51</definedName>
    <definedName name="tlInputBusAemp8HrsSales">tlBusAPrac1!$J$44</definedName>
    <definedName name="tlInputBusAemp8HrsSalesV2">tlBusAPrac2!$J$44</definedName>
    <definedName name="tlInputBusAemp8HrsSalesV3">tlBusAPrac3!$J$44</definedName>
    <definedName name="tlInputBusAEmp9HrsCurrProj">tlBusAPrac1!$L$19</definedName>
    <definedName name="tlInputBusAEmp9HrsCurrProjV2">tlBusAPrac2!$L$19</definedName>
    <definedName name="tlInputBusAEmp9HrsCurrProjV3">tlBusAPrac3!$L$19</definedName>
    <definedName name="tlInputBusAemp9HrsSales">tlBusAPrac1!$L$44</definedName>
    <definedName name="tlInputBusAemp9HrsSalesV2">tlBusAPrac2!$L$44</definedName>
    <definedName name="tlInputBusAemp9HrsSalesV3">tlBusAPrac3!$L$44</definedName>
    <definedName name="tlInputBusASales2">tlBusAPrac1!$F$118</definedName>
    <definedName name="tlInputBusASales4">tlBusAPrac1!$F$128</definedName>
    <definedName name="tlInputBusASales6">tlBusAPrac1!$F$138</definedName>
    <definedName name="tlInputBusASalesLvl1">tlBusAPrac1!$AW$115</definedName>
    <definedName name="tlInputBusASalesLvl2">tlBusAPrac1!$AW$118</definedName>
    <definedName name="tlInputBusASalesLvl3">tlBusAPrac1!$AW$125</definedName>
    <definedName name="tlInputBusASalesLvl4">tlBusAPrac1!$AW$128</definedName>
    <definedName name="tlInputBusASalesLvl5">tlBusAPrac1!$AW$135</definedName>
    <definedName name="tlInputBusASalesLvl6">tlBusAPrac1!$AW$138</definedName>
    <definedName name="tlInputBusASalesMC1">tlBusAPrac1!$F$115</definedName>
    <definedName name="tlInputBusASalesMC2">tlBusAPrac1!$F$125</definedName>
    <definedName name="tlInputBusASalesMC3">tlBusAPrac1!$F$135</definedName>
    <definedName name="tlInputBusAStaffLvl1">tlBusAPrac1!$AW$67</definedName>
    <definedName name="tlInputBusAStaffLvl2">tlBusAPrac1!$AW$70</definedName>
    <definedName name="tlInputBusAStaffLvl3">tlBusAPrac1!$AW$77</definedName>
    <definedName name="tlInputBusAStaffLvl4">tlBusAPrac1!$AW$80</definedName>
    <definedName name="tlInputBusAStaffLvl5">tlBusAPrac1!$AW$87</definedName>
    <definedName name="tlInputBusAStaffLvl6">tlBusAPrac1!$AW$90</definedName>
    <definedName name="tlInputBusAStaffProfMC1">tlBusAPrac1!$F$67</definedName>
    <definedName name="tlInputBusAStaffProfMC2">tlBusAPrac1!$F$77</definedName>
    <definedName name="tlInputBusAStaffProfMC3">tlBusAPrac1!$F$87</definedName>
    <definedName name="tlInputBusAStaffProfSIT1">tlBusAPrac1!$F$70</definedName>
    <definedName name="tlInputBusAStaffProfSIT2">tlBusAPrac1!$F$80</definedName>
    <definedName name="tlInputBusAStaffProfSIT3">tlBusAPrac1!$F$90</definedName>
    <definedName name="tlInputBusAV1HrsBorrowed">tlBusAPrac1!$L$215</definedName>
    <definedName name="tlInputBusAV2HrsBorrowed">tlBusAPrac1!$L$217</definedName>
    <definedName name="tlInputBusAV3HrsBorrowed">tlBusAPrac1!$L$219</definedName>
    <definedName name="tlInputBusBBusDevNonPayrollBud">tlPeople!$F$183</definedName>
    <definedName name="tlInputClientIntCostBid1">toolBusinessB!$L$40</definedName>
    <definedName name="tlInputClientIntCostBid2">toolBusinessB!$L$43</definedName>
    <definedName name="tlInputClientIntCostBid3">toolBusinessB!$L$46</definedName>
    <definedName name="tlInputClientIntCostBid4">toolBusinessB!$L$51</definedName>
    <definedName name="tlInputClientIntCostBid5">toolBusinessB!$L$54</definedName>
    <definedName name="tlInputClientIntCostBid6">toolBusinessB!$L$57</definedName>
    <definedName name="tlInputClientIntCostBid7">toolBusinessB!$L$62</definedName>
    <definedName name="tlInputClientIntCostBid8">toolBusinessB!$L$65</definedName>
    <definedName name="tlInputClientIntCostBid9">toolBusinessB!$L$68</definedName>
    <definedName name="tlInputClientPctBid1">toolBusinessB!$L$41</definedName>
    <definedName name="tlInputClientPctBid2">toolBusinessB!$L$44</definedName>
    <definedName name="tlInputClientPctBid3">toolBusinessB!$L$47</definedName>
    <definedName name="tlInputClientPctBid4">toolBusinessB!$L$52</definedName>
    <definedName name="tlInputClientPctBid5">toolBusinessB!$L$55</definedName>
    <definedName name="tlInputClientPctBid6">toolBusinessB!$L$58</definedName>
    <definedName name="tlInputClientPctBid7">toolBusinessB!$L$63</definedName>
    <definedName name="tlInputClientPctBid8">toolBusinessB!$L$66</definedName>
    <definedName name="tlInputClientPctBid9">toolBusinessB!$L$69</definedName>
    <definedName name="tlInputCompDevBusAV1">tlBusinessA!$H$51</definedName>
    <definedName name="tlInputCompDevBusAV2">tlBusinessA!$J$51</definedName>
    <definedName name="tlInputCompDevBusAV3">tlBusinessA!$L$51</definedName>
    <definedName name="tlInputEmp1BusADismiss">tlPeople!$H$301</definedName>
    <definedName name="tlInputEmp1BusAHire">tlPeople!$H$299</definedName>
    <definedName name="tlInputEmp1BusALocalPer">tlBusinessA!$L$72</definedName>
    <definedName name="tlInputEmp1BusBDismiss">toolBusinessB!$X$89</definedName>
    <definedName name="tlInputEmp1BusBHire">tlPeople!$L$240</definedName>
    <definedName name="tlInputEmp1BusBOpsImprove">toolBusinessB!$X$79</definedName>
    <definedName name="tlInputEmp1SalaryLvl">tlPeople!$BF$255</definedName>
    <definedName name="tlInputEmp2BusADismiss">tlPeople!$L$20</definedName>
    <definedName name="tlInputEmp2BusAHire">tlPeople!$L$17</definedName>
    <definedName name="tlInputEmp2BusALocalPer">tlBusinessA!$J$72</definedName>
    <definedName name="tlInputEmp2BusBDismiss">toolBusinessB!$V$89</definedName>
    <definedName name="tlInputEmp2BusBHire">tlPeople!$J$240</definedName>
    <definedName name="tlInputEmp2BusBOpsImprove">toolBusinessB!$V$79</definedName>
    <definedName name="tlInputEmp2Salary">tlPeople!$L$50</definedName>
    <definedName name="tlInputEmp2SalaryLvl">tlPeople!$L$50</definedName>
    <definedName name="tlInputEmp2Training">tlPeople!$L$58</definedName>
    <definedName name="tlInputEmp2TrainingBudget">tlPeople!$L$62</definedName>
    <definedName name="tlInputEmp3BusADismiss">tlPeople!$J$20</definedName>
    <definedName name="tlInputEmp3BusAHire">tlPeople!$J$17</definedName>
    <definedName name="tlInputEmp3BusALocalPer">tlBusinessA!$H$72</definedName>
    <definedName name="tlInputEmp3BusBDismiss">toolBusinessB!$T$89</definedName>
    <definedName name="tlInputEmp3BusBHire">tlPeople!$H$240</definedName>
    <definedName name="tlInputEmp3BusBOpsImprove">toolBusinessB!$T$79</definedName>
    <definedName name="tlInputEmp3Salary">tlPeople!$J$50</definedName>
    <definedName name="tlInputEmp3SalaryLvl">tlPeople!$J$50</definedName>
    <definedName name="tlInputEmp3Training">tlPeople!$J$58</definedName>
    <definedName name="tlInputEmp3TrainingBudget">tlPeople!$J$62</definedName>
    <definedName name="tlInputEmp4BusADismiss">tlPeople!$H$20</definedName>
    <definedName name="tlInputEmp4BusAHire">tlPeople!$H$17</definedName>
    <definedName name="tlInputEmp4BusALocalPer">tlBusinessA!$F$72</definedName>
    <definedName name="tlInputEmp4BusBDismiss">toolBusinessB!$R$89</definedName>
    <definedName name="tlInputEmp4BusBHire">tlPeople!$F$240</definedName>
    <definedName name="tlInputEmp4BusBOpsImprove">toolBusinessB!$R$79</definedName>
    <definedName name="tlInputEmp4Salary">tlPeople!$H$50</definedName>
    <definedName name="tlInputEmp4SalaryLvl">tlPeople!$H$50</definedName>
    <definedName name="tlInputEmp4Training">tlPeople!$H$58</definedName>
    <definedName name="tlInputEmp4TrainingBudget">tlPeople!$H$62</definedName>
    <definedName name="tlInputEmp7BusADismiss">tlPeople!$D$301</definedName>
    <definedName name="tlInputEmp7BusAHire">tlPeople!$D$299</definedName>
    <definedName name="tlInputEmp8BusADismiss">tlPeople!$F$301</definedName>
    <definedName name="tlInputEmp8BusAHire">tlPeople!$F$299</definedName>
    <definedName name="tlInputEmp9BusADismiss">tlPeople!$L$34</definedName>
    <definedName name="tlInputEmp9BusAHire">tlPeople!$L$32</definedName>
    <definedName name="tlInputEntSvcsEmp1Training">tlPeople!$L$301</definedName>
    <definedName name="tlInputEntSvcsEmp1TrainingNextYr">tlPeople!$L$305</definedName>
    <definedName name="tlInputEntSvcsSalesSupportLevelPrac1">tlBusinessA!$H$32</definedName>
    <definedName name="tlInputEntSvcsSalesSupportLevelPrac2">tlBusinessA!$J$32</definedName>
    <definedName name="tlInputEntSvcsSalesSupportLevelPrac3">tlBusinessA!$L$32</definedName>
    <definedName name="tlInputEntWFDismiss">tlPeople!$N$20</definedName>
    <definedName name="tlInputEntWFHire">tlPeople!$N$17</definedName>
    <definedName name="tlInputEntWFTraining">tlPeople!$N$58</definedName>
    <definedName name="tlInputEntWFTrainingBudget">tlPeople!$N$62</definedName>
    <definedName name="tlInputIndustryEminence">tlPeople!$H$71</definedName>
    <definedName name="tlInputInternalassets">tlPeople!$N$71</definedName>
    <definedName name="tlInputProd1Adv">tlBusinessA!$H$42</definedName>
    <definedName name="tlInputProd1Growth">tlBusinessA!$H$19</definedName>
    <definedName name="tlInputProd1Price">tlBusinessA!$H$15</definedName>
    <definedName name="tlInputProd1Units">tlBusinessA!$H$79</definedName>
    <definedName name="tlInputProd1V2Growth">tlBusinessA!$J$19</definedName>
    <definedName name="tlInputProd1V2Price">tlBusinessA!$J$15</definedName>
    <definedName name="tlInputProd1V2Units">tlBusinessA!$J$79</definedName>
    <definedName name="tlInputProd1V3Growth">tlBusinessA!$L$19</definedName>
    <definedName name="tlInputProd1V3Price">tlBusinessA!$L$15</definedName>
    <definedName name="tlInputProd1V3Units">tlBusinessA!$L$79</definedName>
    <definedName name="tlInputSpecProg1">tlInitiatives!$AF$16</definedName>
    <definedName name="tlInputSpecProg1Check">tlInitiatives!$F$16</definedName>
    <definedName name="tlInputSpecProg2">tlInitiatives!$AF$18</definedName>
    <definedName name="tlInputSpecProg2Check">tlInitiatives!$F$18</definedName>
    <definedName name="tlInputSpecProg3">tlInitiatives!$AF$20</definedName>
    <definedName name="tlInputSpecProg3Check">tlInitiatives!$F$20</definedName>
    <definedName name="tlInputSpecProg4">tlInitiatives!$AF$22</definedName>
    <definedName name="tlInputSpecProg4Check">tlInitiatives!$F$22</definedName>
    <definedName name="tlInputSpecProg5">tlInitiatives!$AF$24</definedName>
    <definedName name="tlInputSpecProg5Check">tlInitiatives!$F$24</definedName>
    <definedName name="tlInputSpecProg6">tlInitiatives!$AF$26</definedName>
    <definedName name="tlInputSpecProg6Check">tlInitiatives!$D$26</definedName>
    <definedName name="tlInputSpecProg7">tlInitiatives!$AF$28</definedName>
    <definedName name="tlInputSpecProg7Check">tlInitiatives!$D$28</definedName>
    <definedName name="tlInputTeamName">toolIntro!$I$18</definedName>
    <definedName name="tlInputTeamNumber">toolIntro!$I$16</definedName>
    <definedName name="tlInputTeamRound">toolIntro!$I$14</definedName>
    <definedName name="tlInputTeamYear">Controls!$E$7</definedName>
    <definedName name="tlInputtoolBusinessBClearRange">toolBusinessB!$P$40:$V$68</definedName>
    <definedName name="tlInputV1H1Dev">toolCompDev!$F$14</definedName>
    <definedName name="tlInputV1H2Dev">toolCompDev!$F$16</definedName>
    <definedName name="tlInputV1H3Dev">toolCompDev!$F$18</definedName>
    <definedName name="tlInputV2H1Dev">toolCompDev!$H$14</definedName>
    <definedName name="tlInputV2H2Dev">toolCompDev!$H$16</definedName>
    <definedName name="tlInputV2H3Dev">toolCompDev!$H$18</definedName>
    <definedName name="tlInputV3H1Dev">toolCompDev!$J$14</definedName>
    <definedName name="tlInputV3H2Dev">toolCompDev!$J$16</definedName>
    <definedName name="tlInputV3H3Dev">toolCompDev!$J$18</definedName>
    <definedName name="tlInputWobbler1">dec!$D$285</definedName>
    <definedName name="tlInputWobbler2">dec!$D$286</definedName>
    <definedName name="tlInputWobbler3">dec!$D$287</definedName>
    <definedName name="tlInputWobbler4">dec!$D$288</definedName>
    <definedName name="tlobalAPValue">obal!$E$20</definedName>
    <definedName name="tlobalARValue">obal!$E$5</definedName>
    <definedName name="tlobalAssetsValue">obal!$E$16</definedName>
    <definedName name="tlobalAvgTrainingBudgetDelta">obal!$E$170</definedName>
    <definedName name="tlobalBookings">obal!$E$51</definedName>
    <definedName name="tlobalBusABusDevNonPayroll">obal!$E$233</definedName>
    <definedName name="tlobalBusACompDev">obal!$E$140</definedName>
    <definedName name="tlobalBusACompDevCurrYrTotal">obal!$E$144</definedName>
    <definedName name="tlobalBusACompDevV1">obal!$E$141</definedName>
    <definedName name="tlobalBusACompDevV2">obal!$E$142</definedName>
    <definedName name="tlobalBusACompDevV3">obal!$E$143</definedName>
    <definedName name="tlobalBusAEmp1">obal!$E$77</definedName>
    <definedName name="tlobalBusAEmp1IndAvgUtiliz">obal!$E$114</definedName>
    <definedName name="tlobalBusAEmp1Recruited">obal!$E$58</definedName>
    <definedName name="tlobalBusAEmp1Utiliz">obal!$E$96</definedName>
    <definedName name="tlobalBusAEmp2">obal!$E$80</definedName>
    <definedName name="tlobalBusAEmp2IndAvgUtiliz">obal!$E$117</definedName>
    <definedName name="tlobalBusAEmp2Recruited">obal!$E$61</definedName>
    <definedName name="tlobalBusAEmp2Utiliz">obal!$E$99</definedName>
    <definedName name="tlobalBusAEmp2UtilizY1">obal!$E$469</definedName>
    <definedName name="tlobalBusAEmp2UtilizY2">obal!$E$470</definedName>
    <definedName name="tlobalBusAEmp3">obal!$E$83</definedName>
    <definedName name="tlobalBusAEmp3IndAvgUtiliz">obal!$E$120</definedName>
    <definedName name="tlobalBusAEmp3Recruited">obal!$E$64</definedName>
    <definedName name="tlobalBusAEmp3Utiliz">obal!$E$102</definedName>
    <definedName name="tlobalBusAEmp3UtilizY1">obal!$E$467</definedName>
    <definedName name="tlobalBusAEmp3UtilizY2">obal!$E$468</definedName>
    <definedName name="tlobalBusAEmp4">obal!$E$86</definedName>
    <definedName name="tlobalBusAEmp4IndAvgUtiliz">obal!$E$123</definedName>
    <definedName name="tlobalBusAEmp4Recruited">obal!$E$67</definedName>
    <definedName name="tlobalBusAEmp4Utiliz">obal!$E$105</definedName>
    <definedName name="tlobalBusAEmp4UtilizY1">obal!$E$465</definedName>
    <definedName name="tlobalBusAEmp4UtilizY2">obal!$E$466</definedName>
    <definedName name="tlobalBusAEmp7">obal!$E$88</definedName>
    <definedName name="tlobalBusAEmp7Utiliz">obal!$E$108</definedName>
    <definedName name="tlobalBusAEmp8">obal!$E$89</definedName>
    <definedName name="tlobalBusAEmp8Utiliz">obal!$E$109</definedName>
    <definedName name="tlobalBusAEmp9">obal!$E$90</definedName>
    <definedName name="tlobalBusAEmp9Utiliz">obal!$E$110</definedName>
    <definedName name="tlobalBusAEmp9UtilizY1">obal!$E$471</definedName>
    <definedName name="tlobalBusAEmp9UtilizY2">obal!$E$472</definedName>
    <definedName name="tlobalBusALocalPerCostReduce">obal!$E$566</definedName>
    <definedName name="tlobalBusAOverallConsUtil">obal!$E$128</definedName>
    <definedName name="tlobalBusAOverallSolnWFUtil">obal!$E$129</definedName>
    <definedName name="tlobalBusARevenue">obal!$E$40</definedName>
    <definedName name="tlobalBusATLV1">obal!$E$146</definedName>
    <definedName name="tlobalBusATLV2">obal!$E$147</definedName>
    <definedName name="tlobalBusATLV3">obal!$E$148</definedName>
    <definedName name="tlobalBusATotalCurrentRev">obal!$E$249</definedName>
    <definedName name="tlobalBusAV1ControllableIncome">obal!$E$252</definedName>
    <definedName name="tlobalBusAV1HrsSold">obal!$E$225</definedName>
    <definedName name="tlobalBusAV1MktShr">obal!$E$220</definedName>
    <definedName name="tlobalBusAV1PricePerHr">obal!$E$229</definedName>
    <definedName name="tlobalBusAV1Y1Rev">obal!$E$238</definedName>
    <definedName name="tlobalBusAV1Y2Rev">obal!$E$242</definedName>
    <definedName name="tlobalBusAV1Y3Rev">obal!$E$246</definedName>
    <definedName name="tlobalBusAV2ControllableIncome">obal!$E$253</definedName>
    <definedName name="tlobalBusAV2HrsSold">obal!$E$226</definedName>
    <definedName name="tlobalBusAV2MktShr">obal!$E$221</definedName>
    <definedName name="tlobalBusAV2PricePerHr">obal!$E$230</definedName>
    <definedName name="tlobalBusAV2Y1Rev">obal!$E$239</definedName>
    <definedName name="tlobalBusAV2Y2Rev">obal!$E$243</definedName>
    <definedName name="tlobalBusAV2Y3Rev">obal!$E$247</definedName>
    <definedName name="tlobalBusAV3ControllableIncome">obal!$E$254</definedName>
    <definedName name="tlobalBusAV3HrsSold">obal!$E$227</definedName>
    <definedName name="tlobalBusAV3MktShr">obal!$E$222</definedName>
    <definedName name="tlobalBusAV3PricePerHr">obal!$E$231</definedName>
    <definedName name="tlobalBusAV3Y1Rev">obal!$E$240</definedName>
    <definedName name="tlobalBusAV3Y2Rev">obal!$E$244</definedName>
    <definedName name="tlobalBusAV3Y3Rev">obal!$E$248</definedName>
    <definedName name="tlobalBusBBusDevNonPayroll">obal!$E$234</definedName>
    <definedName name="tlobalBusBCompDev">obal!$E$207</definedName>
    <definedName name="tlobalBusBEmp1">obal!$E$78</definedName>
    <definedName name="tlobalBusBEmp1IndAvgUtiliz">obal!$E$115</definedName>
    <definedName name="tlobalBusBEmp1Recruited">obal!$E$59</definedName>
    <definedName name="tlobalBusBEmp1Utiliz">obal!$E$97</definedName>
    <definedName name="tlobalBusBEmp2">obal!$E$81</definedName>
    <definedName name="tlobalBusBEmp2IndAvgUtiliz">obal!$E$118</definedName>
    <definedName name="tlobalBusBEmp2Recruited">obal!$E$62</definedName>
    <definedName name="tlobalBusBEmp2Utiliz">obal!$E$100</definedName>
    <definedName name="tlobalBusBEmp3">obal!$E$84</definedName>
    <definedName name="tlobalBusBEmp3IndAvgUtiliz">obal!$E$121</definedName>
    <definedName name="tlobalBusBEmp3Recruited">obal!$E$65</definedName>
    <definedName name="tlobalBusBEmp3Utiliz">obal!$E$103</definedName>
    <definedName name="tlobalBusBEmp4">obal!$E$87</definedName>
    <definedName name="tlobalBusBEmp4IndAvgUtiliz">obal!$E$124</definedName>
    <definedName name="tlobalBusBEmp4Recruited">obal!$E$68</definedName>
    <definedName name="tlobalBusBEmp4Utiliz">obal!$E$106</definedName>
    <definedName name="tlobalBusBGenOpsPctCostReduce">obal!$E$217</definedName>
    <definedName name="tlobalBusBOverallConsUtil">obal!$E$131</definedName>
    <definedName name="tlobalBusBOverallSolnWFUtil">obal!$E$132</definedName>
    <definedName name="tlobalBusBRevenue">obal!$E$39</definedName>
    <definedName name="tlobalBusBV1ControllableIncome">obal!$E$257</definedName>
    <definedName name="tlobalBusBV2ControllableIncome">obal!$E$258</definedName>
    <definedName name="tlobalBusBV3ControllableIncome">obal!$E$259</definedName>
    <definedName name="tlobalCashValue">obal!$E$4</definedName>
    <definedName name="tlobalConsultingCCIPctRevY1">obal!$E$417</definedName>
    <definedName name="tlobalConsultingCCIPctRevY2">obal!$E$418</definedName>
    <definedName name="tlobalConsultingCCIPctRevY3">obal!$E$419</definedName>
    <definedName name="tlobalConsultingCCIPctRevY4">obal!$E$420</definedName>
    <definedName name="tlobalConsultingConsultantUtilY1">obal!$E$421</definedName>
    <definedName name="tlobalConsultingConsultantUtilY2">obal!$E$422</definedName>
    <definedName name="tlobalConsultingConsultantUtilY3">obal!$E$423</definedName>
    <definedName name="tlobalConsultingConsultantUtilY4">obal!$E$424</definedName>
    <definedName name="tlobalConsultingRevenueY1">obal!$E$405</definedName>
    <definedName name="tlobalConsultingRevenueY2">obal!$E$406</definedName>
    <definedName name="tlobalConsultingRevenueY3">obal!$E$407</definedName>
    <definedName name="tlobalConsultingRevenueY4">obal!$E$408</definedName>
    <definedName name="tlobalConsultingRevPctofTotalRevY1">obal!$E$413</definedName>
    <definedName name="tlobalConsultingRevPctofTotalRevY2">obal!$E$414</definedName>
    <definedName name="tlobalConsultingRevPctofTotalRevY3">obal!$E$415</definedName>
    <definedName name="tlobalConsultingRevPctofTotalRevY4">obal!$E$416</definedName>
    <definedName name="tlobalConsultingSalesGrowthY1">obal!$E$409</definedName>
    <definedName name="tlobalConsultingSalesGrowthY2">obal!$E$410</definedName>
    <definedName name="tlobalConsultingSalesGrowthY3">obal!$E$411</definedName>
    <definedName name="tlobalConsultingSalesGrowthY4">obal!$E$412</definedName>
    <definedName name="tlobalConsultingSolnWFUtilY1">obal!$E$425</definedName>
    <definedName name="tlobalConsultingSolnWFUtilY2">obal!$E$426</definedName>
    <definedName name="tlobalConsultingSolnWFUtilY3">obal!$E$427</definedName>
    <definedName name="tlobalConsultingSolnWFUtilY4">obal!$E$428</definedName>
    <definedName name="tlobalCSAT">obal!$E$190</definedName>
    <definedName name="tlobalCSATY1">obal!$E$463</definedName>
    <definedName name="tlobalCSATY2">obal!$E$464</definedName>
    <definedName name="tlobalCStockPricePShare">obal!$E$186</definedName>
    <definedName name="tlobalCStockShares">obal!$E$187</definedName>
    <definedName name="tlobalCStockValue">obal!$E$30</definedName>
    <definedName name="tlobalCumBalCardPoints">obal!$E$47</definedName>
    <definedName name="tlobalEmp1">obal!$E$76</definedName>
    <definedName name="tlobalEmp1CumTrainingHrs">obal!$E$179</definedName>
    <definedName name="tlobalEmp1GeneralTrainingBudget">obal!$E$172</definedName>
    <definedName name="tlobalEmp1GeneralTrainingHrsAvail">obal!$E$157</definedName>
    <definedName name="tlobalEmp1GeneralTrainingHrsCompleted">obal!$E$150</definedName>
    <definedName name="tlobalEmp1Salary">obal!$E$134</definedName>
    <definedName name="tlobalEmp1TrainingBudgetDelta">obal!$E$165</definedName>
    <definedName name="tlobalEmp2">obal!$E$79</definedName>
    <definedName name="tlobalEmp2CumTrainingHrs">obal!$E$180</definedName>
    <definedName name="tlobalEmp2GeneralTrainingBudget">obal!$E$173</definedName>
    <definedName name="tlobalEmp2GeneralTrainingHrsAvail">obal!$E$158</definedName>
    <definedName name="tlobalEmp2GeneralTrainingHrsCompleted">obal!$E$151</definedName>
    <definedName name="tlobalEmp2Salary">obal!$E$135</definedName>
    <definedName name="tlobalEmp2TrainingBudgetDelta">obal!$E$166</definedName>
    <definedName name="tlobalEmp3">obal!$E$82</definedName>
    <definedName name="tlobalEmp3CumTrainingHrs">obal!$E$181</definedName>
    <definedName name="tlobalEmp3GeneralTrainingBudget">obal!$E$174</definedName>
    <definedName name="tlobalEmp3GeneralTrainingHrsAvail">obal!$E$159</definedName>
    <definedName name="tlobalEmp3GeneralTrainingHrsCompleted">obal!$E$152</definedName>
    <definedName name="tlobalEmp3Salary">obal!$E$136</definedName>
    <definedName name="tlobalEmp3TrainingBudgetDelta">obal!$E$167</definedName>
    <definedName name="tlobalEmp4">obal!$E$85</definedName>
    <definedName name="tlobalEmp4CumTrainingHrs">obal!$E$182</definedName>
    <definedName name="tlobalEmp4GeneralTrainingBudget">obal!$E$175</definedName>
    <definedName name="tlobalEmp4GeneralTrainingHrsAvail">obal!$E$160</definedName>
    <definedName name="tlobalEmp4GeneralTrainingHrsCompleted">obal!$E$153</definedName>
    <definedName name="tlobalEmp4Salary">obal!$E$137</definedName>
    <definedName name="tlobalEmp4TrainingBudgetDelta">obal!$E$168</definedName>
    <definedName name="tlobalEmp6">obal!$E$91</definedName>
    <definedName name="tlobalEmp6CumTrainingHrs">obal!$E$183</definedName>
    <definedName name="tlobalEmp6GeneralTrainingBudget">obal!$E$176</definedName>
    <definedName name="tlobalEmp6GeneralTrainingHrsAvail">obal!$E$161</definedName>
    <definedName name="tlobalEmp6GeneralTrainingHrsCompleted">obal!$E$154</definedName>
    <definedName name="tlobalEmp6IndAvgUtiliz">obal!$E$125</definedName>
    <definedName name="tlobalEmp6Recruited">obal!$E$72</definedName>
    <definedName name="tlobalEmp6TrainingBudgetDelta">obal!$E$169</definedName>
    <definedName name="tlobalEmp6Utiliz">obal!$E$107</definedName>
    <definedName name="tlobalEmp7Recruited">obal!$E$69</definedName>
    <definedName name="tlobalEmp8Recruited">obal!$E$70</definedName>
    <definedName name="tlobalEmp9Recruited">obal!$E$71</definedName>
    <definedName name="tlobalEmpEngagementY1">obal!$E$393</definedName>
    <definedName name="tlobalEmpEngagementY2">obal!$E$394</definedName>
    <definedName name="tlobalEmpEngagementY3">obal!$E$395</definedName>
    <definedName name="tlobalEmpEngagementY4">obal!$E$396</definedName>
    <definedName name="tlobalEnterpriseWFUtilizationY1">obal!$E$449</definedName>
    <definedName name="tlobalEnterpriseWFUtilizationY2">obal!$E$450</definedName>
    <definedName name="tlobalEnterpriseWFUtilizationY3">obal!$E$451</definedName>
    <definedName name="tlobalEnterpriseWFUtilizationY4">obal!$E$452</definedName>
    <definedName name="tlobalESAT">obal!$E$46</definedName>
    <definedName name="tlobalGeneralTrainingHrsPullOut">obal!$E$163</definedName>
    <definedName name="tlobalH1Competency">obal!$E$212</definedName>
    <definedName name="tlobalH2Competency">obal!$E$213</definedName>
    <definedName name="tlobalH3Competency">obal!$E$214</definedName>
    <definedName name="tlobalIndustryAvgCIMargin">obal!$E$44</definedName>
    <definedName name="tlobalIndustryEminence">obal!$E$193</definedName>
    <definedName name="tlobalInternalAssets">obal!$E$194</definedName>
    <definedName name="tlobalLTDebtValue">obal!$E$25</definedName>
    <definedName name="tlobalNetEarnValue">obal!$E$32</definedName>
    <definedName name="tlobalNetLocalSavingsY1">obal!$E$453</definedName>
    <definedName name="tlobalNetLocalSavingsY2">obal!$E$454</definedName>
    <definedName name="tlobalNetLocalSavingsY3">obal!$E$455</definedName>
    <definedName name="tlobalNetLocalSavingsY4">obal!$E$456</definedName>
    <definedName name="tlobalOtherAsstesValue">obal!$E$13</definedName>
    <definedName name="tlobalOtherCurrLiabValue">obal!$E$21</definedName>
    <definedName name="tlobalOtherLTLiab">obal!$E$26</definedName>
    <definedName name="tlobalOutsourcingCCIPctofRevenueY1">obal!$E$441</definedName>
    <definedName name="tlobalOutsourcingCCIPctofRevenueY2">obal!$E$442</definedName>
    <definedName name="tlobalOutsourcingCCIPctofRevenueY3">obal!$E$443</definedName>
    <definedName name="tlobalOutsourcingCCIPctofRevenueY4">obal!$E$444</definedName>
    <definedName name="tlobalOutsourcingProductivityGainY1">obal!$E$445</definedName>
    <definedName name="tlobalOutsourcingProductivityGainY2">obal!$E$446</definedName>
    <definedName name="tlobalOutsourcingProductivityGainY3">obal!$E$447</definedName>
    <definedName name="tlobalOutsourcingProductivityGainY4">obal!$E$448</definedName>
    <definedName name="tlobalOutsourcingRevPctofTotalRevenueY1">obal!$E$437</definedName>
    <definedName name="tlobalOutsourcingRevPctofTotalRevenueY2">obal!$E$438</definedName>
    <definedName name="tlobalOutsourcingRevPctofTotalRevenueY3">obal!$E$439</definedName>
    <definedName name="tlobalOutsourcingRevPctofTotalRevenueY4">obal!$E$440</definedName>
    <definedName name="tlobalOutsourcingRevY1">obal!$E$429</definedName>
    <definedName name="tlobalOutsourcingRevY2">obal!$E$430</definedName>
    <definedName name="tlobalOutsourcingRevY3">obal!$E$431</definedName>
    <definedName name="tlobalOutsourcingRevY4">obal!$E$432</definedName>
    <definedName name="tlobalOutsourcingSalesGrowthY1">obal!$E$433</definedName>
    <definedName name="tlobalOutsourcingSalesGrowthY2">obal!$E$434</definedName>
    <definedName name="tlobalOutsourcingSalesGrowthY3">obal!$E$435</definedName>
    <definedName name="tlobalOutsourcingSalesGrowthY4">obal!$E$436</definedName>
    <definedName name="tlobalPlant1Value">obal!$E$10</definedName>
    <definedName name="tlobalPlantValue">obal!$E$11</definedName>
    <definedName name="tlobalPrac1Bookings">obal!$E$52</definedName>
    <definedName name="tlobalPrac1RevY1">obal!$E$457</definedName>
    <definedName name="tlobalPrac1RevY2">obal!$E$458</definedName>
    <definedName name="tlobalPrac2Bookings">obal!$E$53</definedName>
    <definedName name="tlobalPrac2RevY1">obal!$E$459</definedName>
    <definedName name="tlobalPrac2RevY2">obal!$E$460</definedName>
    <definedName name="tlobalPrac3Bookings">obal!$E$54</definedName>
    <definedName name="tlobalPrac3RevY1">obal!$E$461</definedName>
    <definedName name="tlobalPrac3RevY2">obal!$E$462</definedName>
    <definedName name="tlobalRetEarnValue">obal!$E$31</definedName>
    <definedName name="tlobalSpecLoansValue">obal!$E$22</definedName>
    <definedName name="tlobalTotalAttritionY1">obal!$E$397</definedName>
    <definedName name="tlobalTotalAttritionY2">obal!$E$398</definedName>
    <definedName name="tlobalTotalAttritionY3">obal!$E$399</definedName>
    <definedName name="tlobalTotalAttritionY4">obal!$E$400</definedName>
    <definedName name="tlobalTotalCI">obal!$E$42</definedName>
    <definedName name="tlobalTotalCIMargin">obal!$E$43</definedName>
    <definedName name="tlobalTotalCIPctRevY1">obal!$E$389</definedName>
    <definedName name="tlobalTotalCIPctRevY2">obal!$E$390</definedName>
    <definedName name="tlobalTotalCIPctRevY3">obal!$E$391</definedName>
    <definedName name="tlobalTotalCIPctRevY4">obal!$E$392</definedName>
    <definedName name="tlobalTotalControllableIncome">obal!$E$260</definedName>
    <definedName name="tlobalTotalEmpDismissal">obal!$E$74</definedName>
    <definedName name="tlobalTotalEmpRecruited">obal!$E$73</definedName>
    <definedName name="tlobalTotalGeneralTrainingHrsAvail">obal!$E$162</definedName>
    <definedName name="tlobalTotalGeneralTrainingHrsCompleted">obal!$E$155</definedName>
    <definedName name="tlobalTotalHeadCount">obal!$E$92</definedName>
    <definedName name="tlobalTotalInYearScoreY1">obal!$E$401</definedName>
    <definedName name="tlobalTotalInYearScoreY2">obal!$E$402</definedName>
    <definedName name="tlobalTotalInYearScoreY3">obal!$E$403</definedName>
    <definedName name="tlobalTotalInYearScoreY4">obal!$E$404</definedName>
    <definedName name="tlobalTotalRealizedRev">obal!$E$318</definedName>
    <definedName name="tlobalTotalRevenue">obal!$E$38</definedName>
    <definedName name="tlobalTotalRevY1">obal!$E$381</definedName>
    <definedName name="tlobalTotalRevY2">obal!$E$382</definedName>
    <definedName name="tlobalTotalRevY3">obal!$E$383</definedName>
    <definedName name="tlobalTotalRevY4">obal!$E$384</definedName>
    <definedName name="tlobalTotalSales">obal!$E$41</definedName>
    <definedName name="tlobalTotalSalesGrowthY1">obal!$E$385</definedName>
    <definedName name="tlobalTotalSalesGrowthY2">obal!$E$386</definedName>
    <definedName name="tlobalTotalSalesGrowthY3">obal!$E$387</definedName>
    <definedName name="tlobalTotalSalesGrowthY4">obal!$E$388</definedName>
    <definedName name="tlobalV1Competency">obal!$E$209</definedName>
    <definedName name="tlobalV1H1Comp">obal!$E$198</definedName>
    <definedName name="tlobalV1H2Comp">obal!$E$199</definedName>
    <definedName name="tlobalV1H3Comp">obal!$E$200</definedName>
    <definedName name="tlobalV2Competency">obal!$E$210</definedName>
    <definedName name="tlobalV2H1Comp">obal!$E$201</definedName>
    <definedName name="tlobalV2H2Comp">obal!$E$202</definedName>
    <definedName name="tlobalV2H3Comp">obal!$E$203</definedName>
    <definedName name="tlobalV3Competency">obal!$E$211</definedName>
    <definedName name="tlobalV3H1Comp">obal!$E$204</definedName>
    <definedName name="tlobalV3H2Comp">obal!$E$205</definedName>
    <definedName name="tlobalV3H3Comp">obal!$E$206</definedName>
    <definedName name="tlobalY1SpecProg1">obal!$E$476</definedName>
    <definedName name="tlobalY1SpecProg2">obal!$E$477</definedName>
    <definedName name="tlobalY1SpecProg3">obal!$E$478</definedName>
    <definedName name="tlobalY1SpecProg4">obal!$E$479</definedName>
    <definedName name="tlobalY1SpecProg5">obal!$E$480</definedName>
    <definedName name="tlobalY1SpecProg6">obal!$E$481</definedName>
    <definedName name="tlobalY1SpecProg7">obal!$E$482</definedName>
    <definedName name="tlobalY1V1H1BidRev">obal!$E$291</definedName>
    <definedName name="tlobalY1V1H1BidWon">obal!$E$262</definedName>
    <definedName name="tlobalY1V1H1COS">obal!$E$320</definedName>
    <definedName name="tlobalY1V1H1COSRealized">obal!$E$350</definedName>
    <definedName name="tlobalY1V1H2BidRev">obal!$E$292</definedName>
    <definedName name="tlobalY1V1H2BidWon">obal!$E$263</definedName>
    <definedName name="tlobalY1V1H2COS">obal!$E$321</definedName>
    <definedName name="tlobalY1V1H2COSRealized">obal!$E$351</definedName>
    <definedName name="tlobalY1V1H3BidRev">obal!$E$293</definedName>
    <definedName name="tlobalY1V1H3BidWon">obal!$E$264</definedName>
    <definedName name="tlobalY1V1H3COS">obal!$E$322</definedName>
    <definedName name="tlobalY1V1H3COSRealized">obal!$E$352</definedName>
    <definedName name="tlobalY1V2H1BidRev">obal!$E$294</definedName>
    <definedName name="tlobalY1V2H1BidWon">obal!$E$265</definedName>
    <definedName name="tlobalY1V2H1COS">obal!$E$323</definedName>
    <definedName name="tlobalY1V2H1COSRealized">obal!$E$353</definedName>
    <definedName name="tlobalY1V2H2BidRev">obal!$E$295</definedName>
    <definedName name="tlobalY1V2H2BidWon">obal!$E$266</definedName>
    <definedName name="tlobalY1V2H2COS">obal!$E$324</definedName>
    <definedName name="tlobalY1V2H2COSRealized">obal!$E$354</definedName>
    <definedName name="tlobalY1V2H3BidRev">obal!$E$296</definedName>
    <definedName name="tlobalY1V2H3BidWon">obal!$E$267</definedName>
    <definedName name="tlobalY1V2H3COS">obal!$E$325</definedName>
    <definedName name="tlobalY1V2H3COSRealized">obal!$E$355</definedName>
    <definedName name="tlobalY1V3H1BidRev">obal!$E$297</definedName>
    <definedName name="tlobalY1V3H1BidWon">obal!$E$268</definedName>
    <definedName name="tlobalY1V3H1COS">obal!$E$326</definedName>
    <definedName name="tlobalY1V3H1COSRealized">obal!$E$356</definedName>
    <definedName name="tlobalY1V3H2BidRev">obal!$E$298</definedName>
    <definedName name="tlobalY1V3H2BidWon">obal!$E$269</definedName>
    <definedName name="tlobalY1V3H2COS">obal!$E$327</definedName>
    <definedName name="tlobalY1V3H2COSRealized">obal!$E$357</definedName>
    <definedName name="tlobalY1V3H3BidRev">obal!$E$299</definedName>
    <definedName name="tlobalY1V3H3BidWon">obal!$E$270</definedName>
    <definedName name="tlobalY1V3H3COS">obal!$E$328</definedName>
    <definedName name="tlobalY1V3H3COSRealized">obal!$E$358</definedName>
    <definedName name="tlobalY1Wobbler1">obal!$E$505</definedName>
    <definedName name="tlobalY1Wobbler2">obal!$E$506</definedName>
    <definedName name="tlobalY1Wobbler3">obal!$E$507</definedName>
    <definedName name="tlobalY1Wobbler4">obal!$E$508</definedName>
    <definedName name="tlobalY2SpecProg1">obal!$E$483</definedName>
    <definedName name="tlobalY2SpecProg2">obal!$E$484</definedName>
    <definedName name="tlobalY2SpecProg3">obal!$E$485</definedName>
    <definedName name="tlobalY2SpecProg4">obal!$E$486</definedName>
    <definedName name="tlobalY2SpecProg5">obal!$E$487</definedName>
    <definedName name="tlobalY2SpecProg6">obal!$E$488</definedName>
    <definedName name="tlobalY2SpecProg7">obal!$E$489</definedName>
    <definedName name="tlobalY2V1H1BidRev">obal!$E$300</definedName>
    <definedName name="tlobalY2V1H1BidWon">obal!$E$271</definedName>
    <definedName name="tlobalY2V1H1COS">obal!$E$329</definedName>
    <definedName name="tlobalY2V1H1COSRealized">obal!$E$359</definedName>
    <definedName name="tlobalY2V1H2BidRev">obal!$E$301</definedName>
    <definedName name="tlobalY2V1H2BidWon">obal!$E$272</definedName>
    <definedName name="tlobalY2V1H2COS">obal!$E$330</definedName>
    <definedName name="tlobalY2V1H2COSRealized">obal!$E$360</definedName>
    <definedName name="tlobalY2V1H3BidRev">obal!$E$302</definedName>
    <definedName name="tlobalY2V1H3BidWon">obal!$E$273</definedName>
    <definedName name="tlobalY2V1H3COS">obal!$E$331</definedName>
    <definedName name="tlobalY2V1H3COSRealized">obal!$E$361</definedName>
    <definedName name="tlobalY2V2H1BidRev">obal!$E$303</definedName>
    <definedName name="tlobalY2V2H1BidWon">obal!$E$274</definedName>
    <definedName name="tlobalY2V2H1COS">obal!$E$332</definedName>
    <definedName name="tlobalY2V2H1COSRealized">obal!$E$362</definedName>
    <definedName name="tlobalY2V2H2BidRev">obal!$E$304</definedName>
    <definedName name="tlobalY2V2H2BidWon">obal!$E$275</definedName>
    <definedName name="tlobalY2V2H2COS">obal!$E$333</definedName>
    <definedName name="tlobalY2V2H2COSRealized">obal!$E$363</definedName>
    <definedName name="tlobalY2V2H3BidRev">obal!$E$305</definedName>
    <definedName name="tlobalY2V2H3BidWon">obal!$E$276</definedName>
    <definedName name="tlobalY2V2H3COS">obal!$E$334</definedName>
    <definedName name="tlobalY2V2H3COSRealized">obal!$E$364</definedName>
    <definedName name="tlobalY2V3H1BidRev">obal!$E$306</definedName>
    <definedName name="tlobalY2V3H1BidWon">obal!$E$277</definedName>
    <definedName name="tlobalY2V3H1COS">obal!$E$335</definedName>
    <definedName name="tlobalY2V3H1COSRealized">obal!$E$365</definedName>
    <definedName name="tlobalY2V3H2BidRev">obal!$E$307</definedName>
    <definedName name="tlobalY2V3H2BidWon">obal!$E$278</definedName>
    <definedName name="tlobalY2V3H2COS">obal!$E$336</definedName>
    <definedName name="tlobalY2V3H2COSRealized">obal!$E$366</definedName>
    <definedName name="tlobalY2V3H3BidRev">obal!$E$308</definedName>
    <definedName name="tlobalY2V3H3BidWon">obal!$E$279</definedName>
    <definedName name="tlobalY2V3H3COS">obal!$E$337</definedName>
    <definedName name="tlobalY2V3H3COSRealized">obal!$E$367</definedName>
    <definedName name="tlobalY2Wobbler1">obal!$E$509</definedName>
    <definedName name="tlobalY2Wobbler2">obal!$E$510</definedName>
    <definedName name="tlobalY2Wobbler3">obal!$E$511</definedName>
    <definedName name="tlobalY2Wobbler4">obal!$E$512</definedName>
    <definedName name="tlobalY3SpecProg1">obal!$E$490</definedName>
    <definedName name="tlobalY3SpecProg2">obal!$E$491</definedName>
    <definedName name="tlobalY3SpecProg3">obal!$E$492</definedName>
    <definedName name="tlobalY3SpecProg4">obal!$E$493</definedName>
    <definedName name="tlobalY3SpecProg5">obal!$E$494</definedName>
    <definedName name="tlobalY3SpecProg6">obal!$E$495</definedName>
    <definedName name="tlobalY3SpecProg7">obal!$E$496</definedName>
    <definedName name="tlobalY3V1H1BidRev">obal!$E$309</definedName>
    <definedName name="tlobalY3V1H1BidWon">obal!$E$280</definedName>
    <definedName name="tlobalY3V1H1COS">obal!$E$338</definedName>
    <definedName name="tlobalY3V1H1COSRealized">obal!$E$368</definedName>
    <definedName name="tlobalY3V1H2BidRev">obal!$E$310</definedName>
    <definedName name="tlobalY3V1H2BidWon">obal!$E$281</definedName>
    <definedName name="tlobalY3V1H2COS">obal!$E$339</definedName>
    <definedName name="tlobalY3V1H2COSRealized">obal!$E$369</definedName>
    <definedName name="tlobalY3V1H3BidRev">obal!$E$311</definedName>
    <definedName name="tlobalY3V1H3BidWon">obal!$E$282</definedName>
    <definedName name="tlobalY3V1H3COS">obal!$E$340</definedName>
    <definedName name="tlobalY3V1H3COSRealized">obal!$E$370</definedName>
    <definedName name="tlobalY3V2H1BidRev">obal!$E$312</definedName>
    <definedName name="tlobalY3V2H1BidWon">obal!$E$283</definedName>
    <definedName name="tlobalY3V2H1COS">obal!$E$341</definedName>
    <definedName name="tlobalY3V2H1COSRealized">obal!$E$371</definedName>
    <definedName name="tlobalY3V2H2BidRev">obal!$E$313</definedName>
    <definedName name="tlobalY3V2H2BidWon">obal!$E$284</definedName>
    <definedName name="tlobalY3V2H2COS">obal!$E$342</definedName>
    <definedName name="tlobalY3V2H2COSRealized">obal!$E$372</definedName>
    <definedName name="tlobalY3V2H3BidRev">obal!$E$314</definedName>
    <definedName name="tlobalY3V2H3BidWon">obal!$E$285</definedName>
    <definedName name="tlobalY3V2H3COS">obal!$E$343</definedName>
    <definedName name="tlobalY3V2H3COSRealized">obal!$E$373</definedName>
    <definedName name="tlobalY3V3H1BidRev">obal!$E$315</definedName>
    <definedName name="tlobalY3V3H1BidWon">obal!$E$286</definedName>
    <definedName name="tlobalY3V3H1COS">obal!$E$344</definedName>
    <definedName name="tlobalY3V3H1COSRealized">obal!$E$374</definedName>
    <definedName name="tlobalY3V3H2BidRev">obal!$E$316</definedName>
    <definedName name="tlobalY3V3H2BidWon">obal!$E$287</definedName>
    <definedName name="tlobalY3V3H2COS">obal!$E$345</definedName>
    <definedName name="tlobalY3V3H2COSRealized">obal!$E$375</definedName>
    <definedName name="tlobalY3V3H3BidRev">obal!$E$317</definedName>
    <definedName name="tlobalY3V3H3BidWon">obal!$E$288</definedName>
    <definedName name="tlobalY3V3H3COS">obal!$E$346</definedName>
    <definedName name="tlobalY3V3H3COSRealized">obal!$E$376</definedName>
    <definedName name="tlobalY3Wobbler1">obal!$E$513</definedName>
    <definedName name="tlobalY3Wobbler2">obal!$E$514</definedName>
    <definedName name="tlobalY3Wobbler3">obal!$E$515</definedName>
    <definedName name="tlobalY3Wobbler4">obal!$E$516</definedName>
    <definedName name="tlobalY4SpecProg1">obal!$E$497</definedName>
    <definedName name="tlobalY4SpecProg2">obal!$E$498</definedName>
    <definedName name="tlobalY4SpecProg3">obal!$E$499</definedName>
    <definedName name="tlobalY4SpecProg4">obal!$E$500</definedName>
    <definedName name="tlobalY4SpecProg5">obal!$E$501</definedName>
    <definedName name="tlobalY4SpecProg6">obal!$E$502</definedName>
    <definedName name="tlobalY4SpecProg7">obal!$E$503</definedName>
    <definedName name="tlobalY4Wobbler1">obal!$E$517</definedName>
    <definedName name="tlobalY4Wobbler2">obal!$E$518</definedName>
    <definedName name="tlobalY4Wobbler3">obal!$E$519</definedName>
    <definedName name="tlobalY4Wobbler4">obal!$E$520</definedName>
    <definedName name="tlOutput_tlBusAPrac1_F32">tlBusAPrac1!$F$32</definedName>
    <definedName name="tlOutput_tlBusAPrac1_H17">tlBusAPrac1!$H$17</definedName>
    <definedName name="tlOutput_tlBusAPrac1_J17">tlBusAPrac1!$J$17</definedName>
    <definedName name="tlOutput_tlBusAPrac1_L10">tlBusAPrac1!$L$10</definedName>
    <definedName name="tlOutput_tlBusAPrac1_L17">tlBusAPrac1!$L$17</definedName>
    <definedName name="tlOutput_tlBusAPrac1_L21">tlBusAPrac1!$L$21</definedName>
    <definedName name="tlOutput_tlBusAPrac1_L25">tlBusAPrac1!$L$25</definedName>
    <definedName name="tlOutput_tlBusAPrac2_F32">tlBusAPrac2!$F$32</definedName>
    <definedName name="tlOutput_tlBusAPrac2_H17">tlBusAPrac2!$H$17</definedName>
    <definedName name="tlOutput_tlBusAPrac2_J17">tlBusAPrac2!$J$17</definedName>
    <definedName name="tlOutput_tlBusAPrac2_L10">tlBusAPrac2!$L$10</definedName>
    <definedName name="tlOutput_tlBusAPrac2_L17">tlBusAPrac2!$L$17</definedName>
    <definedName name="tlOutput_tlBusAPrac2_L21">tlBusAPrac2!$L$21</definedName>
    <definedName name="tlOutput_tlBusAPrac2_L25">tlBusAPrac2!$L$25</definedName>
    <definedName name="tlOutput_tlBusAPrac3_F32">tlBusAPrac3!$F$32</definedName>
    <definedName name="tlOutput_tlBusAPrac3_H17">tlBusAPrac3!$H$17</definedName>
    <definedName name="tlOutput_tlBusAPrac3_J17">tlBusAPrac3!$J$17</definedName>
    <definedName name="tlOutput_tlBusAPrac3_L10">tlBusAPrac3!$L$10</definedName>
    <definedName name="tlOutput_tlBusAPrac3_L17">tlBusAPrac3!$L$17</definedName>
    <definedName name="tlOutput_tlBusAPrac3_L21">tlBusAPrac3!$L$21</definedName>
    <definedName name="tlOutput_tlBusAPrac3_L25">tlBusAPrac3!$L$25</definedName>
    <definedName name="tlOutput_tlBusinessA_H17">tlBusinessA!$H$17</definedName>
    <definedName name="tlOutput_tlBusinessA_H21">tlBusinessA!$H$21</definedName>
    <definedName name="tlOutput_tlBusinessA_H23">tlBusinessA!$H$23</definedName>
    <definedName name="tlOutput_tlBusinessA_H33">tlBusinessA!$H$35</definedName>
    <definedName name="tlOutput_tlBusinessA_H51">tlBusinessA!$H$53</definedName>
    <definedName name="tlOutput_tlBusinessA_J17">tlBusinessA!$J$17</definedName>
    <definedName name="tlOutput_tlBusinessA_J21">tlBusinessA!$J$21</definedName>
    <definedName name="tlOutput_tlBusinessA_J23">tlBusinessA!$J$23</definedName>
    <definedName name="tlOutput_tlBusinessA_J33">tlBusinessA!$J$35</definedName>
    <definedName name="tlOutput_tlBusinessA_J51">tlBusinessA!$J$53</definedName>
    <definedName name="tlOutput_tlBusinessA_L17">tlBusinessA!$L$17</definedName>
    <definedName name="tlOutput_tlBusinessA_L21">tlBusinessA!$L$21</definedName>
    <definedName name="tlOutput_tlBusinessA_L23">tlBusinessA!$L$23</definedName>
    <definedName name="tlOutput_tlBusinessA_L33">tlBusinessA!$L$35</definedName>
    <definedName name="tlOutput_tlBusinessA_L37">tlBusinessA!$L$39</definedName>
    <definedName name="tlOutput_tlBusinessA_L44">tlBusinessA!$L$46</definedName>
    <definedName name="tlOutput_tlBusinessA_L51">tlBusinessA!$L$53</definedName>
    <definedName name="tlOutput_tlGraphs_A361">tlGraphs!$A$361</definedName>
    <definedName name="tlOutput_tlGraphs_A362">tlGraphs!$A$362</definedName>
    <definedName name="tlOutput_tlGraphs_A363">tlGraphs!$A$363</definedName>
    <definedName name="tlOutput_tlGraphs_A364">tlGraphs!$A$364</definedName>
    <definedName name="tlOutput_tlGraphs_B200">tlGraphs!$B$200</definedName>
    <definedName name="tlOutput_tlGraphs_B201">tlGraphs!$B$201</definedName>
    <definedName name="tlOutput_tlGraphs_B202">tlGraphs!$B$202</definedName>
    <definedName name="tlOutput_tlGraphs_B221">tlGraphs!$B$221</definedName>
    <definedName name="tlOutput_tlGraphs_B222">tlGraphs!$B$222</definedName>
    <definedName name="tlOutput_tlGraphs_B223">tlGraphs!$B$223</definedName>
    <definedName name="tlOutput_tlGraphs_B230">tlGraphs!$B$230</definedName>
    <definedName name="tlOutput_tlGraphs_B249">tlGraphs!$B$249</definedName>
    <definedName name="tlOutput_tlGraphs_B250">tlGraphs!$B$250</definedName>
    <definedName name="tlOutput_tlGraphs_B283">tlGraphs!$B$283</definedName>
    <definedName name="tlOutput_tlGraphs_B298">tlGraphs!$B$298</definedName>
    <definedName name="tlOutput_tlGraphs_B338">tlGraphs!$B$338</definedName>
    <definedName name="tlOutput_tlGraphs_B339">tlGraphs!$B$339</definedName>
    <definedName name="tlOutput_tlGraphs_B360">tlGraphs!$B$360</definedName>
    <definedName name="tlOutput_tlGraphs_B361">tlGraphs!$B$361</definedName>
    <definedName name="tlOutput_tlGraphs_B362">tlGraphs!$B$362</definedName>
    <definedName name="tlOutput_tlGraphs_B363">tlGraphs!$B$363</definedName>
    <definedName name="tlOutput_tlGraphs_B364">tlGraphs!$B$364</definedName>
    <definedName name="tlOutput_tlGraphs_C199">tlGraphs!$C$199</definedName>
    <definedName name="tlOutput_tlGraphs_C200">tlGraphs!$C$200</definedName>
    <definedName name="tlOutput_tlGraphs_C201">tlGraphs!$C$201</definedName>
    <definedName name="tlOutput_tlGraphs_C202">tlGraphs!$C$202</definedName>
    <definedName name="tlOutput_tlGraphs_C221">tlGraphs!$C$221</definedName>
    <definedName name="tlOutput_tlGraphs_C222">tlGraphs!$C$222</definedName>
    <definedName name="tlOutput_tlGraphs_C223">tlGraphs!$C$223</definedName>
    <definedName name="tlOutput_tlGraphs_C231">tlGraphs!$C$231</definedName>
    <definedName name="tlOutput_tlGraphs_C232">tlGraphs!$C$232</definedName>
    <definedName name="tlOutput_tlGraphs_C249">tlGraphs!$C$249</definedName>
    <definedName name="tlOutput_tlGraphs_C250">tlGraphs!$C$250</definedName>
    <definedName name="tlOutput_tlGraphs_C282">tlGraphs!$C$282</definedName>
    <definedName name="tlOutput_tlGraphs_C283">tlGraphs!$C$283</definedName>
    <definedName name="tlOutput_tlGraphs_C297">tlGraphs!$C$297</definedName>
    <definedName name="tlOutput_tlGraphs_C298">tlGraphs!$C$298</definedName>
    <definedName name="tlOutput_tlGraphs_C311">tlGraphs!$C$311</definedName>
    <definedName name="tlOutput_tlGraphs_C312">tlGraphs!$C$312</definedName>
    <definedName name="tlOutput_tlGraphs_C325">tlGraphs!$C$325</definedName>
    <definedName name="tlOutput_tlGraphs_C326">tlGraphs!$C$326</definedName>
    <definedName name="tlOutput_tlGraphs_C337">tlGraphs!$C$337</definedName>
    <definedName name="tlOutput_tlGraphs_C338">tlGraphs!$C$338</definedName>
    <definedName name="tlOutput_tlGraphs_C339">tlGraphs!$C$339</definedName>
    <definedName name="tlOutput_tlGraphs_D199">tlGraphs!$D$199</definedName>
    <definedName name="tlOutput_tlGraphs_D200">tlGraphs!$D$200</definedName>
    <definedName name="tlOutput_tlGraphs_D201">tlGraphs!$D$201</definedName>
    <definedName name="tlOutput_tlGraphs_D202">tlGraphs!$D$202</definedName>
    <definedName name="tlOutput_tlGraphs_D221">tlGraphs!$D$221</definedName>
    <definedName name="tlOutput_tlGraphs_D222">tlGraphs!$D$222</definedName>
    <definedName name="tlOutput_tlGraphs_D223">tlGraphs!$D$223</definedName>
    <definedName name="tlOutput_tlGraphs_D231">tlGraphs!$D$231</definedName>
    <definedName name="tlOutput_tlGraphs_D232">tlGraphs!$D$232</definedName>
    <definedName name="tlOutput_tlGraphs_D249">tlGraphs!$D$249</definedName>
    <definedName name="tlOutput_tlGraphs_D250">tlGraphs!$D$250</definedName>
    <definedName name="tlOutput_tlGraphs_D282">tlGraphs!$D$282</definedName>
    <definedName name="tlOutput_tlGraphs_D283">tlGraphs!$D$283</definedName>
    <definedName name="tlOutput_tlGraphs_D297">tlGraphs!$D$297</definedName>
    <definedName name="tlOutput_tlGraphs_D298">tlGraphs!$D$298</definedName>
    <definedName name="tlOutput_tlGraphs_D311">tlGraphs!$D$311</definedName>
    <definedName name="tlOutput_tlGraphs_D312">tlGraphs!$D$312</definedName>
    <definedName name="tlOutput_tlGraphs_D325">tlGraphs!$D$325</definedName>
    <definedName name="tlOutput_tlGraphs_D326">tlGraphs!$D$326</definedName>
    <definedName name="tlOutput_tlGraphs_D337">tlGraphs!$D$337</definedName>
    <definedName name="tlOutput_tlGraphs_D338">tlGraphs!$D$338</definedName>
    <definedName name="tlOutput_tlGraphs_D339">tlGraphs!$D$339</definedName>
    <definedName name="tlOutput_tlGraphs_E111">tlGraphs!$E$111</definedName>
    <definedName name="tlOutput_tlGraphs_E112">tlGraphs!$E$112</definedName>
    <definedName name="tlOutput_tlGraphs_E113">tlGraphs!$E$113</definedName>
    <definedName name="tlOutput_tlGraphs_E114">tlGraphs!$E$114</definedName>
    <definedName name="tlOutput_tlGraphs_E115">tlGraphs!$E$115</definedName>
    <definedName name="tlOutput_tlGraphs_E116">tlGraphs!$E$116</definedName>
    <definedName name="tlOutput_tlGraphs_E117">tlGraphs!$E$117</definedName>
    <definedName name="tlOutput_tlGraphs_E118">tlGraphs!$E$118</definedName>
    <definedName name="tlOutput_tlGraphs_E119">tlGraphs!$E$119</definedName>
    <definedName name="tlOutput_tlGraphs_E120">tlGraphs!$E$120</definedName>
    <definedName name="tlOutput_tlGraphs_E121">tlGraphs!$E$121</definedName>
    <definedName name="tlOutput_tlGraphs_E122">tlGraphs!$E$122</definedName>
    <definedName name="tlOutput_tlGraphs_E123">tlGraphs!$E$123</definedName>
    <definedName name="tlOutput_tlGraphs_E124">tlGraphs!$E$124</definedName>
    <definedName name="tlOutput_tlGraphs_E125">tlGraphs!$E$125</definedName>
    <definedName name="tlOutput_tlGraphs_E126">tlGraphs!$E$126</definedName>
    <definedName name="tlOutput_tlGraphs_E127">tlGraphs!$E$127</definedName>
    <definedName name="tlOutput_tlGraphs_E128">tlGraphs!$E$128</definedName>
    <definedName name="tlOutput_tlGraphs_E129">tlGraphs!$E$129</definedName>
    <definedName name="tlOutput_tlGraphs_E130">tlGraphs!$E$130</definedName>
    <definedName name="tlOutput_tlGraphs_E131">tlGraphs!$E$131</definedName>
    <definedName name="tlOutput_tlGraphs_E132">tlGraphs!$E$132</definedName>
    <definedName name="tlOutput_tlGraphs_E133">tlGraphs!$E$133</definedName>
    <definedName name="tlOutput_tlGraphs_E134">tlGraphs!$E$134</definedName>
    <definedName name="tlOutput_tlGraphs_E135">tlGraphs!$E$135</definedName>
    <definedName name="tlOutput_tlGraphs_E136">tlGraphs!$E$136</definedName>
    <definedName name="tlOutput_tlGraphs_E137">tlGraphs!$E$137</definedName>
    <definedName name="tlOutput_tlGraphs_E138">tlGraphs!$E$138</definedName>
    <definedName name="tlOutput_tlGraphs_E139">tlGraphs!$E$139</definedName>
    <definedName name="tlOutput_tlGraphs_E140">tlGraphs!$E$140</definedName>
    <definedName name="tlOutput_tlGraphs_E141">tlGraphs!$E$141</definedName>
    <definedName name="tlOutput_tlGraphs_E142">tlGraphs!$E$142</definedName>
    <definedName name="tlOutput_tlGraphs_E143">tlGraphs!$E$143</definedName>
    <definedName name="tlOutput_tlGraphs_E144">tlGraphs!$E$144</definedName>
    <definedName name="tlOutput_tlGraphs_E145">tlGraphs!$E$145</definedName>
    <definedName name="tlOutput_tlGraphs_E15">tlGraphs!$E$15</definedName>
    <definedName name="tlOutput_tlGraphs_E158">tlGraphs!$E$158</definedName>
    <definedName name="tlOutput_tlGraphs_E159">tlGraphs!$E$159</definedName>
    <definedName name="tlOutput_tlGraphs_E16">tlGraphs!$E$16</definedName>
    <definedName name="tlOutput_tlGraphs_E160">tlGraphs!$E$160</definedName>
    <definedName name="tlOutput_tlGraphs_E161">tlGraphs!$E$161</definedName>
    <definedName name="tlOutput_tlGraphs_E162">tlGraphs!$E$162</definedName>
    <definedName name="tlOutput_tlGraphs_E163">tlGraphs!$E$163</definedName>
    <definedName name="tlOutput_tlGraphs_E164">tlGraphs!$E$164</definedName>
    <definedName name="tlOutput_tlGraphs_E165">tlGraphs!$E$165</definedName>
    <definedName name="tlOutput_tlGraphs_E166">tlGraphs!$E$166</definedName>
    <definedName name="tlOutput_tlGraphs_E167">tlGraphs!$E$167</definedName>
    <definedName name="tlOutput_tlGraphs_E168">tlGraphs!$E$168</definedName>
    <definedName name="tlOutput_tlGraphs_E169">tlGraphs!$E$169</definedName>
    <definedName name="tlOutput_tlGraphs_E17">tlGraphs!$E$17</definedName>
    <definedName name="tlOutput_tlGraphs_E170">tlGraphs!$E$170</definedName>
    <definedName name="tlOutput_tlGraphs_E171">tlGraphs!$E$171</definedName>
    <definedName name="tlOutput_tlGraphs_E172">tlGraphs!$E$172</definedName>
    <definedName name="tlOutput_tlGraphs_E173">tlGraphs!$E$173</definedName>
    <definedName name="tlOutput_tlGraphs_E174">tlGraphs!$E$174</definedName>
    <definedName name="tlOutput_tlGraphs_E175">tlGraphs!$E$175</definedName>
    <definedName name="tlOutput_tlGraphs_E176">tlGraphs!$E$176</definedName>
    <definedName name="tlOutput_tlGraphs_E177">tlGraphs!$E$177</definedName>
    <definedName name="tlOutput_tlGraphs_E178">tlGraphs!$E$178</definedName>
    <definedName name="tlOutput_tlGraphs_E179">tlGraphs!$E$179</definedName>
    <definedName name="tlOutput_tlGraphs_E18">tlGraphs!$E$18</definedName>
    <definedName name="tlOutput_tlGraphs_E180">tlGraphs!$E$180</definedName>
    <definedName name="tlOutput_tlGraphs_E181">tlGraphs!$E$181</definedName>
    <definedName name="tlOutput_tlGraphs_E182">tlGraphs!$E$182</definedName>
    <definedName name="tlOutput_tlGraphs_E183">tlGraphs!$E$183</definedName>
    <definedName name="tlOutput_tlGraphs_E184">tlGraphs!$E$184</definedName>
    <definedName name="tlOutput_tlGraphs_E185">tlGraphs!$E$185</definedName>
    <definedName name="tlOutput_tlGraphs_E186">tlGraphs!$E$186</definedName>
    <definedName name="tlOutput_tlGraphs_E187">tlGraphs!$E$187</definedName>
    <definedName name="tlOutput_tlGraphs_E188">tlGraphs!$E$188</definedName>
    <definedName name="tlOutput_tlGraphs_E189">tlGraphs!$E$189</definedName>
    <definedName name="tlOutput_tlGraphs_E19">tlGraphs!$E$19</definedName>
    <definedName name="tlOutput_tlGraphs_E190">tlGraphs!$E$190</definedName>
    <definedName name="tlOutput_tlGraphs_E191">tlGraphs!$E$191</definedName>
    <definedName name="tlOutput_tlGraphs_E192">tlGraphs!$E$192</definedName>
    <definedName name="tlOutput_tlGraphs_E20">tlGraphs!$E$20</definedName>
    <definedName name="tlOutput_tlGraphs_E21">tlGraphs!$E$21</definedName>
    <definedName name="tlOutput_tlGraphs_E22">tlGraphs!$E$22</definedName>
    <definedName name="tlOutput_tlGraphs_E221">tlGraphs!$E$221</definedName>
    <definedName name="tlOutput_tlGraphs_E222">tlGraphs!$E$222</definedName>
    <definedName name="tlOutput_tlGraphs_E223">tlGraphs!$E$223</definedName>
    <definedName name="tlOutput_tlGraphs_E23">tlGraphs!$E$23</definedName>
    <definedName name="tlOutput_tlGraphs_E231">tlGraphs!$E$231</definedName>
    <definedName name="tlOutput_tlGraphs_E232">tlGraphs!$E$232</definedName>
    <definedName name="tlOutput_tlGraphs_E24">tlGraphs!$E$24</definedName>
    <definedName name="tlOutput_tlGraphs_E249">tlGraphs!$E$249</definedName>
    <definedName name="tlOutput_tlGraphs_E25">tlGraphs!$E$25</definedName>
    <definedName name="tlOutput_tlGraphs_E250">tlGraphs!$E$250</definedName>
    <definedName name="tlOutput_tlGraphs_E26">tlGraphs!$E$26</definedName>
    <definedName name="tlOutput_tlGraphs_E27">tlGraphs!$E$27</definedName>
    <definedName name="tlOutput_tlGraphs_E28">tlGraphs!$E$28</definedName>
    <definedName name="tlOutput_tlGraphs_E282">tlGraphs!$E$282</definedName>
    <definedName name="tlOutput_tlGraphs_E283">tlGraphs!$E$283</definedName>
    <definedName name="tlOutput_tlGraphs_E29">tlGraphs!$E$29</definedName>
    <definedName name="tlOutput_tlGraphs_E297">tlGraphs!$E$297</definedName>
    <definedName name="tlOutput_tlGraphs_E298">tlGraphs!$E$298</definedName>
    <definedName name="tlOutput_tlGraphs_E30">tlGraphs!$E$30</definedName>
    <definedName name="tlOutput_tlGraphs_E31">tlGraphs!$E$31</definedName>
    <definedName name="tlOutput_tlGraphs_E311">tlGraphs!$E$311</definedName>
    <definedName name="tlOutput_tlGraphs_E312">tlGraphs!$E$312</definedName>
    <definedName name="tlOutput_tlGraphs_E32">tlGraphs!$E$32</definedName>
    <definedName name="tlOutput_tlGraphs_E325">tlGraphs!$E$325</definedName>
    <definedName name="tlOutput_tlGraphs_E326">tlGraphs!$E$326</definedName>
    <definedName name="tlOutput_tlGraphs_E33">tlGraphs!$E$33</definedName>
    <definedName name="tlOutput_tlGraphs_E34">tlGraphs!$E$34</definedName>
    <definedName name="tlOutput_tlGraphs_E35">tlGraphs!$E$35</definedName>
    <definedName name="tlOutput_tlGraphs_E36">tlGraphs!$E$36</definedName>
    <definedName name="tlOutput_tlGraphs_E37">tlGraphs!$E$37</definedName>
    <definedName name="tlOutput_tlGraphs_E38">tlGraphs!$E$38</definedName>
    <definedName name="tlOutput_tlGraphs_E39">tlGraphs!$E$39</definedName>
    <definedName name="tlOutput_tlGraphs_E40">tlGraphs!$E$40</definedName>
    <definedName name="tlOutput_tlGraphs_E41">tlGraphs!$E$41</definedName>
    <definedName name="tlOutput_tlGraphs_E42">tlGraphs!$E$42</definedName>
    <definedName name="tlOutput_tlGraphs_E43">tlGraphs!$E$43</definedName>
    <definedName name="tlOutput_tlGraphs_E44">tlGraphs!$E$44</definedName>
    <definedName name="tlOutput_tlGraphs_E45">tlGraphs!$E$45</definedName>
    <definedName name="tlOutput_tlGraphs_E46">tlGraphs!$E$46</definedName>
    <definedName name="tlOutput_tlGraphs_E47">tlGraphs!$E$47</definedName>
    <definedName name="tlOutput_tlGraphs_E48">tlGraphs!$E$48</definedName>
    <definedName name="tlOutput_tlGraphs_E49">tlGraphs!$E$49</definedName>
    <definedName name="tlOutput_tlGraphs_E63">tlGraphs!$E$63</definedName>
    <definedName name="tlOutput_tlGraphs_E64">tlGraphs!$E$64</definedName>
    <definedName name="tlOutput_tlGraphs_E65">tlGraphs!$E$65</definedName>
    <definedName name="tlOutput_tlGraphs_E66">tlGraphs!$E$66</definedName>
    <definedName name="tlOutput_tlGraphs_E67">tlGraphs!$E$67</definedName>
    <definedName name="tlOutput_tlGraphs_E68">tlGraphs!$E$68</definedName>
    <definedName name="tlOutput_tlGraphs_E69">tlGraphs!$E$69</definedName>
    <definedName name="tlOutput_tlGraphs_E70">tlGraphs!$E$70</definedName>
    <definedName name="tlOutput_tlGraphs_E71">tlGraphs!$E$71</definedName>
    <definedName name="tlOutput_tlGraphs_E72">tlGraphs!$E$72</definedName>
    <definedName name="tlOutput_tlGraphs_E73">tlGraphs!$E$73</definedName>
    <definedName name="tlOutput_tlGraphs_E74">tlGraphs!$E$74</definedName>
    <definedName name="tlOutput_tlGraphs_E75">tlGraphs!$E$75</definedName>
    <definedName name="tlOutput_tlGraphs_E76">tlGraphs!$E$76</definedName>
    <definedName name="tlOutput_tlGraphs_E77">tlGraphs!$E$77</definedName>
    <definedName name="tlOutput_tlGraphs_E78">tlGraphs!$E$78</definedName>
    <definedName name="tlOutput_tlGraphs_E79">tlGraphs!$E$79</definedName>
    <definedName name="tlOutput_tlGraphs_E80">tlGraphs!$E$80</definedName>
    <definedName name="tlOutput_tlGraphs_E81">tlGraphs!$E$81</definedName>
    <definedName name="tlOutput_tlGraphs_E82">tlGraphs!$E$82</definedName>
    <definedName name="tlOutput_tlGraphs_E83">tlGraphs!$E$83</definedName>
    <definedName name="tlOutput_tlGraphs_E84">tlGraphs!$E$84</definedName>
    <definedName name="tlOutput_tlGraphs_E85">tlGraphs!$E$85</definedName>
    <definedName name="tlOutput_tlGraphs_E86">tlGraphs!$E$86</definedName>
    <definedName name="tlOutput_tlGraphs_E87">tlGraphs!$E$87</definedName>
    <definedName name="tlOutput_tlGraphs_E88">tlGraphs!$E$88</definedName>
    <definedName name="tlOutput_tlGraphs_E89">tlGraphs!$E$89</definedName>
    <definedName name="tlOutput_tlGraphs_E90">tlGraphs!$E$90</definedName>
    <definedName name="tlOutput_tlGraphs_E91">tlGraphs!$E$91</definedName>
    <definedName name="tlOutput_tlGraphs_E92">tlGraphs!$E$92</definedName>
    <definedName name="tlOutput_tlGraphs_E93">tlGraphs!$E$93</definedName>
    <definedName name="tlOutput_tlGraphs_E94">tlGraphs!$E$94</definedName>
    <definedName name="tlOutput_tlGraphs_E95">tlGraphs!$E$95</definedName>
    <definedName name="tlOutput_tlGraphs_E96">tlGraphs!$E$96</definedName>
    <definedName name="tlOutput_tlGraphs_E97">tlGraphs!$E$97</definedName>
    <definedName name="tlOutput_tlGraphs_F112">tlGraphs!$F$112</definedName>
    <definedName name="tlOutput_tlGraphs_F113">tlGraphs!$F$113</definedName>
    <definedName name="tlOutput_tlGraphs_F114">tlGraphs!$F$114</definedName>
    <definedName name="tlOutput_tlGraphs_F115">tlGraphs!$F$115</definedName>
    <definedName name="tlOutput_tlGraphs_F116">tlGraphs!$F$116</definedName>
    <definedName name="tlOutput_tlGraphs_F117">tlGraphs!$F$117</definedName>
    <definedName name="tlOutput_tlGraphs_F118">tlGraphs!$F$118</definedName>
    <definedName name="tlOutput_tlGraphs_F119">tlGraphs!$F$119</definedName>
    <definedName name="tlOutput_tlGraphs_F120">tlGraphs!$F$120</definedName>
    <definedName name="tlOutput_tlGraphs_F121">tlGraphs!$F$121</definedName>
    <definedName name="tlOutput_tlGraphs_F122">tlGraphs!$F$122</definedName>
    <definedName name="tlOutput_tlGraphs_F123">tlGraphs!$F$123</definedName>
    <definedName name="tlOutput_tlGraphs_F124">tlGraphs!$F$124</definedName>
    <definedName name="tlOutput_tlGraphs_F125">tlGraphs!$F$125</definedName>
    <definedName name="tlOutput_tlGraphs_F126">tlGraphs!$F$126</definedName>
    <definedName name="tlOutput_tlGraphs_F127">tlGraphs!$F$127</definedName>
    <definedName name="tlOutput_tlGraphs_F128">tlGraphs!$F$128</definedName>
    <definedName name="tlOutput_tlGraphs_F129">tlGraphs!$F$129</definedName>
    <definedName name="tlOutput_tlGraphs_F130">tlGraphs!$F$130</definedName>
    <definedName name="tlOutput_tlGraphs_F131">tlGraphs!$F$131</definedName>
    <definedName name="tlOutput_tlGraphs_F132">tlGraphs!$F$132</definedName>
    <definedName name="tlOutput_tlGraphs_F133">tlGraphs!$F$133</definedName>
    <definedName name="tlOutput_tlGraphs_F134">tlGraphs!$F$134</definedName>
    <definedName name="tlOutput_tlGraphs_F135">tlGraphs!$F$135</definedName>
    <definedName name="tlOutput_tlGraphs_F136">tlGraphs!$F$136</definedName>
    <definedName name="tlOutput_tlGraphs_F137">tlGraphs!$F$137</definedName>
    <definedName name="tlOutput_tlGraphs_F138">tlGraphs!$F$138</definedName>
    <definedName name="tlOutput_tlGraphs_F139">tlGraphs!$F$139</definedName>
    <definedName name="tlOutput_tlGraphs_F140">tlGraphs!$F$140</definedName>
    <definedName name="tlOutput_tlGraphs_F141">tlGraphs!$F$141</definedName>
    <definedName name="tlOutput_tlGraphs_F142">tlGraphs!$F$142</definedName>
    <definedName name="tlOutput_tlGraphs_F143">tlGraphs!$F$143</definedName>
    <definedName name="tlOutput_tlGraphs_F144">tlGraphs!$F$144</definedName>
    <definedName name="tlOutput_tlGraphs_F145">tlGraphs!$F$145</definedName>
    <definedName name="tlOutput_tlGraphs_F159">tlGraphs!$F$159</definedName>
    <definedName name="tlOutput_tlGraphs_F16">tlGraphs!$F$16</definedName>
    <definedName name="tlOutput_tlGraphs_F160">tlGraphs!$F$160</definedName>
    <definedName name="tlOutput_tlGraphs_F161">tlGraphs!$F$161</definedName>
    <definedName name="tlOutput_tlGraphs_F162">tlGraphs!$F$162</definedName>
    <definedName name="tlOutput_tlGraphs_F163">tlGraphs!$F$163</definedName>
    <definedName name="tlOutput_tlGraphs_F164">tlGraphs!$F$164</definedName>
    <definedName name="tlOutput_tlGraphs_F165">tlGraphs!$F$165</definedName>
    <definedName name="tlOutput_tlGraphs_F166">tlGraphs!$F$166</definedName>
    <definedName name="tlOutput_tlGraphs_F167">tlGraphs!$F$167</definedName>
    <definedName name="tlOutput_tlGraphs_F168">tlGraphs!$F$168</definedName>
    <definedName name="tlOutput_tlGraphs_F169">tlGraphs!$F$169</definedName>
    <definedName name="tlOutput_tlGraphs_F17">tlGraphs!$F$17</definedName>
    <definedName name="tlOutput_tlGraphs_F170">tlGraphs!$F$170</definedName>
    <definedName name="tlOutput_tlGraphs_F171">tlGraphs!$F$171</definedName>
    <definedName name="tlOutput_tlGraphs_F172">tlGraphs!$F$172</definedName>
    <definedName name="tlOutput_tlGraphs_F173">tlGraphs!$F$173</definedName>
    <definedName name="tlOutput_tlGraphs_F174">tlGraphs!$F$174</definedName>
    <definedName name="tlOutput_tlGraphs_F175">tlGraphs!$F$175</definedName>
    <definedName name="tlOutput_tlGraphs_F176">tlGraphs!$F$176</definedName>
    <definedName name="tlOutput_tlGraphs_F177">tlGraphs!$F$177</definedName>
    <definedName name="tlOutput_tlGraphs_F178">tlGraphs!$F$178</definedName>
    <definedName name="tlOutput_tlGraphs_F179">tlGraphs!$F$179</definedName>
    <definedName name="tlOutput_tlGraphs_F18">tlGraphs!$F$18</definedName>
    <definedName name="tlOutput_tlGraphs_F180">tlGraphs!$F$180</definedName>
    <definedName name="tlOutput_tlGraphs_F181">tlGraphs!$F$181</definedName>
    <definedName name="tlOutput_tlGraphs_F182">tlGraphs!$F$182</definedName>
    <definedName name="tlOutput_tlGraphs_F183">tlGraphs!$F$183</definedName>
    <definedName name="tlOutput_tlGraphs_F184">tlGraphs!$F$184</definedName>
    <definedName name="tlOutput_tlGraphs_F185">tlGraphs!$F$185</definedName>
    <definedName name="tlOutput_tlGraphs_F186">tlGraphs!$F$186</definedName>
    <definedName name="tlOutput_tlGraphs_F187">tlGraphs!$F$187</definedName>
    <definedName name="tlOutput_tlGraphs_F188">tlGraphs!$F$188</definedName>
    <definedName name="tlOutput_tlGraphs_F189">tlGraphs!$F$189</definedName>
    <definedName name="tlOutput_tlGraphs_F19">tlGraphs!$F$19</definedName>
    <definedName name="tlOutput_tlGraphs_F190">tlGraphs!$F$190</definedName>
    <definedName name="tlOutput_tlGraphs_F191">tlGraphs!$F$191</definedName>
    <definedName name="tlOutput_tlGraphs_F192">tlGraphs!$F$192</definedName>
    <definedName name="tlOutput_tlGraphs_F20">tlGraphs!$F$20</definedName>
    <definedName name="tlOutput_tlGraphs_F21">tlGraphs!$F$21</definedName>
    <definedName name="tlOutput_tlGraphs_F22">tlGraphs!$F$22</definedName>
    <definedName name="tlOutput_tlGraphs_F221">tlGraphs!$F$221</definedName>
    <definedName name="tlOutput_tlGraphs_F222">tlGraphs!$F$222</definedName>
    <definedName name="tlOutput_tlGraphs_F223">tlGraphs!$F$223</definedName>
    <definedName name="tlOutput_tlGraphs_F23">tlGraphs!$F$23</definedName>
    <definedName name="tlOutput_tlGraphs_F24">tlGraphs!$F$24</definedName>
    <definedName name="tlOutput_tlGraphs_F249">tlGraphs!$F$249</definedName>
    <definedName name="tlOutput_tlGraphs_F25">tlGraphs!$F$25</definedName>
    <definedName name="tlOutput_tlGraphs_F250">tlGraphs!$F$250</definedName>
    <definedName name="tlOutput_tlGraphs_F26">tlGraphs!$F$26</definedName>
    <definedName name="tlOutput_tlGraphs_F27">tlGraphs!$F$27</definedName>
    <definedName name="tlOutput_tlGraphs_F28">tlGraphs!$F$28</definedName>
    <definedName name="tlOutput_tlGraphs_F282">tlGraphs!$F$282</definedName>
    <definedName name="tlOutput_tlGraphs_F283">tlGraphs!$F$283</definedName>
    <definedName name="tlOutput_tlGraphs_F29">tlGraphs!$F$29</definedName>
    <definedName name="tlOutput_tlGraphs_F30">tlGraphs!$F$30</definedName>
    <definedName name="tlOutput_tlGraphs_F31">tlGraphs!$F$31</definedName>
    <definedName name="tlOutput_tlGraphs_F311">tlGraphs!$F$311</definedName>
    <definedName name="tlOutput_tlGraphs_F32">tlGraphs!$F$32</definedName>
    <definedName name="tlOutput_tlGraphs_F33">tlGraphs!$F$33</definedName>
    <definedName name="tlOutput_tlGraphs_F34">tlGraphs!$F$34</definedName>
    <definedName name="tlOutput_tlGraphs_F35">tlGraphs!$F$35</definedName>
    <definedName name="tlOutput_tlGraphs_F36">tlGraphs!$F$36</definedName>
    <definedName name="tlOutput_tlGraphs_F37">tlGraphs!$F$37</definedName>
    <definedName name="tlOutput_tlGraphs_F38">tlGraphs!$F$38</definedName>
    <definedName name="tlOutput_tlGraphs_F39">tlGraphs!$F$39</definedName>
    <definedName name="tlOutput_tlGraphs_F40">tlGraphs!$F$40</definedName>
    <definedName name="tlOutput_tlGraphs_F41">tlGraphs!$F$41</definedName>
    <definedName name="tlOutput_tlGraphs_F42">tlGraphs!$F$42</definedName>
    <definedName name="tlOutput_tlGraphs_F43">tlGraphs!$F$43</definedName>
    <definedName name="tlOutput_tlGraphs_F44">tlGraphs!$F$44</definedName>
    <definedName name="tlOutput_tlGraphs_F45">tlGraphs!$F$45</definedName>
    <definedName name="tlOutput_tlGraphs_F46">tlGraphs!$F$46</definedName>
    <definedName name="tlOutput_tlGraphs_F47">tlGraphs!$F$47</definedName>
    <definedName name="tlOutput_tlGraphs_F48">tlGraphs!$F$48</definedName>
    <definedName name="tlOutput_tlGraphs_F49">tlGraphs!$F$49</definedName>
    <definedName name="tlOutput_tlGraphs_F64">tlGraphs!$F$64</definedName>
    <definedName name="tlOutput_tlGraphs_F65">tlGraphs!$F$65</definedName>
    <definedName name="tlOutput_tlGraphs_F66">tlGraphs!$F$66</definedName>
    <definedName name="tlOutput_tlGraphs_F67">tlGraphs!$F$67</definedName>
    <definedName name="tlOutput_tlGraphs_F68">tlGraphs!$F$68</definedName>
    <definedName name="tlOutput_tlGraphs_F69">tlGraphs!$F$69</definedName>
    <definedName name="tlOutput_tlGraphs_F70">tlGraphs!$F$70</definedName>
    <definedName name="tlOutput_tlGraphs_F71">tlGraphs!$F$71</definedName>
    <definedName name="tlOutput_tlGraphs_F72">tlGraphs!$F$72</definedName>
    <definedName name="tlOutput_tlGraphs_F73">tlGraphs!$F$73</definedName>
    <definedName name="tlOutput_tlGraphs_F74">tlGraphs!$F$74</definedName>
    <definedName name="tlOutput_tlGraphs_F75">tlGraphs!$F$75</definedName>
    <definedName name="tlOutput_tlGraphs_F76">tlGraphs!$F$76</definedName>
    <definedName name="tlOutput_tlGraphs_F77">tlGraphs!$F$77</definedName>
    <definedName name="tlOutput_tlGraphs_F78">tlGraphs!$F$78</definedName>
    <definedName name="tlOutput_tlGraphs_F79">tlGraphs!$F$79</definedName>
    <definedName name="tlOutput_tlGraphs_F80">tlGraphs!$F$80</definedName>
    <definedName name="tlOutput_tlGraphs_F81">tlGraphs!$F$81</definedName>
    <definedName name="tlOutput_tlGraphs_F82">tlGraphs!$F$82</definedName>
    <definedName name="tlOutput_tlGraphs_F83">tlGraphs!$F$83</definedName>
    <definedName name="tlOutput_tlGraphs_F84">tlGraphs!$F$84</definedName>
    <definedName name="tlOutput_tlGraphs_F85">tlGraphs!$F$85</definedName>
    <definedName name="tlOutput_tlGraphs_F86">tlGraphs!$F$86</definedName>
    <definedName name="tlOutput_tlGraphs_F87">tlGraphs!$F$87</definedName>
    <definedName name="tlOutput_tlGraphs_F88">tlGraphs!$F$88</definedName>
    <definedName name="tlOutput_tlGraphs_F89">tlGraphs!$F$89</definedName>
    <definedName name="tlOutput_tlGraphs_F90">tlGraphs!$F$90</definedName>
    <definedName name="tlOutput_tlGraphs_F91">tlGraphs!$F$91</definedName>
    <definedName name="tlOutput_tlGraphs_F92">tlGraphs!$F$92</definedName>
    <definedName name="tlOutput_tlGraphs_F93">tlGraphs!$F$93</definedName>
    <definedName name="tlOutput_tlGraphs_F94">tlGraphs!$F$94</definedName>
    <definedName name="tlOutput_tlGraphs_F95">tlGraphs!$F$95</definedName>
    <definedName name="tlOutput_tlGraphs_F96">tlGraphs!$F$96</definedName>
    <definedName name="tlOutput_tlGraphs_F97">tlGraphs!$F$97</definedName>
    <definedName name="tlOutput_tlGraphs_G249">tlGraphs!$G$249</definedName>
    <definedName name="tlOutput_tlGraphs_G250">tlGraphs!$G$250</definedName>
    <definedName name="tlOutput_tlGraphs_G282">tlGraphs!$G$282</definedName>
    <definedName name="tlOutput_tlGraphs_G283">tlGraphs!$G$283</definedName>
    <definedName name="tlOutput_tlGraphs_G311">tlGraphs!$G$311</definedName>
    <definedName name="tlOutput_tlGraphs_G312">tlGraphs!$G$312</definedName>
    <definedName name="tlOutput_tlGraphs_H249">tlGraphs!$H$249</definedName>
    <definedName name="tlOutput_tlGraphs_H250">tlGraphs!$H$250</definedName>
    <definedName name="tlOutput_tlGraphs_H282">tlGraphs!$H$282</definedName>
    <definedName name="tlOutput_tlGraphs_H283">tlGraphs!$H$283</definedName>
    <definedName name="tlOutput_tlGraphs_H311">tlGraphs!$H$311</definedName>
    <definedName name="tlOutput_tlGraphs_H312">tlGraphs!$H$312</definedName>
    <definedName name="tlOutput_tlGraphs_I111">tlGraphs!$I$111</definedName>
    <definedName name="tlOutput_tlGraphs_I112">tlGraphs!$I$112</definedName>
    <definedName name="tlOutput_tlGraphs_I113">tlGraphs!$I$113</definedName>
    <definedName name="tlOutput_tlGraphs_I114">tlGraphs!$I$114</definedName>
    <definedName name="tlOutput_tlGraphs_I115">tlGraphs!$I$115</definedName>
    <definedName name="tlOutput_tlGraphs_I116">tlGraphs!$I$116</definedName>
    <definedName name="tlOutput_tlGraphs_I117">tlGraphs!$I$117</definedName>
    <definedName name="tlOutput_tlGraphs_I118">tlGraphs!$I$118</definedName>
    <definedName name="tlOutput_tlGraphs_I119">tlGraphs!$I$119</definedName>
    <definedName name="tlOutput_tlGraphs_I120">tlGraphs!$I$120</definedName>
    <definedName name="tlOutput_tlGraphs_I121">tlGraphs!$I$121</definedName>
    <definedName name="tlOutput_tlGraphs_I122">tlGraphs!$I$122</definedName>
    <definedName name="tlOutput_tlGraphs_I123">tlGraphs!$I$123</definedName>
    <definedName name="tlOutput_tlGraphs_I124">tlGraphs!$I$124</definedName>
    <definedName name="tlOutput_tlGraphs_I125">tlGraphs!$I$125</definedName>
    <definedName name="tlOutput_tlGraphs_I126">tlGraphs!$I$126</definedName>
    <definedName name="tlOutput_tlGraphs_I127">tlGraphs!$I$127</definedName>
    <definedName name="tlOutput_tlGraphs_I128">tlGraphs!$I$128</definedName>
    <definedName name="tlOutput_tlGraphs_I129">tlGraphs!$I$129</definedName>
    <definedName name="tlOutput_tlGraphs_I130">tlGraphs!$I$130</definedName>
    <definedName name="tlOutput_tlGraphs_I131">tlGraphs!$I$131</definedName>
    <definedName name="tlOutput_tlGraphs_I132">tlGraphs!$I$132</definedName>
    <definedName name="tlOutput_tlGraphs_I133">tlGraphs!$I$133</definedName>
    <definedName name="tlOutput_tlGraphs_I134">tlGraphs!$I$134</definedName>
    <definedName name="tlOutput_tlGraphs_I135">tlGraphs!$I$135</definedName>
    <definedName name="tlOutput_tlGraphs_I136">tlGraphs!$I$136</definedName>
    <definedName name="tlOutput_tlGraphs_I137">tlGraphs!$I$137</definedName>
    <definedName name="tlOutput_tlGraphs_I138">tlGraphs!$I$138</definedName>
    <definedName name="tlOutput_tlGraphs_I139">tlGraphs!$I$139</definedName>
    <definedName name="tlOutput_tlGraphs_I140">tlGraphs!$I$140</definedName>
    <definedName name="tlOutput_tlGraphs_I141">tlGraphs!$I$141</definedName>
    <definedName name="tlOutput_tlGraphs_I142">tlGraphs!$I$142</definedName>
    <definedName name="tlOutput_tlGraphs_I143">tlGraphs!$I$143</definedName>
    <definedName name="tlOutput_tlGraphs_I144">tlGraphs!$I$144</definedName>
    <definedName name="tlOutput_tlGraphs_I145">tlGraphs!$I$145</definedName>
    <definedName name="tlOutput_tlGraphs_I15">tlGraphs!$I$15</definedName>
    <definedName name="tlOutput_tlGraphs_I16">tlGraphs!$I$16</definedName>
    <definedName name="tlOutput_tlGraphs_I17">tlGraphs!$I$17</definedName>
    <definedName name="tlOutput_tlGraphs_I18">tlGraphs!$I$18</definedName>
    <definedName name="tlOutput_tlGraphs_I19">tlGraphs!$I$19</definedName>
    <definedName name="tlOutput_tlGraphs_I20">tlGraphs!$I$20</definedName>
    <definedName name="tlOutput_tlGraphs_I21">tlGraphs!$I$21</definedName>
    <definedName name="tlOutput_tlGraphs_I22">tlGraphs!$I$22</definedName>
    <definedName name="tlOutput_tlGraphs_I23">tlGraphs!$I$23</definedName>
    <definedName name="tlOutput_tlGraphs_I24">tlGraphs!$I$24</definedName>
    <definedName name="tlOutput_tlGraphs_I25">tlGraphs!$I$25</definedName>
    <definedName name="tlOutput_tlGraphs_I26">tlGraphs!$I$26</definedName>
    <definedName name="tlOutput_tlGraphs_I27">tlGraphs!$I$27</definedName>
    <definedName name="tlOutput_tlGraphs_I28">tlGraphs!$I$28</definedName>
    <definedName name="tlOutput_tlGraphs_I29">tlGraphs!$I$29</definedName>
    <definedName name="tlOutput_tlGraphs_I30">tlGraphs!$I$30</definedName>
    <definedName name="tlOutput_tlGraphs_I31">tlGraphs!$I$31</definedName>
    <definedName name="tlOutput_tlGraphs_I32">tlGraphs!$I$32</definedName>
    <definedName name="tlOutput_tlGraphs_I33">tlGraphs!$I$33</definedName>
    <definedName name="tlOutput_tlGraphs_I34">tlGraphs!$I$34</definedName>
    <definedName name="tlOutput_tlGraphs_I35">tlGraphs!$I$35</definedName>
    <definedName name="tlOutput_tlGraphs_I36">tlGraphs!$I$36</definedName>
    <definedName name="tlOutput_tlGraphs_I37">tlGraphs!$I$37</definedName>
    <definedName name="tlOutput_tlGraphs_I38">tlGraphs!$I$38</definedName>
    <definedName name="tlOutput_tlGraphs_I39">tlGraphs!$I$39</definedName>
    <definedName name="tlOutput_tlGraphs_I40">tlGraphs!$I$40</definedName>
    <definedName name="tlOutput_tlGraphs_I41">tlGraphs!$I$41</definedName>
    <definedName name="tlOutput_tlGraphs_I42">tlGraphs!$I$42</definedName>
    <definedName name="tlOutput_tlGraphs_I43">tlGraphs!$I$43</definedName>
    <definedName name="tlOutput_tlGraphs_I44">tlGraphs!$I$44</definedName>
    <definedName name="tlOutput_tlGraphs_I45">tlGraphs!$I$45</definedName>
    <definedName name="tlOutput_tlGraphs_I46">tlGraphs!$I$46</definedName>
    <definedName name="tlOutput_tlGraphs_I47">tlGraphs!$I$47</definedName>
    <definedName name="tlOutput_tlGraphs_I48">tlGraphs!$I$48</definedName>
    <definedName name="tlOutput_tlGraphs_I49">tlGraphs!$I$49</definedName>
    <definedName name="tlOutput_tlGraphs_I63">tlGraphs!$I$63</definedName>
    <definedName name="tlOutput_tlGraphs_I64">tlGraphs!$I$64</definedName>
    <definedName name="tlOutput_tlGraphs_I65">tlGraphs!$I$65</definedName>
    <definedName name="tlOutput_tlGraphs_I66">tlGraphs!$I$66</definedName>
    <definedName name="tlOutput_tlGraphs_I67">tlGraphs!$I$67</definedName>
    <definedName name="tlOutput_tlGraphs_I68">tlGraphs!$I$68</definedName>
    <definedName name="tlOutput_tlGraphs_I69">tlGraphs!$I$69</definedName>
    <definedName name="tlOutput_tlGraphs_I70">tlGraphs!$I$70</definedName>
    <definedName name="tlOutput_tlGraphs_I71">tlGraphs!$I$71</definedName>
    <definedName name="tlOutput_tlGraphs_I72">tlGraphs!$I$72</definedName>
    <definedName name="tlOutput_tlGraphs_I73">tlGraphs!$I$73</definedName>
    <definedName name="tlOutput_tlGraphs_I74">tlGraphs!$I$74</definedName>
    <definedName name="tlOutput_tlGraphs_I75">tlGraphs!$I$75</definedName>
    <definedName name="tlOutput_tlGraphs_I76">tlGraphs!$I$76</definedName>
    <definedName name="tlOutput_tlGraphs_I77">tlGraphs!$I$77</definedName>
    <definedName name="tlOutput_tlGraphs_I78">tlGraphs!$I$78</definedName>
    <definedName name="tlOutput_tlGraphs_I79">tlGraphs!$I$79</definedName>
    <definedName name="tlOutput_tlGraphs_I80">tlGraphs!$I$80</definedName>
    <definedName name="tlOutput_tlGraphs_I81">tlGraphs!$I$81</definedName>
    <definedName name="tlOutput_tlGraphs_I82">tlGraphs!$I$82</definedName>
    <definedName name="tlOutput_tlGraphs_I83">tlGraphs!$I$83</definedName>
    <definedName name="tlOutput_tlGraphs_I84">tlGraphs!$I$84</definedName>
    <definedName name="tlOutput_tlGraphs_I85">tlGraphs!$I$85</definedName>
    <definedName name="tlOutput_tlGraphs_I86">tlGraphs!$I$86</definedName>
    <definedName name="tlOutput_tlGraphs_I87">tlGraphs!$I$87</definedName>
    <definedName name="tlOutput_tlGraphs_I88">tlGraphs!$I$88</definedName>
    <definedName name="tlOutput_tlGraphs_I89">tlGraphs!$I$89</definedName>
    <definedName name="tlOutput_tlGraphs_I90">tlGraphs!$I$90</definedName>
    <definedName name="tlOutput_tlGraphs_I91">tlGraphs!$I$91</definedName>
    <definedName name="tlOutput_tlGraphs_I92">tlGraphs!$I$92</definedName>
    <definedName name="tlOutput_tlGraphs_I93">tlGraphs!$I$93</definedName>
    <definedName name="tlOutput_tlGraphs_I94">tlGraphs!$I$94</definedName>
    <definedName name="tlOutput_tlGraphs_I95">tlGraphs!$I$95</definedName>
    <definedName name="tlOutput_tlGraphs_I96">tlGraphs!$I$96</definedName>
    <definedName name="tlOutput_tlGraphs_I97">tlGraphs!$I$97</definedName>
    <definedName name="tlOutput_tlGraphs_J112">tlGraphs!$J$112</definedName>
    <definedName name="tlOutput_tlGraphs_J113">tlGraphs!$J$113</definedName>
    <definedName name="tlOutput_tlGraphs_J114">tlGraphs!$J$114</definedName>
    <definedName name="tlOutput_tlGraphs_J115">tlGraphs!$J$115</definedName>
    <definedName name="tlOutput_tlGraphs_J116">tlGraphs!$J$116</definedName>
    <definedName name="tlOutput_tlGraphs_J117">tlGraphs!$J$117</definedName>
    <definedName name="tlOutput_tlGraphs_J118">tlGraphs!$J$118</definedName>
    <definedName name="tlOutput_tlGraphs_J119">tlGraphs!$J$119</definedName>
    <definedName name="tlOutput_tlGraphs_J120">tlGraphs!$J$120</definedName>
    <definedName name="tlOutput_tlGraphs_J121">tlGraphs!$J$121</definedName>
    <definedName name="tlOutput_tlGraphs_J122">tlGraphs!$J$122</definedName>
    <definedName name="tlOutput_tlGraphs_J123">tlGraphs!$J$123</definedName>
    <definedName name="tlOutput_tlGraphs_J124">tlGraphs!$J$124</definedName>
    <definedName name="tlOutput_tlGraphs_J125">tlGraphs!$J$125</definedName>
    <definedName name="tlOutput_tlGraphs_J126">tlGraphs!$J$126</definedName>
    <definedName name="tlOutput_tlGraphs_J127">tlGraphs!$J$127</definedName>
    <definedName name="tlOutput_tlGraphs_J128">tlGraphs!$J$128</definedName>
    <definedName name="tlOutput_tlGraphs_J129">tlGraphs!$J$129</definedName>
    <definedName name="tlOutput_tlGraphs_J130">tlGraphs!$J$130</definedName>
    <definedName name="tlOutput_tlGraphs_J131">tlGraphs!$J$131</definedName>
    <definedName name="tlOutput_tlGraphs_J132">tlGraphs!$J$132</definedName>
    <definedName name="tlOutput_tlGraphs_J133">tlGraphs!$J$133</definedName>
    <definedName name="tlOutput_tlGraphs_J134">tlGraphs!$J$134</definedName>
    <definedName name="tlOutput_tlGraphs_J135">tlGraphs!$J$135</definedName>
    <definedName name="tlOutput_tlGraphs_J136">tlGraphs!$J$136</definedName>
    <definedName name="tlOutput_tlGraphs_J137">tlGraphs!$J$137</definedName>
    <definedName name="tlOutput_tlGraphs_J138">tlGraphs!$J$138</definedName>
    <definedName name="tlOutput_tlGraphs_J139">tlGraphs!$J$139</definedName>
    <definedName name="tlOutput_tlGraphs_J140">tlGraphs!$J$140</definedName>
    <definedName name="tlOutput_tlGraphs_J141">tlGraphs!$J$141</definedName>
    <definedName name="tlOutput_tlGraphs_J142">tlGraphs!$J$142</definedName>
    <definedName name="tlOutput_tlGraphs_J143">tlGraphs!$J$143</definedName>
    <definedName name="tlOutput_tlGraphs_J144">tlGraphs!$J$144</definedName>
    <definedName name="tlOutput_tlGraphs_J145">tlGraphs!$J$145</definedName>
    <definedName name="tlOutput_tlGraphs_J16">tlGraphs!$J$16</definedName>
    <definedName name="tlOutput_tlGraphs_J17">tlGraphs!$J$17</definedName>
    <definedName name="tlOutput_tlGraphs_J18">tlGraphs!$J$18</definedName>
    <definedName name="tlOutput_tlGraphs_J19">tlGraphs!$J$19</definedName>
    <definedName name="tlOutput_tlGraphs_J20">tlGraphs!$J$20</definedName>
    <definedName name="tlOutput_tlGraphs_J21">tlGraphs!$J$21</definedName>
    <definedName name="tlOutput_tlGraphs_J22">tlGraphs!$J$22</definedName>
    <definedName name="tlOutput_tlGraphs_J23">tlGraphs!$J$23</definedName>
    <definedName name="tlOutput_tlGraphs_J24">tlGraphs!$J$24</definedName>
    <definedName name="tlOutput_tlGraphs_J25">tlGraphs!$J$25</definedName>
    <definedName name="tlOutput_tlGraphs_J26">tlGraphs!$J$26</definedName>
    <definedName name="tlOutput_tlGraphs_J27">tlGraphs!$J$27</definedName>
    <definedName name="tlOutput_tlGraphs_J28">tlGraphs!$J$28</definedName>
    <definedName name="tlOutput_tlGraphs_J29">tlGraphs!$J$29</definedName>
    <definedName name="tlOutput_tlGraphs_J30">tlGraphs!$J$30</definedName>
    <definedName name="tlOutput_tlGraphs_J31">tlGraphs!$J$31</definedName>
    <definedName name="tlOutput_tlGraphs_J32">tlGraphs!$J$32</definedName>
    <definedName name="tlOutput_tlGraphs_J33">tlGraphs!$J$33</definedName>
    <definedName name="tlOutput_tlGraphs_J34">tlGraphs!$J$34</definedName>
    <definedName name="tlOutput_tlGraphs_J35">tlGraphs!$J$35</definedName>
    <definedName name="tlOutput_tlGraphs_J36">tlGraphs!$J$36</definedName>
    <definedName name="tlOutput_tlGraphs_J37">tlGraphs!$J$37</definedName>
    <definedName name="tlOutput_tlGraphs_J38">tlGraphs!$J$38</definedName>
    <definedName name="tlOutput_tlGraphs_J39">tlGraphs!$J$39</definedName>
    <definedName name="tlOutput_tlGraphs_J40">tlGraphs!$J$40</definedName>
    <definedName name="tlOutput_tlGraphs_J41">tlGraphs!$J$41</definedName>
    <definedName name="tlOutput_tlGraphs_J42">tlGraphs!$J$42</definedName>
    <definedName name="tlOutput_tlGraphs_J43">tlGraphs!$J$43</definedName>
    <definedName name="tlOutput_tlGraphs_J44">tlGraphs!$J$44</definedName>
    <definedName name="tlOutput_tlGraphs_J45">tlGraphs!$J$45</definedName>
    <definedName name="tlOutput_tlGraphs_J46">tlGraphs!$J$46</definedName>
    <definedName name="tlOutput_tlGraphs_J47">tlGraphs!$J$47</definedName>
    <definedName name="tlOutput_tlGraphs_J48">tlGraphs!$J$48</definedName>
    <definedName name="tlOutput_tlGraphs_J49">tlGraphs!$J$49</definedName>
    <definedName name="tlOutput_tlGraphs_J64">tlGraphs!$J$64</definedName>
    <definedName name="tlOutput_tlGraphs_J65">tlGraphs!$J$65</definedName>
    <definedName name="tlOutput_tlGraphs_J66">tlGraphs!$J$66</definedName>
    <definedName name="tlOutput_tlGraphs_J67">tlGraphs!$J$67</definedName>
    <definedName name="tlOutput_tlGraphs_J68">tlGraphs!$J$68</definedName>
    <definedName name="tlOutput_tlGraphs_J69">tlGraphs!$J$69</definedName>
    <definedName name="tlOutput_tlGraphs_J70">tlGraphs!$J$70</definedName>
    <definedName name="tlOutput_tlGraphs_J71">tlGraphs!$J$71</definedName>
    <definedName name="tlOutput_tlGraphs_J72">tlGraphs!$J$72</definedName>
    <definedName name="tlOutput_tlGraphs_J73">tlGraphs!$J$73</definedName>
    <definedName name="tlOutput_tlGraphs_J74">tlGraphs!$J$74</definedName>
    <definedName name="tlOutput_tlGraphs_J75">tlGraphs!$J$75</definedName>
    <definedName name="tlOutput_tlGraphs_J76">tlGraphs!$J$76</definedName>
    <definedName name="tlOutput_tlGraphs_J77">tlGraphs!$J$77</definedName>
    <definedName name="tlOutput_tlGraphs_J78">tlGraphs!$J$78</definedName>
    <definedName name="tlOutput_tlGraphs_J79">tlGraphs!$J$79</definedName>
    <definedName name="tlOutput_tlGraphs_J80">tlGraphs!$J$80</definedName>
    <definedName name="tlOutput_tlGraphs_J81">tlGraphs!$J$81</definedName>
    <definedName name="tlOutput_tlGraphs_J82">tlGraphs!$J$82</definedName>
    <definedName name="tlOutput_tlGraphs_J83">tlGraphs!$J$83</definedName>
    <definedName name="tlOutput_tlGraphs_J84">tlGraphs!$J$84</definedName>
    <definedName name="tlOutput_tlGraphs_J85">tlGraphs!$J$85</definedName>
    <definedName name="tlOutput_tlGraphs_J86">tlGraphs!$J$86</definedName>
    <definedName name="tlOutput_tlGraphs_J87">tlGraphs!$J$87</definedName>
    <definedName name="tlOutput_tlGraphs_J88">tlGraphs!$J$88</definedName>
    <definedName name="tlOutput_tlGraphs_J89">tlGraphs!$J$89</definedName>
    <definedName name="tlOutput_tlGraphs_J90">tlGraphs!$J$90</definedName>
    <definedName name="tlOutput_tlGraphs_J91">tlGraphs!$J$91</definedName>
    <definedName name="tlOutput_tlGraphs_J92">tlGraphs!$J$92</definedName>
    <definedName name="tlOutput_tlGraphs_J93">tlGraphs!$J$93</definedName>
    <definedName name="tlOutput_tlGraphs_J94">tlGraphs!$J$94</definedName>
    <definedName name="tlOutput_tlGraphs_J95">tlGraphs!$J$95</definedName>
    <definedName name="tlOutput_tlGraphs_J96">tlGraphs!$J$96</definedName>
    <definedName name="tlOutput_tlGraphs_J97">tlGraphs!$J$97</definedName>
    <definedName name="tlOutput_tlGraphs_M111">tlGraphs!$M$111</definedName>
    <definedName name="tlOutput_tlGraphs_M112">tlGraphs!$M$112</definedName>
    <definedName name="tlOutput_tlGraphs_M113">tlGraphs!$M$113</definedName>
    <definedName name="tlOutput_tlGraphs_M114">tlGraphs!$M$114</definedName>
    <definedName name="tlOutput_tlGraphs_M115">tlGraphs!$M$115</definedName>
    <definedName name="tlOutput_tlGraphs_M116">tlGraphs!$M$116</definedName>
    <definedName name="tlOutput_tlGraphs_M117">tlGraphs!$M$117</definedName>
    <definedName name="tlOutput_tlGraphs_M118">tlGraphs!$M$118</definedName>
    <definedName name="tlOutput_tlGraphs_M119">tlGraphs!$M$119</definedName>
    <definedName name="tlOutput_tlGraphs_M120">tlGraphs!$M$120</definedName>
    <definedName name="tlOutput_tlGraphs_M121">tlGraphs!$M$121</definedName>
    <definedName name="tlOutput_tlGraphs_M122">tlGraphs!$M$122</definedName>
    <definedName name="tlOutput_tlGraphs_M123">tlGraphs!$M$123</definedName>
    <definedName name="tlOutput_tlGraphs_M124">tlGraphs!$M$124</definedName>
    <definedName name="tlOutput_tlGraphs_M125">tlGraphs!$M$125</definedName>
    <definedName name="tlOutput_tlGraphs_M126">tlGraphs!$M$126</definedName>
    <definedName name="tlOutput_tlGraphs_M127">tlGraphs!$M$127</definedName>
    <definedName name="tlOutput_tlGraphs_M128">tlGraphs!$M$128</definedName>
    <definedName name="tlOutput_tlGraphs_M129">tlGraphs!$M$129</definedName>
    <definedName name="tlOutput_tlGraphs_M130">tlGraphs!$M$130</definedName>
    <definedName name="tlOutput_tlGraphs_M131">tlGraphs!$M$131</definedName>
    <definedName name="tlOutput_tlGraphs_M132">tlGraphs!$M$132</definedName>
    <definedName name="tlOutput_tlGraphs_M133">tlGraphs!$M$133</definedName>
    <definedName name="tlOutput_tlGraphs_M134">tlGraphs!$M$134</definedName>
    <definedName name="tlOutput_tlGraphs_M135">tlGraphs!$M$135</definedName>
    <definedName name="tlOutput_tlGraphs_M136">tlGraphs!$M$136</definedName>
    <definedName name="tlOutput_tlGraphs_M137">tlGraphs!$M$137</definedName>
    <definedName name="tlOutput_tlGraphs_M138">tlGraphs!$M$138</definedName>
    <definedName name="tlOutput_tlGraphs_M139">tlGraphs!$M$139</definedName>
    <definedName name="tlOutput_tlGraphs_M140">tlGraphs!$M$140</definedName>
    <definedName name="tlOutput_tlGraphs_M141">tlGraphs!$M$141</definedName>
    <definedName name="tlOutput_tlGraphs_M142">tlGraphs!$M$142</definedName>
    <definedName name="tlOutput_tlGraphs_M143">tlGraphs!$M$143</definedName>
    <definedName name="tlOutput_tlGraphs_M144">tlGraphs!$M$144</definedName>
    <definedName name="tlOutput_tlGraphs_M145">tlGraphs!$M$145</definedName>
    <definedName name="tlOutput_tlGraphs_M15">tlGraphs!$M$15</definedName>
    <definedName name="tlOutput_tlGraphs_M16">tlGraphs!$M$16</definedName>
    <definedName name="tlOutput_tlGraphs_M17">tlGraphs!$M$17</definedName>
    <definedName name="tlOutput_tlGraphs_M18">tlGraphs!$M$18</definedName>
    <definedName name="tlOutput_tlGraphs_M19">tlGraphs!$M$19</definedName>
    <definedName name="tlOutput_tlGraphs_M20">tlGraphs!$M$20</definedName>
    <definedName name="tlOutput_tlGraphs_M21">tlGraphs!$M$21</definedName>
    <definedName name="tlOutput_tlGraphs_M22">tlGraphs!$M$22</definedName>
    <definedName name="tlOutput_tlGraphs_M23">tlGraphs!$M$23</definedName>
    <definedName name="tlOutput_tlGraphs_M24">tlGraphs!$M$24</definedName>
    <definedName name="tlOutput_tlGraphs_M25">tlGraphs!$M$25</definedName>
    <definedName name="tlOutput_tlGraphs_M26">tlGraphs!$M$26</definedName>
    <definedName name="tlOutput_tlGraphs_M27">tlGraphs!$M$27</definedName>
    <definedName name="tlOutput_tlGraphs_M28">tlGraphs!$M$28</definedName>
    <definedName name="tlOutput_tlGraphs_M29">tlGraphs!$M$29</definedName>
    <definedName name="tlOutput_tlGraphs_M30">tlGraphs!$M$30</definedName>
    <definedName name="tlOutput_tlGraphs_M31">tlGraphs!$M$31</definedName>
    <definedName name="tlOutput_tlGraphs_M32">tlGraphs!$M$32</definedName>
    <definedName name="tlOutput_tlGraphs_M33">tlGraphs!$M$33</definedName>
    <definedName name="tlOutput_tlGraphs_M34">tlGraphs!$M$34</definedName>
    <definedName name="tlOutput_tlGraphs_M35">tlGraphs!$M$35</definedName>
    <definedName name="tlOutput_tlGraphs_M36">tlGraphs!$M$36</definedName>
    <definedName name="tlOutput_tlGraphs_M37">tlGraphs!$M$37</definedName>
    <definedName name="tlOutput_tlGraphs_M38">tlGraphs!$M$38</definedName>
    <definedName name="tlOutput_tlGraphs_M39">tlGraphs!$M$39</definedName>
    <definedName name="tlOutput_tlGraphs_M40">tlGraphs!$M$40</definedName>
    <definedName name="tlOutput_tlGraphs_M41">tlGraphs!$M$41</definedName>
    <definedName name="tlOutput_tlGraphs_M42">tlGraphs!$M$42</definedName>
    <definedName name="tlOutput_tlGraphs_M43">tlGraphs!$M$43</definedName>
    <definedName name="tlOutput_tlGraphs_M44">tlGraphs!$M$44</definedName>
    <definedName name="tlOutput_tlGraphs_M45">tlGraphs!$M$45</definedName>
    <definedName name="tlOutput_tlGraphs_M46">tlGraphs!$M$46</definedName>
    <definedName name="tlOutput_tlGraphs_M47">tlGraphs!$M$47</definedName>
    <definedName name="tlOutput_tlGraphs_M48">tlGraphs!$M$48</definedName>
    <definedName name="tlOutput_tlGraphs_M49">tlGraphs!$M$49</definedName>
    <definedName name="tlOutput_tlGraphs_M63">tlGraphs!$M$63</definedName>
    <definedName name="tlOutput_tlGraphs_M64">tlGraphs!$M$64</definedName>
    <definedName name="tlOutput_tlGraphs_M65">tlGraphs!$M$65</definedName>
    <definedName name="tlOutput_tlGraphs_M66">tlGraphs!$M$66</definedName>
    <definedName name="tlOutput_tlGraphs_M67">tlGraphs!$M$67</definedName>
    <definedName name="tlOutput_tlGraphs_M68">tlGraphs!$M$68</definedName>
    <definedName name="tlOutput_tlGraphs_M69">tlGraphs!$M$69</definedName>
    <definedName name="tlOutput_tlGraphs_M70">tlGraphs!$M$70</definedName>
    <definedName name="tlOutput_tlGraphs_M71">tlGraphs!$M$71</definedName>
    <definedName name="tlOutput_tlGraphs_M72">tlGraphs!$M$72</definedName>
    <definedName name="tlOutput_tlGraphs_M73">tlGraphs!$M$73</definedName>
    <definedName name="tlOutput_tlGraphs_M74">tlGraphs!$M$74</definedName>
    <definedName name="tlOutput_tlGraphs_M75">tlGraphs!$M$75</definedName>
    <definedName name="tlOutput_tlGraphs_M76">tlGraphs!$M$76</definedName>
    <definedName name="tlOutput_tlGraphs_M77">tlGraphs!$M$77</definedName>
    <definedName name="tlOutput_tlGraphs_M78">tlGraphs!$M$78</definedName>
    <definedName name="tlOutput_tlGraphs_M79">tlGraphs!$M$79</definedName>
    <definedName name="tlOutput_tlGraphs_M80">tlGraphs!$M$80</definedName>
    <definedName name="tlOutput_tlGraphs_M81">tlGraphs!$M$81</definedName>
    <definedName name="tlOutput_tlGraphs_M82">tlGraphs!$M$82</definedName>
    <definedName name="tlOutput_tlGraphs_M83">tlGraphs!$M$83</definedName>
    <definedName name="tlOutput_tlGraphs_M84">tlGraphs!$M$84</definedName>
    <definedName name="tlOutput_tlGraphs_M85">tlGraphs!$M$85</definedName>
    <definedName name="tlOutput_tlGraphs_M86">tlGraphs!$M$86</definedName>
    <definedName name="tlOutput_tlGraphs_M87">tlGraphs!$M$87</definedName>
    <definedName name="tlOutput_tlGraphs_M88">tlGraphs!$M$88</definedName>
    <definedName name="tlOutput_tlGraphs_M89">tlGraphs!$M$89</definedName>
    <definedName name="tlOutput_tlGraphs_M90">tlGraphs!$M$90</definedName>
    <definedName name="tlOutput_tlGraphs_M91">tlGraphs!$M$91</definedName>
    <definedName name="tlOutput_tlGraphs_M92">tlGraphs!$M$92</definedName>
    <definedName name="tlOutput_tlGraphs_M93">tlGraphs!$M$93</definedName>
    <definedName name="tlOutput_tlGraphs_M94">tlGraphs!$M$94</definedName>
    <definedName name="tlOutput_tlGraphs_M95">tlGraphs!$M$95</definedName>
    <definedName name="tlOutput_tlGraphs_M96">tlGraphs!$M$96</definedName>
    <definedName name="tlOutput_tlGraphs_M97">tlGraphs!$M$97</definedName>
    <definedName name="tlOutput_tlGraphs_N112">tlGraphs!$N$112</definedName>
    <definedName name="tlOutput_tlGraphs_N113">tlGraphs!$N$113</definedName>
    <definedName name="tlOutput_tlGraphs_N114">tlGraphs!$N$114</definedName>
    <definedName name="tlOutput_tlGraphs_N115">tlGraphs!$N$115</definedName>
    <definedName name="tlOutput_tlGraphs_N116">tlGraphs!$N$116</definedName>
    <definedName name="tlOutput_tlGraphs_N117">tlGraphs!$N$117</definedName>
    <definedName name="tlOutput_tlGraphs_N118">tlGraphs!$N$118</definedName>
    <definedName name="tlOutput_tlGraphs_N119">tlGraphs!$N$119</definedName>
    <definedName name="tlOutput_tlGraphs_N120">tlGraphs!$N$120</definedName>
    <definedName name="tlOutput_tlGraphs_N121">tlGraphs!$N$121</definedName>
    <definedName name="tlOutput_tlGraphs_N122">tlGraphs!$N$122</definedName>
    <definedName name="tlOutput_tlGraphs_N123">tlGraphs!$N$123</definedName>
    <definedName name="tlOutput_tlGraphs_N124">tlGraphs!$N$124</definedName>
    <definedName name="tlOutput_tlGraphs_N125">tlGraphs!$N$125</definedName>
    <definedName name="tlOutput_tlGraphs_N126">tlGraphs!$N$126</definedName>
    <definedName name="tlOutput_tlGraphs_N127">tlGraphs!$N$127</definedName>
    <definedName name="tlOutput_tlGraphs_N128">tlGraphs!$N$128</definedName>
    <definedName name="tlOutput_tlGraphs_N129">tlGraphs!$N$129</definedName>
    <definedName name="tlOutput_tlGraphs_N130">tlGraphs!$N$130</definedName>
    <definedName name="tlOutput_tlGraphs_N131">tlGraphs!$N$131</definedName>
    <definedName name="tlOutput_tlGraphs_N132">tlGraphs!$N$132</definedName>
    <definedName name="tlOutput_tlGraphs_N133">tlGraphs!$N$133</definedName>
    <definedName name="tlOutput_tlGraphs_N134">tlGraphs!$N$134</definedName>
    <definedName name="tlOutput_tlGraphs_N135">tlGraphs!$N$135</definedName>
    <definedName name="tlOutput_tlGraphs_N136">tlGraphs!$N$136</definedName>
    <definedName name="tlOutput_tlGraphs_N137">tlGraphs!$N$137</definedName>
    <definedName name="tlOutput_tlGraphs_N138">tlGraphs!$N$138</definedName>
    <definedName name="tlOutput_tlGraphs_N139">tlGraphs!$N$139</definedName>
    <definedName name="tlOutput_tlGraphs_N140">tlGraphs!$N$140</definedName>
    <definedName name="tlOutput_tlGraphs_N141">tlGraphs!$N$141</definedName>
    <definedName name="tlOutput_tlGraphs_N142">tlGraphs!$N$142</definedName>
    <definedName name="tlOutput_tlGraphs_N143">tlGraphs!$N$143</definedName>
    <definedName name="tlOutput_tlGraphs_N144">tlGraphs!$N$144</definedName>
    <definedName name="tlOutput_tlGraphs_N145">tlGraphs!$N$145</definedName>
    <definedName name="tlOutput_tlGraphs_N16">tlGraphs!$N$16</definedName>
    <definedName name="tlOutput_tlGraphs_N17">tlGraphs!$N$17</definedName>
    <definedName name="tlOutput_tlGraphs_N18">tlGraphs!$N$18</definedName>
    <definedName name="tlOutput_tlGraphs_N19">tlGraphs!$N$19</definedName>
    <definedName name="tlOutput_tlGraphs_N20">tlGraphs!$N$20</definedName>
    <definedName name="tlOutput_tlGraphs_N21">tlGraphs!$N$21</definedName>
    <definedName name="tlOutput_tlGraphs_N22">tlGraphs!$N$22</definedName>
    <definedName name="tlOutput_tlGraphs_N23">tlGraphs!$N$23</definedName>
    <definedName name="tlOutput_tlGraphs_N24">tlGraphs!$N$24</definedName>
    <definedName name="tlOutput_tlGraphs_N25">tlGraphs!$N$25</definedName>
    <definedName name="tlOutput_tlGraphs_N26">tlGraphs!$N$26</definedName>
    <definedName name="tlOutput_tlGraphs_N27">tlGraphs!$N$27</definedName>
    <definedName name="tlOutput_tlGraphs_N28">tlGraphs!$N$28</definedName>
    <definedName name="tlOutput_tlGraphs_N29">tlGraphs!$N$29</definedName>
    <definedName name="tlOutput_tlGraphs_N30">tlGraphs!$N$30</definedName>
    <definedName name="tlOutput_tlGraphs_N31">tlGraphs!$N$31</definedName>
    <definedName name="tlOutput_tlGraphs_N32">tlGraphs!$N$32</definedName>
    <definedName name="tlOutput_tlGraphs_N33">tlGraphs!$N$33</definedName>
    <definedName name="tlOutput_tlGraphs_N34">tlGraphs!$N$34</definedName>
    <definedName name="tlOutput_tlGraphs_N35">tlGraphs!$N$35</definedName>
    <definedName name="tlOutput_tlGraphs_N36">tlGraphs!$N$36</definedName>
    <definedName name="tlOutput_tlGraphs_N37">tlGraphs!$N$37</definedName>
    <definedName name="tlOutput_tlGraphs_N38">tlGraphs!$N$38</definedName>
    <definedName name="tlOutput_tlGraphs_N39">tlGraphs!$N$39</definedName>
    <definedName name="tlOutput_tlGraphs_N40">tlGraphs!$N$40</definedName>
    <definedName name="tlOutput_tlGraphs_N41">tlGraphs!$N$41</definedName>
    <definedName name="tlOutput_tlGraphs_N42">tlGraphs!$N$42</definedName>
    <definedName name="tlOutput_tlGraphs_N43">tlGraphs!$N$43</definedName>
    <definedName name="tlOutput_tlGraphs_N44">tlGraphs!$N$44</definedName>
    <definedName name="tlOutput_tlGraphs_N45">tlGraphs!$N$45</definedName>
    <definedName name="tlOutput_tlGraphs_N46">tlGraphs!$N$46</definedName>
    <definedName name="tlOutput_tlGraphs_N47">tlGraphs!$N$47</definedName>
    <definedName name="tlOutput_tlGraphs_N48">tlGraphs!$N$48</definedName>
    <definedName name="tlOutput_tlGraphs_N49">tlGraphs!$N$49</definedName>
    <definedName name="tlOutput_tlGraphs_N64">tlGraphs!$N$64</definedName>
    <definedName name="tlOutput_tlGraphs_N65">tlGraphs!$N$65</definedName>
    <definedName name="tlOutput_tlGraphs_N66">tlGraphs!$N$66</definedName>
    <definedName name="tlOutput_tlGraphs_N67">tlGraphs!$N$67</definedName>
    <definedName name="tlOutput_tlGraphs_N68">tlGraphs!$N$68</definedName>
    <definedName name="tlOutput_tlGraphs_N69">tlGraphs!$N$69</definedName>
    <definedName name="tlOutput_tlGraphs_N70">tlGraphs!$N$70</definedName>
    <definedName name="tlOutput_tlGraphs_N71">tlGraphs!$N$71</definedName>
    <definedName name="tlOutput_tlGraphs_N72">tlGraphs!$N$72</definedName>
    <definedName name="tlOutput_tlGraphs_N73">tlGraphs!$N$73</definedName>
    <definedName name="tlOutput_tlGraphs_N74">tlGraphs!$N$74</definedName>
    <definedName name="tlOutput_tlGraphs_N75">tlGraphs!$N$75</definedName>
    <definedName name="tlOutput_tlGraphs_N76">tlGraphs!$N$76</definedName>
    <definedName name="tlOutput_tlGraphs_N77">tlGraphs!$N$77</definedName>
    <definedName name="tlOutput_tlGraphs_N78">tlGraphs!$N$78</definedName>
    <definedName name="tlOutput_tlGraphs_N79">tlGraphs!$N$79</definedName>
    <definedName name="tlOutput_tlGraphs_N80">tlGraphs!$N$80</definedName>
    <definedName name="tlOutput_tlGraphs_N81">tlGraphs!$N$81</definedName>
    <definedName name="tlOutput_tlGraphs_N82">tlGraphs!$N$82</definedName>
    <definedName name="tlOutput_tlGraphs_N83">tlGraphs!$N$83</definedName>
    <definedName name="tlOutput_tlGraphs_N84">tlGraphs!$N$84</definedName>
    <definedName name="tlOutput_tlGraphs_N85">tlGraphs!$N$85</definedName>
    <definedName name="tlOutput_tlGraphs_N86">tlGraphs!$N$86</definedName>
    <definedName name="tlOutput_tlGraphs_N87">tlGraphs!$N$87</definedName>
    <definedName name="tlOutput_tlGraphs_N88">tlGraphs!$N$88</definedName>
    <definedName name="tlOutput_tlGraphs_N89">tlGraphs!$N$89</definedName>
    <definedName name="tlOutput_tlGraphs_N90">tlGraphs!$N$90</definedName>
    <definedName name="tlOutput_tlGraphs_N91">tlGraphs!$N$91</definedName>
    <definedName name="tlOutput_tlGraphs_N92">tlGraphs!$N$92</definedName>
    <definedName name="tlOutput_tlGraphs_N93">tlGraphs!$N$93</definedName>
    <definedName name="tlOutput_tlGraphs_N94">tlGraphs!$N$94</definedName>
    <definedName name="tlOutput_tlGraphs_N95">tlGraphs!$N$95</definedName>
    <definedName name="tlOutput_tlGraphs_N96">tlGraphs!$N$96</definedName>
    <definedName name="tlOutput_tlGraphs_N97">tlGraphs!$N$97</definedName>
    <definedName name="tlOutput_tlGraphs_Q111">tlGraphs!$Q$111</definedName>
    <definedName name="tlOutput_tlGraphs_Q112">tlGraphs!$Q$112</definedName>
    <definedName name="tlOutput_tlGraphs_Q113">tlGraphs!$Q$113</definedName>
    <definedName name="tlOutput_tlGraphs_Q114">tlGraphs!$Q$114</definedName>
    <definedName name="tlOutput_tlGraphs_Q115">tlGraphs!$Q$115</definedName>
    <definedName name="tlOutput_tlGraphs_Q116">tlGraphs!$Q$116</definedName>
    <definedName name="tlOutput_tlGraphs_Q117">tlGraphs!$Q$117</definedName>
    <definedName name="tlOutput_tlGraphs_Q118">tlGraphs!$Q$118</definedName>
    <definedName name="tlOutput_tlGraphs_Q119">tlGraphs!$Q$119</definedName>
    <definedName name="tlOutput_tlGraphs_Q120">tlGraphs!$Q$120</definedName>
    <definedName name="tlOutput_tlGraphs_Q121">tlGraphs!$Q$121</definedName>
    <definedName name="tlOutput_tlGraphs_Q122">tlGraphs!$Q$122</definedName>
    <definedName name="tlOutput_tlGraphs_Q123">tlGraphs!$Q$123</definedName>
    <definedName name="tlOutput_tlGraphs_Q124">tlGraphs!$Q$124</definedName>
    <definedName name="tlOutput_tlGraphs_Q125">tlGraphs!$Q$125</definedName>
    <definedName name="tlOutput_tlGraphs_Q126">tlGraphs!$Q$126</definedName>
    <definedName name="tlOutput_tlGraphs_Q127">tlGraphs!$Q$127</definedName>
    <definedName name="tlOutput_tlGraphs_Q128">tlGraphs!$Q$128</definedName>
    <definedName name="tlOutput_tlGraphs_Q129">tlGraphs!$Q$129</definedName>
    <definedName name="tlOutput_tlGraphs_Q130">tlGraphs!$Q$130</definedName>
    <definedName name="tlOutput_tlGraphs_Q131">tlGraphs!$Q$131</definedName>
    <definedName name="tlOutput_tlGraphs_Q132">tlGraphs!$Q$132</definedName>
    <definedName name="tlOutput_tlGraphs_Q133">tlGraphs!$Q$133</definedName>
    <definedName name="tlOutput_tlGraphs_Q134">tlGraphs!$Q$134</definedName>
    <definedName name="tlOutput_tlGraphs_Q135">tlGraphs!$Q$135</definedName>
    <definedName name="tlOutput_tlGraphs_Q136">tlGraphs!$Q$136</definedName>
    <definedName name="tlOutput_tlGraphs_Q137">tlGraphs!$Q$137</definedName>
    <definedName name="tlOutput_tlGraphs_Q138">tlGraphs!$Q$138</definedName>
    <definedName name="tlOutput_tlGraphs_Q139">tlGraphs!$Q$139</definedName>
    <definedName name="tlOutput_tlGraphs_Q140">tlGraphs!$Q$140</definedName>
    <definedName name="tlOutput_tlGraphs_Q141">tlGraphs!$Q$141</definedName>
    <definedName name="tlOutput_tlGraphs_Q142">tlGraphs!$Q$142</definedName>
    <definedName name="tlOutput_tlGraphs_Q143">tlGraphs!$Q$143</definedName>
    <definedName name="tlOutput_tlGraphs_Q144">tlGraphs!$Q$144</definedName>
    <definedName name="tlOutput_tlGraphs_Q145">tlGraphs!$Q$145</definedName>
    <definedName name="tlOutput_tlGraphs_Q63">tlGraphs!$Q$63</definedName>
    <definedName name="tlOutput_tlGraphs_Q64">tlGraphs!$Q$64</definedName>
    <definedName name="tlOutput_tlGraphs_Q65">tlGraphs!$Q$65</definedName>
    <definedName name="tlOutput_tlGraphs_Q66">tlGraphs!$Q$66</definedName>
    <definedName name="tlOutput_tlGraphs_Q67">tlGraphs!$Q$67</definedName>
    <definedName name="tlOutput_tlGraphs_Q68">tlGraphs!$Q$68</definedName>
    <definedName name="tlOutput_tlGraphs_Q69">tlGraphs!$Q$69</definedName>
    <definedName name="tlOutput_tlGraphs_Q70">tlGraphs!$Q$70</definedName>
    <definedName name="tlOutput_tlGraphs_Q71">tlGraphs!$Q$71</definedName>
    <definedName name="tlOutput_tlGraphs_Q72">tlGraphs!$Q$72</definedName>
    <definedName name="tlOutput_tlGraphs_Q73">tlGraphs!$Q$73</definedName>
    <definedName name="tlOutput_tlGraphs_Q74">tlGraphs!$Q$74</definedName>
    <definedName name="tlOutput_tlGraphs_Q75">tlGraphs!$Q$75</definedName>
    <definedName name="tlOutput_tlGraphs_Q76">tlGraphs!$Q$76</definedName>
    <definedName name="tlOutput_tlGraphs_Q77">tlGraphs!$Q$77</definedName>
    <definedName name="tlOutput_tlGraphs_Q78">tlGraphs!$Q$78</definedName>
    <definedName name="tlOutput_tlGraphs_Q79">tlGraphs!$Q$79</definedName>
    <definedName name="tlOutput_tlGraphs_Q80">tlGraphs!$Q$80</definedName>
    <definedName name="tlOutput_tlGraphs_Q81">tlGraphs!$Q$81</definedName>
    <definedName name="tlOutput_tlGraphs_Q82">tlGraphs!$Q$82</definedName>
    <definedName name="tlOutput_tlGraphs_Q83">tlGraphs!$Q$83</definedName>
    <definedName name="tlOutput_tlGraphs_Q84">tlGraphs!$Q$84</definedName>
    <definedName name="tlOutput_tlGraphs_Q85">tlGraphs!$Q$85</definedName>
    <definedName name="tlOutput_tlGraphs_Q86">tlGraphs!$Q$86</definedName>
    <definedName name="tlOutput_tlGraphs_Q87">tlGraphs!$Q$87</definedName>
    <definedName name="tlOutput_tlGraphs_Q88">tlGraphs!$Q$88</definedName>
    <definedName name="tlOutput_tlGraphs_Q89">tlGraphs!$Q$89</definedName>
    <definedName name="tlOutput_tlGraphs_Q90">tlGraphs!$Q$90</definedName>
    <definedName name="tlOutput_tlGraphs_Q91">tlGraphs!$Q$91</definedName>
    <definedName name="tlOutput_tlGraphs_Q92">tlGraphs!$Q$92</definedName>
    <definedName name="tlOutput_tlGraphs_Q93">tlGraphs!$Q$93</definedName>
    <definedName name="tlOutput_tlGraphs_Q94">tlGraphs!$Q$94</definedName>
    <definedName name="tlOutput_tlGraphs_Q95">tlGraphs!$Q$95</definedName>
    <definedName name="tlOutput_tlGraphs_Q96">tlGraphs!$Q$96</definedName>
    <definedName name="tlOutput_tlGraphs_Q97">tlGraphs!$Q$97</definedName>
    <definedName name="tlOutput_tlGraphs_R112">tlGraphs!$R$112</definedName>
    <definedName name="tlOutput_tlGraphs_R113">tlGraphs!$R$113</definedName>
    <definedName name="tlOutput_tlGraphs_R114">tlGraphs!$R$114</definedName>
    <definedName name="tlOutput_tlGraphs_R115">tlGraphs!$R$115</definedName>
    <definedName name="tlOutput_tlGraphs_R116">tlGraphs!$R$116</definedName>
    <definedName name="tlOutput_tlGraphs_R117">tlGraphs!$R$117</definedName>
    <definedName name="tlOutput_tlGraphs_R118">tlGraphs!$R$118</definedName>
    <definedName name="tlOutput_tlGraphs_R119">tlGraphs!$R$119</definedName>
    <definedName name="tlOutput_tlGraphs_R120">tlGraphs!$R$120</definedName>
    <definedName name="tlOutput_tlGraphs_R121">tlGraphs!$R$121</definedName>
    <definedName name="tlOutput_tlGraphs_R122">tlGraphs!$R$122</definedName>
    <definedName name="tlOutput_tlGraphs_R123">tlGraphs!$R$123</definedName>
    <definedName name="tlOutput_tlGraphs_R124">tlGraphs!$R$124</definedName>
    <definedName name="tlOutput_tlGraphs_R125">tlGraphs!$R$125</definedName>
    <definedName name="tlOutput_tlGraphs_R126">tlGraphs!$R$126</definedName>
    <definedName name="tlOutput_tlGraphs_R127">tlGraphs!$R$127</definedName>
    <definedName name="tlOutput_tlGraphs_R128">tlGraphs!$R$128</definedName>
    <definedName name="tlOutput_tlGraphs_R129">tlGraphs!$R$129</definedName>
    <definedName name="tlOutput_tlGraphs_R130">tlGraphs!$R$130</definedName>
    <definedName name="tlOutput_tlGraphs_R131">tlGraphs!$R$131</definedName>
    <definedName name="tlOutput_tlGraphs_R132">tlGraphs!$R$132</definedName>
    <definedName name="tlOutput_tlGraphs_R133">tlGraphs!$R$133</definedName>
    <definedName name="tlOutput_tlGraphs_R134">tlGraphs!$R$134</definedName>
    <definedName name="tlOutput_tlGraphs_R135">tlGraphs!$R$135</definedName>
    <definedName name="tlOutput_tlGraphs_R136">tlGraphs!$R$136</definedName>
    <definedName name="tlOutput_tlGraphs_R137">tlGraphs!$R$137</definedName>
    <definedName name="tlOutput_tlGraphs_R138">tlGraphs!$R$138</definedName>
    <definedName name="tlOutput_tlGraphs_R139">tlGraphs!$R$139</definedName>
    <definedName name="tlOutput_tlGraphs_R140">tlGraphs!$R$140</definedName>
    <definedName name="tlOutput_tlGraphs_R141">tlGraphs!$R$141</definedName>
    <definedName name="tlOutput_tlGraphs_R142">tlGraphs!$R$142</definedName>
    <definedName name="tlOutput_tlGraphs_R143">tlGraphs!$R$143</definedName>
    <definedName name="tlOutput_tlGraphs_R144">tlGraphs!$R$144</definedName>
    <definedName name="tlOutput_tlGraphs_R145">tlGraphs!$R$145</definedName>
    <definedName name="tlOutput_tlGraphs_R64">tlGraphs!$R$64</definedName>
    <definedName name="tlOutput_tlGraphs_R65">tlGraphs!$R$65</definedName>
    <definedName name="tlOutput_tlGraphs_R66">tlGraphs!$R$66</definedName>
    <definedName name="tlOutput_tlGraphs_R67">tlGraphs!$R$67</definedName>
    <definedName name="tlOutput_tlGraphs_R68">tlGraphs!$R$68</definedName>
    <definedName name="tlOutput_tlGraphs_R69">tlGraphs!$R$69</definedName>
    <definedName name="tlOutput_tlGraphs_R70">tlGraphs!$R$70</definedName>
    <definedName name="tlOutput_tlGraphs_R71">tlGraphs!$R$71</definedName>
    <definedName name="tlOutput_tlGraphs_R72">tlGraphs!$R$72</definedName>
    <definedName name="tlOutput_tlGraphs_R73">tlGraphs!$R$73</definedName>
    <definedName name="tlOutput_tlGraphs_R74">tlGraphs!$R$74</definedName>
    <definedName name="tlOutput_tlGraphs_R75">tlGraphs!$R$75</definedName>
    <definedName name="tlOutput_tlGraphs_R76">tlGraphs!$R$76</definedName>
    <definedName name="tlOutput_tlGraphs_R77">tlGraphs!$R$77</definedName>
    <definedName name="tlOutput_tlGraphs_R78">tlGraphs!$R$78</definedName>
    <definedName name="tlOutput_tlGraphs_R79">tlGraphs!$R$79</definedName>
    <definedName name="tlOutput_tlGraphs_R80">tlGraphs!$R$80</definedName>
    <definedName name="tlOutput_tlGraphs_R81">tlGraphs!$R$81</definedName>
    <definedName name="tlOutput_tlGraphs_R82">tlGraphs!$R$82</definedName>
    <definedName name="tlOutput_tlGraphs_R83">tlGraphs!$R$83</definedName>
    <definedName name="tlOutput_tlGraphs_R84">tlGraphs!$R$84</definedName>
    <definedName name="tlOutput_tlGraphs_R85">tlGraphs!$R$85</definedName>
    <definedName name="tlOutput_tlGraphs_R86">tlGraphs!$R$86</definedName>
    <definedName name="tlOutput_tlGraphs_R87">tlGraphs!$R$87</definedName>
    <definedName name="tlOutput_tlGraphs_R88">tlGraphs!$R$88</definedName>
    <definedName name="tlOutput_tlGraphs_R89">tlGraphs!$R$89</definedName>
    <definedName name="tlOutput_tlGraphs_R90">tlGraphs!$R$90</definedName>
    <definedName name="tlOutput_tlGraphs_R91">tlGraphs!$R$91</definedName>
    <definedName name="tlOutput_tlGraphs_R92">tlGraphs!$R$92</definedName>
    <definedName name="tlOutput_tlGraphs_R93">tlGraphs!$R$93</definedName>
    <definedName name="tlOutput_tlGraphs_R94">tlGraphs!$R$94</definedName>
    <definedName name="tlOutput_tlGraphs_R95">tlGraphs!$R$95</definedName>
    <definedName name="tlOutput_tlGraphs_R96">tlGraphs!$R$96</definedName>
    <definedName name="tlOutput_tlGraphs_R97">tlGraphs!$R$97</definedName>
    <definedName name="tlOutput_tlGraphsFE312">tlGraphs!$F$312</definedName>
    <definedName name="tlOutput_tlInitiatives_F37">tlInitiatives!$F$37</definedName>
    <definedName name="tlOutput_tlInitiatives_F39">tlInitiatives!$F$39</definedName>
    <definedName name="tlOutput_tlInitiatives_F41">tlInitiatives!$F$41</definedName>
    <definedName name="tlOutput_tlInitiatives_F43">tlInitiatives!$F$43</definedName>
    <definedName name="tlOutput_tlInitiatives_F50">tlInitiatives!$F$50</definedName>
    <definedName name="tlOutput_tlInitiatives_F52">tlInitiatives!$F$52</definedName>
    <definedName name="tlOutput_tlInitiatives_F54">tlInitiatives!$F$54</definedName>
    <definedName name="tlOutput_tlInitiatives_F56">tlInitiatives!$F$56</definedName>
    <definedName name="tlOutput_tlInitiatives_I16">tlInitiatives!$I$16</definedName>
    <definedName name="tlOutput_tlInitiatives_I18">tlInitiatives!$I$18</definedName>
    <definedName name="tlOutput_tlInitiatives_I20">tlInitiatives!$I$20</definedName>
    <definedName name="tlOutput_tlInitiatives_I22">tlInitiatives!$I$22</definedName>
    <definedName name="tlOutput_tlInitiatives_N16">tlInitiatives!$N$16</definedName>
    <definedName name="tlOutput_tlInitiatives_N18">tlInitiatives!$N$18</definedName>
    <definedName name="tlOutput_tlInitiatives_N20">tlInitiatives!$N$20</definedName>
    <definedName name="tlOutput_tlInitiatives_N22">tlInitiatives!$N$22</definedName>
    <definedName name="tlOutput_tlInitiatives_O16">tlInitiatives!$O$16</definedName>
    <definedName name="tlOutput_tlInitiatives_O18">tlInitiatives!$O$18</definedName>
    <definedName name="tlOutput_tlInitiatives_O20">tlInitiatives!$O$20</definedName>
    <definedName name="tlOutput_tlInitiatives_O22">tlInitiatives!$O$22</definedName>
    <definedName name="tlOutput_tlInitiatives_P16">tlInitiatives!$P$16</definedName>
    <definedName name="tlOutput_tlInitiatives_P18">tlInitiatives!$P$18</definedName>
    <definedName name="tlOutput_tlInitiatives_P20">tlInitiatives!$P$20</definedName>
    <definedName name="tlOutput_tlInitiatives_P22">tlInitiatives!$P$22</definedName>
    <definedName name="tlOutput_tlInitiatives_Q16">tlInitiatives!$Q$16</definedName>
    <definedName name="tlOutput_tlInitiatives_Q18">tlInitiatives!$Q$18</definedName>
    <definedName name="tlOutput_tlInitiatives_Q20">tlInitiatives!$Q$20</definedName>
    <definedName name="tlOutput_tlInitiatives_Q22">tlInitiatives!$Q$22</definedName>
    <definedName name="tlOutput_tlInitiatives_R16">tlInitiatives!$R$16</definedName>
    <definedName name="tlOutput_tlInitiatives_R18">tlInitiatives!$R$18</definedName>
    <definedName name="tlOutput_tlInitiatives_R20">tlInitiatives!$R$20</definedName>
    <definedName name="tlOutput_tlInitiatives_R22">tlInitiatives!$R$22</definedName>
    <definedName name="tlOutput_tlInitiatives_S16">tlInitiatives!$S$16</definedName>
    <definedName name="tlOutput_tlInitiatives_S18">tlInitiatives!$S$18</definedName>
    <definedName name="tlOutput_tlInitiatives_S20">tlInitiatives!$S$20</definedName>
    <definedName name="tlOutput_tlInitiatives_S22">tlInitiatives!$S$22</definedName>
    <definedName name="tlOutput_tlInitiatives_T16">tlInitiatives!$T$16</definedName>
    <definedName name="tlOutput_tlInitiatives_T18">tlInitiatives!$T$18</definedName>
    <definedName name="tlOutput_tlInitiatives_T20">tlInitiatives!$T$20</definedName>
    <definedName name="tlOutput_tlInitiatives_T22">tlInitiatives!$T$22</definedName>
    <definedName name="tlOutput_tlPeople_H18">tlPeople!$H$18</definedName>
    <definedName name="tlOutput_tlPeople_H22">tlPeople!$H$22</definedName>
    <definedName name="tlOutput_tlPeople_H24">tlPeople!$H$24</definedName>
    <definedName name="tlOutput_tlPeople_H26">tlPeople!$H$26</definedName>
    <definedName name="tlOutput_tlPeople_H28">tlPeople!$H$28</definedName>
    <definedName name="tlOutput_tlPeople_H60">tlPeople!$H$60</definedName>
    <definedName name="tlOutput_tlPeople_H64">tlPeople!$H$64</definedName>
    <definedName name="tlOutput_tlPeople_H73">tlPeople!$H$73</definedName>
    <definedName name="tlOutput_tlPeople_J18">tlPeople!$J$18</definedName>
    <definedName name="tlOutput_tlPeople_J22">tlPeople!$J$22</definedName>
    <definedName name="tlOutput_tlPeople_J24">tlPeople!$J$24</definedName>
    <definedName name="tlOutput_tlPeople_J26">tlPeople!$J$26</definedName>
    <definedName name="tlOutput_tlPeople_J28">tlPeople!$J$28</definedName>
    <definedName name="tlOutput_tlPeople_J60">tlPeople!$J$60</definedName>
    <definedName name="tlOutput_tlPeople_J64">tlPeople!$J$64</definedName>
    <definedName name="tlOutput_tlPeople_L18">tlPeople!$L$18</definedName>
    <definedName name="tlOutput_tlPeople_L22">tlPeople!$L$22</definedName>
    <definedName name="tlOutput_tlPeople_L24">tlPeople!$L$24</definedName>
    <definedName name="tlOutput_tlPeople_L26">tlPeople!$L$26</definedName>
    <definedName name="tlOutput_tlPeople_L28">tlPeople!$L$28</definedName>
    <definedName name="tlOutput_tlPeople_L36">tlPeople!$L$36</definedName>
    <definedName name="tlOutput_tlPeople_L38">tlPeople!$L$38</definedName>
    <definedName name="tlOutput_tlPeople_L40">tlPeople!$L$40</definedName>
    <definedName name="tlOutput_tlPeople_L42">tlPeople!$L$42</definedName>
    <definedName name="tlOutput_tlPeople_L60">tlPeople!$L$60</definedName>
    <definedName name="tlOutput_tlPeople_L64">tlPeople!$L$64</definedName>
    <definedName name="tlOutput_tlPeople_N18">tlPeople!$N$18</definedName>
    <definedName name="tlOutput_tlPeople_N22">tlPeople!$N$22</definedName>
    <definedName name="tlOutput_tlPeople_N24">tlPeople!$N$24</definedName>
    <definedName name="tlOutput_tlPeople_N26">tlPeople!$N$26</definedName>
    <definedName name="tlOutput_tlPeople_N28">tlPeople!$N$28</definedName>
    <definedName name="tlOutput_tlPeople_N60">tlPeople!$N$60</definedName>
    <definedName name="tlOutput_tlPeople_N64">tlPeople!$N$64</definedName>
    <definedName name="tlOutput_tlPeople_N73">tlPeople!$N$73</definedName>
    <definedName name="tlOutput_tlPNLBusA_J10">tlPNLBusA!$J$11</definedName>
    <definedName name="tlOutput_tlPNLBusA_J11">tlPNLBusA!$J$12</definedName>
    <definedName name="tlOutput_tlPNLBusA_J12">tlPNLBusA!$J$13</definedName>
    <definedName name="tlOutput_tlPNLBusA_J13">tlPNLBusA!$J$14</definedName>
    <definedName name="tlOutput_tlPNLBusA_J14">tlPNLBusA!$J$15</definedName>
    <definedName name="tlOutput_tlPNLBusA_J15">tlPNLBusA!$J$16</definedName>
    <definedName name="tlOutput_tlPNLBusA_J17">tlPNLBusA!$J$18</definedName>
    <definedName name="tlOutput_tlPNLBusA_J18">tlPNLBusA!$J$19</definedName>
    <definedName name="tlOutput_tlPNLBusA_J21">tlPNLBusA!$J$22</definedName>
    <definedName name="tlOutput_tlPNLBusA_J22">tlPNLBusA!$J$23</definedName>
    <definedName name="tlOutput_tlPNLBusA_J23">tlPNLBusA!$J$24</definedName>
    <definedName name="tlOutput_tlPNLBusA_J24">tlPNLBusA!$J$25</definedName>
    <definedName name="tlOutput_tlPNLBusA_J26">tlPNLBusA!$J$28</definedName>
    <definedName name="tlOutput_tlPNLBusA_J27">tlPNLBusA!$J$29</definedName>
    <definedName name="tlOutput_tlPNLBusA_J28">tlPNLBusA!$J$30</definedName>
    <definedName name="tlOutput_tlPNLBusA_J29">tlPNLBusA!$J$31</definedName>
    <definedName name="tlOutput_tlPNLBusA_J30">tlPNLBusA!$J$32</definedName>
    <definedName name="tlOutput_tlPNLBusA_J31">tlPNLBusA!$J$33</definedName>
    <definedName name="tlOutput_tlPNLBusA_J32">tlPNLBusA!$J$34</definedName>
    <definedName name="tlOutput_tlPNLBusA_J33">tlPNLBusA!$J$35</definedName>
    <definedName name="tlOutput_tlPNLBusA_J34">tlPNLBusA!$J$37</definedName>
    <definedName name="tlOutput_tlPNLBusA_J35">tlPNLBusA!$J$38</definedName>
    <definedName name="tlOutput_tlPNLBusA_J36">tlPNLBusA!$J$40</definedName>
    <definedName name="tlOutput_tlPNLBusA_J37">tlPNLBusA!$J$41</definedName>
    <definedName name="tlOutput_tlPNLBusA_J38">tlPNLBusA!$J$43</definedName>
    <definedName name="tlOutput_tlPNLBusA_J39">tlPNLBusA!$J$44</definedName>
    <definedName name="tlOutput_tlPNLBusA_J7">tlPNLBusA!$J$7</definedName>
    <definedName name="tlOutput_tlPNLBusA_J8">tlPNLBusA!$J$8</definedName>
    <definedName name="tlOutput_tlPNLBusA_L10">tlPNLBusA!$L$11</definedName>
    <definedName name="tlOutput_tlPNLBusA_L11">tlPNLBusA!$L$12</definedName>
    <definedName name="tlOutput_tlPNLBusA_L12">tlPNLBusA!$L$13</definedName>
    <definedName name="tlOutput_tlPNLBusA_L13">tlPNLBusA!$L$14</definedName>
    <definedName name="tlOutput_tlPNLBusA_L14">tlPNLBusA!$L$15</definedName>
    <definedName name="tlOutput_tlPNLBusA_L15">tlPNLBusA!$L$16</definedName>
    <definedName name="tlOutput_tlPNLBusA_L17">tlPNLBusA!$L$18</definedName>
    <definedName name="tlOutput_tlPNLBusA_L18">tlPNLBusA!$L$19</definedName>
    <definedName name="tlOutput_tlPNLBusA_L21">tlPNLBusA!$L$22</definedName>
    <definedName name="tlOutput_tlPNLBusA_L22">tlPNLBusA!$L$23</definedName>
    <definedName name="tlOutput_tlPNLBusA_L23">tlPNLBusA!$L$24</definedName>
    <definedName name="tlOutput_tlPNLBusA_L24">tlPNLBusA!$L$25</definedName>
    <definedName name="tlOutput_tlPNLBusA_L26">tlPNLBusA!$L$28</definedName>
    <definedName name="tlOutput_tlPNLBusA_L27">tlPNLBusA!$L$29</definedName>
    <definedName name="tlOutput_tlPNLBusA_L28">tlPNLBusA!$L$30</definedName>
    <definedName name="tlOutput_tlPNLBusA_L29">tlPNLBusA!$L$31</definedName>
    <definedName name="tlOutput_tlPNLBusA_L30">tlPNLBusA!$L$32</definedName>
    <definedName name="tlOutput_tlPNLBusA_L31">tlPNLBusA!$L$33</definedName>
    <definedName name="tlOutput_tlPNLBusA_L32">tlPNLBusA!$L$34</definedName>
    <definedName name="tlOutput_tlPNLBusA_L33">tlPNLBusA!$L$35</definedName>
    <definedName name="tlOutput_tlPNLBusA_L34">tlPNLBusA!$L$37</definedName>
    <definedName name="tlOutput_tlPNLBusA_L35">tlPNLBusA!$L$38</definedName>
    <definedName name="tlOutput_tlPNLBusA_L36">tlPNLBusA!$L$40</definedName>
    <definedName name="tlOutput_tlPNLBusA_L37">tlPNLBusA!$L$41</definedName>
    <definedName name="tlOutput_tlPNLBusA_L38">tlPNLBusA!$L$43</definedName>
    <definedName name="tlOutput_tlPNLBusA_L39">tlPNLBusA!$L$44</definedName>
    <definedName name="tlOutput_tlPNLBusA_L7">tlPNLBusA!$L$7</definedName>
    <definedName name="tlOutput_tlPNLBusA_L8">tlPNLBusA!$L$8</definedName>
    <definedName name="tlOutput_tlPNLBusA_N10">tlPNLBusA!$N$11</definedName>
    <definedName name="tlOutput_tlPNLBusA_N11">tlPNLBusA!$N$12</definedName>
    <definedName name="tlOutput_tlPNLBusA_N12">tlPNLBusA!$N$13</definedName>
    <definedName name="tlOutput_tlPNLBusA_N13">tlPNLBusA!$N$14</definedName>
    <definedName name="tlOutput_tlPNLBusA_N14">tlPNLBusA!$N$15</definedName>
    <definedName name="tlOutput_tlPNLBusA_N15">tlPNLBusA!$N$16</definedName>
    <definedName name="tlOutput_tlPNLBusA_N17">tlPNLBusA!$N$18</definedName>
    <definedName name="tlOutput_tlPNLBusA_N18">tlPNLBusA!$N$19</definedName>
    <definedName name="tlOutput_tlPNLBusA_N21">tlPNLBusA!$N$22</definedName>
    <definedName name="tlOutput_tlPNLBusA_N22">tlPNLBusA!$N$23</definedName>
    <definedName name="tlOutput_tlPNLBusA_N23">tlPNLBusA!$N$24</definedName>
    <definedName name="tlOutput_tlPNLBusA_N24">tlPNLBusA!$N$25</definedName>
    <definedName name="tlOutput_tlPNLBusA_N26">tlPNLBusA!$N$28</definedName>
    <definedName name="tlOutput_tlPNLBusA_N27">tlPNLBusA!$N$29</definedName>
    <definedName name="tlOutput_tlPNLBusA_N28">tlPNLBusA!$N$30</definedName>
    <definedName name="tlOutput_tlPNLBusA_N29">tlPNLBusA!$N$31</definedName>
    <definedName name="tlOutput_tlPNLBusA_N30">tlPNLBusA!$N$32</definedName>
    <definedName name="tlOutput_tlPNLBusA_N31">tlPNLBusA!$N$33</definedName>
    <definedName name="tlOutput_tlPNLBusA_N32">tlPNLBusA!$N$34</definedName>
    <definedName name="tlOutput_tlPNLBusA_N33">tlPNLBusA!$N$35</definedName>
    <definedName name="tlOutput_tlPNLBusA_N34">tlPNLBusA!$N$37</definedName>
    <definedName name="tlOutput_tlPNLBusA_N35">tlPNLBusA!$N$38</definedName>
    <definedName name="tlOutput_tlPNLBusA_N36">tlPNLBusA!$N$40</definedName>
    <definedName name="tlOutput_tlPNLBusA_N37">tlPNLBusA!$N$41</definedName>
    <definedName name="tlOutput_tlPNLBusA_N38">tlPNLBusA!$N$43</definedName>
    <definedName name="tlOutput_tlPNLBusA_N39">tlPNLBusA!$N$44</definedName>
    <definedName name="tlOutput_tlPNLBusA_N7">tlPNLBusA!$N$7</definedName>
    <definedName name="tlOutput_tlPNLBusA_N8">tlPNLBusA!$N$8</definedName>
    <definedName name="tlOutput_tlPNLBusA_P10">tlPNLBusA!$P$11</definedName>
    <definedName name="tlOutput_tlPNLBusA_P11">tlPNLBusA!$P$12</definedName>
    <definedName name="tlOutput_tlPNLBusA_P12">tlPNLBusA!$P$13</definedName>
    <definedName name="tlOutput_tlPNLBusA_P13">tlPNLBusA!$P$14</definedName>
    <definedName name="tlOutput_tlPNLBusA_P14">tlPNLBusA!$P$15</definedName>
    <definedName name="tlOutput_tlPNLBusA_P15">tlPNLBusA!$P$16</definedName>
    <definedName name="tlOutput_tlPNLBusA_P17">tlPNLBusA!$P$18</definedName>
    <definedName name="tlOutput_tlPNLBusA_P18">tlPNLBusA!$P$19</definedName>
    <definedName name="tlOutput_tlPNLBusA_P21">tlPNLBusA!$P$22</definedName>
    <definedName name="tlOutput_tlPNLBusA_P22">tlPNLBusA!$P$23</definedName>
    <definedName name="tlOutput_tlPNLBusA_P23">tlPNLBusA!$P$24</definedName>
    <definedName name="tlOutput_tlPNLBusA_P24">tlPNLBusA!$P$25</definedName>
    <definedName name="tlOutput_tlPNLBusA_P26">tlPNLBusA!$P$28</definedName>
    <definedName name="tlOutput_tlPNLBusA_P27">tlPNLBusA!$P$29</definedName>
    <definedName name="tlOutput_tlPNLBusA_P28">tlPNLBusA!$P$30</definedName>
    <definedName name="tlOutput_tlPNLBusA_P29">tlPNLBusA!$P$31</definedName>
    <definedName name="tlOutput_tlPNLBusA_P30">tlPNLBusA!$P$32</definedName>
    <definedName name="tlOutput_tlPNLBusA_P31">tlPNLBusA!$P$33</definedName>
    <definedName name="tlOutput_tlPNLBusA_P32">tlPNLBusA!$P$34</definedName>
    <definedName name="tlOutput_tlPNLBusA_P33">tlPNLBusA!$P$35</definedName>
    <definedName name="tlOutput_tlPNLBusA_P34">tlPNLBusA!$P$37</definedName>
    <definedName name="tlOutput_tlPNLBusA_P35">tlPNLBusA!$P$38</definedName>
    <definedName name="tlOutput_tlPNLBusA_P36">tlPNLBusA!$P$40</definedName>
    <definedName name="tlOutput_tlPNLBusA_P37">tlPNLBusA!$P$41</definedName>
    <definedName name="tlOutput_tlPNLBusA_P38">tlPNLBusA!$P$43</definedName>
    <definedName name="tlOutput_tlPNLBusA_P39">tlPNLBusA!$P$44</definedName>
    <definedName name="tlOutput_tlPNLBusA_P7">tlPNLBusA!$P$7</definedName>
    <definedName name="tlOutput_tlPNLBusA_P8">tlPNLBusA!$P$8</definedName>
    <definedName name="tlOutputBusAEmp2Dismiss">toolDecSummary!$J$57</definedName>
    <definedName name="tlOutputBusAEmp2HrsCurrProj">toolDecSummary!$J$25</definedName>
    <definedName name="tlOutputBusAEmp2HrsCurrProjV2">toolDecSummary!$J$35</definedName>
    <definedName name="tlOutputBusAEmp2HrsCurrProjV3">toolDecSummary!$J$45</definedName>
    <definedName name="tlOutputBusAEmp3Dismiss">toolDecSummary!$H$57</definedName>
    <definedName name="tlOutputBusAEmp3HrsCurrProj">toolDecSummary!$H$25</definedName>
    <definedName name="tlOutputBusAEmp3HrsCurrProjV2">toolDecSummary!$H$35</definedName>
    <definedName name="tlOutputBusAEmp3HrsCurrProjV3">toolDecSummary!$H$45</definedName>
    <definedName name="tlOutputBusAEmp4Dismiss">toolDecSummary!$F$57</definedName>
    <definedName name="tlOutputBusAEmp4HrsCurrProj">toolDecSummary!$F$25</definedName>
    <definedName name="tlOutputBusAEmp4HrsCurrProjV2">toolDecSummary!$F$35</definedName>
    <definedName name="tlOutputBusAEmp4HrsCurrProjV3">toolDecSummary!$F$45</definedName>
    <definedName name="tlOutputBusAEmp9Dismiss">toolDecSummary!$N$57</definedName>
    <definedName name="tlOutputBusAEmp9HrsCurrProj">toolDecSummary!$L$25</definedName>
    <definedName name="tlOutputBusAEmp9HrsCurrProjV2">toolDecSummary!$L$35</definedName>
    <definedName name="tlOutputBusAEmp9HrsCurrProjV3">toolDecSummary!$L$45</definedName>
    <definedName name="tlOutputBusAGrowthForecast">toolDecSummary!$F$11</definedName>
    <definedName name="tlOutputBusAGrowthForecastV2">toolDecSummary!$H$11</definedName>
    <definedName name="tlOutputBusAGrowthForecastV3">toolDecSummary!$J$11</definedName>
    <definedName name="tlOutputBusAPricePerHr">toolDecSummary!$F$9</definedName>
    <definedName name="tlOutputBusAPricePerHrV2">toolDecSummary!$H$9</definedName>
    <definedName name="tlOutputBusAPricePerHrV3">toolDecSummary!$J$9</definedName>
    <definedName name="tlOutputCompDevBusAV1">toolDecSummary!$F$15</definedName>
    <definedName name="tlOutputCompDevBusAV2">toolDecSummary!$H$15</definedName>
    <definedName name="tlOutputCompDevBusAV3">toolDecSummary!$J$15</definedName>
    <definedName name="tlOutputDBBookings">Controls!$E$172</definedName>
    <definedName name="tlOutputDBBookingsCAGR">Controls!$E$173</definedName>
    <definedName name="tlOutputDBBusAEmp1Utiliz">Controls!$E$201</definedName>
    <definedName name="tlOutputDBBusAEmp2Utiliz">Controls!$E$184</definedName>
    <definedName name="tlOutputDBBusAEmp3Utiliz">Controls!$E$183</definedName>
    <definedName name="tlOutputDBBusAEmp4Utiliz">Controls!$E$182</definedName>
    <definedName name="tlOutputDBBusAEmp7Utiliz">Controls!$E$198</definedName>
    <definedName name="tlOutputDBBusAEmp8Utiliz">Controls!$E$199</definedName>
    <definedName name="tlOutputDBBusAEmp9Utiliz">Controls!$E$200</definedName>
    <definedName name="tlOutputDBBusATotalQualityCost">Controls!$E$178</definedName>
    <definedName name="tlOutputDBBusBEmp1Utiliz">Controls!$E$189</definedName>
    <definedName name="tlOutputDBBusBEmp2Utiliz">Controls!$E$188</definedName>
    <definedName name="tlOutputDBBusBEmp3Utiliz">Controls!$E$187</definedName>
    <definedName name="tlOutputDBBusBEmp4Utiliz">Controls!$E$186</definedName>
    <definedName name="tlOutputDBBusBTotalForecastRev">Controls!$E$192</definedName>
    <definedName name="tlOutputDBBusBTotalQualityCost">Controls!$E$191</definedName>
    <definedName name="tlOutputDBCSATEnd">Controls!$E$180</definedName>
    <definedName name="tlOutputDBEmp6Utiliz">Controls!$E$194</definedName>
    <definedName name="tlOutputDBESATEnd">Controls!$E$179</definedName>
    <definedName name="tlOutputDBGaugeBusAEmp2Utiliz">Controls!$E$206</definedName>
    <definedName name="tlOutputDBGaugeBusAEmp3Utiliz">Controls!$E$205</definedName>
    <definedName name="tlOutputDBGaugeBusAEmp4Utiliz">Controls!$E$204</definedName>
    <definedName name="tlOutputDBGaugeBusAEmp9Utiliz">Controls!$E$207</definedName>
    <definedName name="tlOutputDBGaugeEmp6Utiliz">Controls!$E$208</definedName>
    <definedName name="tlOutputDBGM">Controls!$E$175</definedName>
    <definedName name="tlOutputDBOM">Controls!$E$176</definedName>
    <definedName name="tlOutputDBTotalRev">Controls!$E$174</definedName>
    <definedName name="tlOutputDBTotalTrainingBudForecast">Controls!$E$196</definedName>
    <definedName name="tlOutputDBYr0Bookings">Controls!$K$172</definedName>
    <definedName name="tlOutputDBYr0BookingsCAGR">Controls!$K$173</definedName>
    <definedName name="tlOutputDBYr0BusAEmp1Utiliz">Controls!$K$201</definedName>
    <definedName name="tlOutputDBYr0BusAEmp2Utiliz">Controls!$K$184</definedName>
    <definedName name="tlOutputDBYr0BusAEmp3Utiliz">Controls!$K$183</definedName>
    <definedName name="tlOutputDBYr0BusAEmp4Utiliz">Controls!$K$182</definedName>
    <definedName name="tlOutputDBYr0BusAEmp7Utiliz">Controls!$K$198</definedName>
    <definedName name="tlOutputDBYr0BusAEmp8Utiliz">Controls!$K$199</definedName>
    <definedName name="tlOutputDBYr0BusAEmp9Utiliz">Controls!$K$200</definedName>
    <definedName name="tlOutputDBYr0BusATotalQualityCost">Controls!$K$178</definedName>
    <definedName name="tlOutputDBYr0BusBEmp1Utiliz">Controls!$K$189</definedName>
    <definedName name="tlOutputDBYr0BusBEmp2Utiliz">Controls!$K$188</definedName>
    <definedName name="tlOutputDBYr0BusBEmp3Utiliz">Controls!$K$187</definedName>
    <definedName name="tlOutputDBYr0BusBEmp4Utiliz">Controls!$K$186</definedName>
    <definedName name="tlOutputDBYr0BusBTotalForecastRev">Controls!$K$192</definedName>
    <definedName name="tlOutputDBYr0BusBTotalQualityCost">Controls!$K$191</definedName>
    <definedName name="tlOutputDBYr0CSATEnd">Controls!$K$180</definedName>
    <definedName name="tlOutputDBYr0Emp6Utiliz">Controls!$K$194</definedName>
    <definedName name="tlOutputDBYr0ESATEnd">Controls!$K$179</definedName>
    <definedName name="tlOutputDBYr0GaugeBusAEmp2Utiliz">Controls!$K$206</definedName>
    <definedName name="tlOutputDBYr0GaugeBusAEmp3Utiliz">Controls!$K$205</definedName>
    <definedName name="tlOutputDBYr0GaugeBusAEmp4Utiliz">Controls!$K$204</definedName>
    <definedName name="tlOutputDBYr0GaugeBusAEmp9Utiliz">Controls!$K$207</definedName>
    <definedName name="tlOutputDBYr0GaugeEmp6Utiliz">Controls!$K$208</definedName>
    <definedName name="tlOutputDBYr0GM">Controls!$K$175</definedName>
    <definedName name="tlOutputDBYr0OM">Controls!$K$176</definedName>
    <definedName name="tlOutputDBYr0TotalRev">Controls!$K$174</definedName>
    <definedName name="tlOutputDBYr0TotalTrainingBudForecast">Controls!$K$196</definedName>
    <definedName name="tlOutputDBYr1Bookings">Controls!$O$172</definedName>
    <definedName name="tlOutputDBYr1BookingsCAGR">Controls!$O$173</definedName>
    <definedName name="tlOutputDBYr1BusAEmp1Utiliz">Controls!$O$201</definedName>
    <definedName name="tlOutputDBYr1BusAEmp2Utiliz">Controls!$O$184</definedName>
    <definedName name="tlOutputDBYr1BusAEmp3Utiliz">Controls!$O$183</definedName>
    <definedName name="tlOutputDBYr1BusAEmp4Utiliz">Controls!$O$182</definedName>
    <definedName name="tlOutputDBYr1BusAEmp7Utiliz">Controls!$O$198</definedName>
    <definedName name="tlOutputDBYr1BusAEmp8Utiliz">Controls!$O$199</definedName>
    <definedName name="tlOutputDBYr1BusAEmp9Utiliz">Controls!$O$200</definedName>
    <definedName name="tlOutputDBYr1BusATotalQualityCost">Controls!$O$178</definedName>
    <definedName name="tlOutputDBYr1BusBEmp1Utiliz">Controls!$O$189</definedName>
    <definedName name="tlOutputDBYr1BusBEmp2Utiliz">Controls!$O$188</definedName>
    <definedName name="tlOutputDBYr1BusBEmp3Utiliz">Controls!$O$187</definedName>
    <definedName name="tlOutputDBYr1BusBEmp4Utiliz">Controls!$O$186</definedName>
    <definedName name="tlOutputDBYr1BusBTotalForecastRev">Controls!$O$192</definedName>
    <definedName name="tlOutputDBYr1BusBTotalQualityCost">Controls!$O$191</definedName>
    <definedName name="tlOutputDBYr1CSATEnd">Controls!$O$180</definedName>
    <definedName name="tlOutputDBYr1Emp6Utiliz">Controls!$O$194</definedName>
    <definedName name="tlOutputDBYr1ESATEnd">Controls!$O$179</definedName>
    <definedName name="tlOutputDBYr1GaugeBusAEmp2Utiliz">Controls!$O$206</definedName>
    <definedName name="tlOutputDBYr1GaugeBusAEmp3Utiliz">Controls!$O$205</definedName>
    <definedName name="tlOutputDBYr1GaugeBusAEmp4Utiliz">Controls!$O$204</definedName>
    <definedName name="tlOutputDBYr1GaugeBusAEmp9Utiliz">Controls!$O$207</definedName>
    <definedName name="tlOutputDBYr1GaugeEmp6Utiliz">Controls!$O$208</definedName>
    <definedName name="tlOutputDBYr1GM">Controls!$O$175</definedName>
    <definedName name="tlOutputDBYr1OM">Controls!$O$176</definedName>
    <definedName name="tlOutputDBYr1TotalRev">Controls!$O$174</definedName>
    <definedName name="tlOutputDBYr1TotalTrainingBudForecast">Controls!$O$196</definedName>
    <definedName name="tlOutputDBYr2Bookings">Controls!$S$172</definedName>
    <definedName name="tlOutputDBYr2BookingsCAGR">Controls!$S$173</definedName>
    <definedName name="tlOutputDBYr2BusAEmp1Utiliz">Controls!$S$201</definedName>
    <definedName name="tlOutputDBYr2BusAEmp2Utiliz">Controls!$S$184</definedName>
    <definedName name="tlOutputDBYr2BusAEmp3Utiliz">Controls!$S$183</definedName>
    <definedName name="tlOutputDBYr2BusAEmp4Utiliz">Controls!$S$182</definedName>
    <definedName name="tlOutputDBYr2BusAEmp7Utiliz">Controls!$S$198</definedName>
    <definedName name="tlOutputDBYr2BusAEmp8Utiliz">Controls!$S$199</definedName>
    <definedName name="tlOutputDBYr2BusAEmp9Utiliz">Controls!$S$200</definedName>
    <definedName name="tlOutputDBYr2BusATotalQualityCost">Controls!$S$178</definedName>
    <definedName name="tlOutputDBYr2BusBEmp1Utiliz">Controls!$S$189</definedName>
    <definedName name="tlOutputDBYr2BusBEmp2Utiliz">Controls!$S$188</definedName>
    <definedName name="tlOutputDBYr2BusBEmp3Utiliz">Controls!$S$187</definedName>
    <definedName name="tlOutputDBYr2BusBEmp4Utiliz">Controls!$S$186</definedName>
    <definedName name="tlOutputDBYr2BusBTotalForecastRev">Controls!$S$192</definedName>
    <definedName name="tlOutputDBYr2BusBTotalQualityCost">Controls!$S$191</definedName>
    <definedName name="tlOutputDBYr2CSATEnd">Controls!$S$180</definedName>
    <definedName name="tlOutputDBYr2Emp6Utiliz">Controls!$S$194</definedName>
    <definedName name="tlOutputDBYr2ESATEnd">Controls!$S$179</definedName>
    <definedName name="tlOutputDBYr2GaugeBusAEmp2Utiliz">Controls!$S$206</definedName>
    <definedName name="tlOutputDBYr2GaugeBusAEmp3Utiliz">Controls!$S$205</definedName>
    <definedName name="tlOutputDBYr2GaugeBusAEmp4Utiliz">Controls!$S$204</definedName>
    <definedName name="tlOutputDBYr2GaugeBusAEmp9Utiliz">Controls!$S$207</definedName>
    <definedName name="tlOutputDBYr2GaugeEmp6Utiliz">Controls!$S$208</definedName>
    <definedName name="tlOutputDBYr2GM">Controls!$S$175</definedName>
    <definedName name="tlOutputDBYr2OM">Controls!$S$176</definedName>
    <definedName name="tlOutputDBYr2TotalRev">Controls!$S$174</definedName>
    <definedName name="tlOutputDBYr2TotalTrainingBudForecast">Controls!$S$196</definedName>
    <definedName name="tlOutputEmp2Salary">toolDecSummary!$J$59</definedName>
    <definedName name="tlOutputEmp3Salary">toolDecSummary!$H$59</definedName>
    <definedName name="tlOutputEmp4Salary">toolDecSummary!$F$59</definedName>
    <definedName name="tlOutputEntSvcsDismiss">toolDecSummary!$L$57</definedName>
    <definedName name="tlOutputEntSvcsEmp2BusAHire">toolDecSummary!$J$55</definedName>
    <definedName name="tlOutputEntSvcsEmp2Training">toolDecSummary!$J$61</definedName>
    <definedName name="tlOutputEntSvcsEmp2TrainingNextYr">toolDecSummary!$J$63</definedName>
    <definedName name="tlOutputEntSvcsEmp3BusAHire">toolDecSummary!$H$55</definedName>
    <definedName name="tlOutputEntSvcsEmp3Training">toolDecSummary!$H$61</definedName>
    <definedName name="tlOutputEntSvcsEmp3TrainingNextYr">toolDecSummary!$H$63</definedName>
    <definedName name="tlOutputEntSvcsEmp4BusAHire">toolDecSummary!$F$55</definedName>
    <definedName name="tlOutputEntSvcsEmp4Training">toolDecSummary!$F$61</definedName>
    <definedName name="tlOutputEntSvcsEmp4TrainingNextYr">toolDecSummary!$F$63</definedName>
    <definedName name="tlOutputEntSvcsEmp9BusAHire">toolDecSummary!$N$55</definedName>
    <definedName name="tlOutputEntSvcsEntWFTraining">toolDecSummary!$L$61</definedName>
    <definedName name="tlOutputEntSvcsEntWFTrainingNextYr">toolDecSummary!$L$63</definedName>
    <definedName name="tlOutputEntSvcsHire">toolDecSummary!$L$55</definedName>
    <definedName name="tlOutputEntSvcsMarketingExp">toolDecSummary!$F$18</definedName>
    <definedName name="tlOutputEntSvcsProgram1">toolDecSummary!$F$79</definedName>
    <definedName name="tlOutputEntSvcsProgram1Name">toolDecSummary!$J$79</definedName>
    <definedName name="tlOutputEntSvcsProgram2">toolDecSummary!$F$81</definedName>
    <definedName name="tlOutputEntSvcsProgram2Name">toolDecSummary!$J$81</definedName>
    <definedName name="tlOutputEntSvcsProgram3">toolDecSummary!$F$83</definedName>
    <definedName name="tlOutputEntSvcsProgram3Name">toolDecSummary!$J$83</definedName>
    <definedName name="tlOutputEntSvcsProgram4">toolDecSummary!$F$85</definedName>
    <definedName name="tlOutputEntSvcsProgram4Name">toolDecSummary!$J$85</definedName>
    <definedName name="tlOutputEntSvcsSalesLevelPrac1">toolDecSummary!$F$13</definedName>
    <definedName name="tlOutputEntSvcsSalesLevelPrac2">toolDecSummary!$H$13</definedName>
    <definedName name="tlOutputEntSvcsSalesLevelPrac3">toolDecSummary!$J$13</definedName>
    <definedName name="tlOutputErrorCheck1">dec!$K$3</definedName>
    <definedName name="tlOutputErrorCheck2">dec!$K$4</definedName>
    <definedName name="tlOutputErrorCheck3">dec!$K$5</definedName>
    <definedName name="tlOutputErrorCheck4">dec!$K$6</definedName>
    <definedName name="tlOutputErrorCheck5">dec!$K$7</definedName>
    <definedName name="tlOutputErrorCheck6">dec!$K$8</definedName>
    <definedName name="tlOutputGaugeBusAEmp2Utiliz">Controls!$E$213</definedName>
    <definedName name="tlOutputGaugeBusAEmp3Utiliz">Controls!$E$212</definedName>
    <definedName name="tlOutputGaugeBusAEmp4Utiliz">Controls!$E$211</definedName>
    <definedName name="tlOutputGaugeBusAEmp9Utiliz">Controls!$E$214</definedName>
    <definedName name="tlOutputGaugeEmp6Utiliz">Controls!$E$215</definedName>
    <definedName name="tlOutputGaugeYr0BusAEmp2Utiliz">Controls!$K$213</definedName>
    <definedName name="tlOutputGaugeYr0BusAEmp3Utiliz">Controls!$K$212</definedName>
    <definedName name="tlOutputGaugeYr0BusAEmp4Utiliz">Controls!$K$211</definedName>
    <definedName name="tlOutputGaugeYr0BusAEmp9Utiliz">Controls!$K$214</definedName>
    <definedName name="tlOutputGaugeYr0Emp6Utiliz">Controls!$K$215</definedName>
    <definedName name="tlOutputGaugeYr1BusAEmp2Utiliz">Controls!$O$213</definedName>
    <definedName name="tlOutputGaugeYr1BusAEmp3Utiliz">Controls!$O$212</definedName>
    <definedName name="tlOutputGaugeYr1BusAEmp4Utiliz">Controls!$O$211</definedName>
    <definedName name="tlOutputGaugeYr1BusAEmp9Utiliz">Controls!$O$214</definedName>
    <definedName name="tlOutputGaugeYr1Emp6Utiliz">Controls!$O$215</definedName>
    <definedName name="tlOutputGaugeYr2BusAEmp2Utiliz">Controls!$S$213</definedName>
    <definedName name="tlOutputGaugeYr2BusAEmp3Utiliz">Controls!$S$212</definedName>
    <definedName name="tlOutputGaugeYr2BusAEmp4Utiliz">Controls!$S$211</definedName>
    <definedName name="tlOutputGaugeYr2BusAEmp9Utiliz">Controls!$S$214</definedName>
    <definedName name="tlOutputGaugeYr2Emp6Utiliz">Controls!$S$215</definedName>
    <definedName name="tlOutputIndustryEminence">toolDecSummary!$F$71</definedName>
    <definedName name="tlOutputInternalassets">toolDecSummary!$J$71</definedName>
    <definedName name="tlOutputPrac1OffshorePct">toolDecSummary!$F$28</definedName>
    <definedName name="tlOutputPrac2OffshorePct">toolDecSummary!$F$38</definedName>
    <definedName name="tlOutputPrac3OffshorePct">toolDecSummary!$F$48</definedName>
    <definedName name="tlOutputSpecProg1Check">tlInitiatives!$L$16</definedName>
    <definedName name="tlOutputSpecProg2Check">tlInitiatives!$L$18</definedName>
    <definedName name="tlOutputSpecProg3Check">tlInitiatives!$L$20</definedName>
    <definedName name="tlOutputSpecProg4Check">tlInitiatives!$L$22</definedName>
    <definedName name="tlOutputSpecProg5Check">tlInitiatives!$L$24</definedName>
    <definedName name="tlOutputSpecProg6Check">tlInitiatives!$J$26</definedName>
    <definedName name="tlOutputSpecProg7Check">tlInitiatives!$J$28</definedName>
    <definedName name="TOOLBAR1Cbar">Controls!$G$164</definedName>
    <definedName name="toolPeopleBCVariancePct">tlPeople!$F$204</definedName>
    <definedName name="toolPeopleSITVariancePct">tlPeople!$H$204</definedName>
    <definedName name="toolPeopleSWFVariancePct">tlPeople!$J$204</definedName>
    <definedName name="toolPeopleTargetBudgetEmp1">tlPeople!$L$307</definedName>
    <definedName name="toolPeopleTargetBudgetEmp2">tlPeople!$L$64</definedName>
    <definedName name="toolPeopleTargetBudgetEmp3">tlPeople!$J$64</definedName>
    <definedName name="toolPeopleTargetBudgetEmp4">tlPeople!$H$64</definedName>
    <definedName name="toolPeopleTargetBudgetEmp6">tlPeople!$N$64</definedName>
    <definedName name="toolPeopleTargetTrainEmp1">tlPeople!$L$303</definedName>
    <definedName name="toolPeopleTargetTrainEmp2">tlPeople!$L$60</definedName>
    <definedName name="toolPeopleTargetTrainEmp3">tlPeople!$J$60</definedName>
    <definedName name="toolPeopleTargetTrainEmp4">tlPeople!$H$60</definedName>
    <definedName name="toolPeopleTargetTrainEmp6">tlPeople!$N$60</definedName>
    <definedName name="what" localSheetId="13">tlPeople!what</definedName>
    <definedName name="what" localSheetId="15">tlPNLBusA!what</definedName>
    <definedName name="what" localSheetId="33">toolPNLBusB!what</definedName>
    <definedName name="what">[0]!what</definedName>
    <definedName name="Wobbler1Click" localSheetId="13">tlPeople!Wobbler1Click</definedName>
    <definedName name="Wobbler1Click" localSheetId="15">tlPNLBusA!Wobbler1Click</definedName>
    <definedName name="Wobbler1Click" localSheetId="33">toolPNLBusB!Wobbler1Click</definedName>
    <definedName name="Wobbler1Click">[0]!Wobbler1Click</definedName>
    <definedName name="Wobbler2Click" localSheetId="13">tlPeople!Wobbler2Click</definedName>
    <definedName name="Wobbler2Click" localSheetId="15">tlPNLBusA!Wobbler2Click</definedName>
    <definedName name="Wobbler2Click" localSheetId="33">toolPNLBusB!Wobbler2Click</definedName>
    <definedName name="Wobbler2Click">[0]!Wobbler2Click</definedName>
    <definedName name="Wobbler3Click" localSheetId="13">tlPeople!Wobbler3Click</definedName>
    <definedName name="Wobbler3Click" localSheetId="15">tlPNLBusA!Wobbler3Click</definedName>
    <definedName name="Wobbler3Click" localSheetId="33">toolPNLBusB!Wobbler3Click</definedName>
    <definedName name="Wobbler3Click">[0]!Wobbler3Click</definedName>
    <definedName name="Wobbler4Click" localSheetId="13">tlPeople!Wobbler4Click</definedName>
    <definedName name="Wobbler4Click" localSheetId="15">tlPNLBusA!Wobbler4Click</definedName>
    <definedName name="Wobbler4Click" localSheetId="33">toolPNLBusB!Wobbler4Click</definedName>
    <definedName name="Wobbler4Click">[0]!Wobbler4Click</definedName>
    <definedName name="Wobbler5Click" localSheetId="13">tlPeople!Wobbler5Click</definedName>
    <definedName name="Wobbler5Click" localSheetId="15">tlPNLBusA!Wobbler5Click</definedName>
    <definedName name="Wobbler5Click" localSheetId="33">toolPNLBusB!Wobbler5Click</definedName>
    <definedName name="Wobbler5Click">[0]!Wobbler5Click</definedName>
    <definedName name="Wobbler6Click" localSheetId="13">tlPeople!Wobbler6Click</definedName>
    <definedName name="Wobbler6Click" localSheetId="15">tlPNLBusA!Wobbler6Click</definedName>
    <definedName name="Wobbler6Click" localSheetId="33">toolPNLBusB!Wobbler6Click</definedName>
    <definedName name="Wobbler6Click">[0]!Wobbler6Click</definedName>
    <definedName name="Wobbler7Click" localSheetId="13">tlPeople!Wobbler7Click</definedName>
    <definedName name="Wobbler7Click" localSheetId="15">tlPNLBusA!Wobbler7Click</definedName>
    <definedName name="Wobbler7Click" localSheetId="33">toolPNLBusB!Wobbler7Click</definedName>
    <definedName name="Wobbler7Click">[0]!Wobbler7Click</definedName>
    <definedName name="Wobbler8Click" localSheetId="13">tlPeople!Wobbler8Click</definedName>
    <definedName name="Wobbler8Click" localSheetId="15">tlPNLBusA!Wobbler8Click</definedName>
    <definedName name="Wobbler8Click" localSheetId="33">toolPNLBusB!Wobbler8Click</definedName>
    <definedName name="Wobbler8Click">[0]!Wobbler8Click</definedName>
    <definedName name="Wobbler9Click" localSheetId="13">tlPeople!Wobbler9Click</definedName>
    <definedName name="Wobbler9Click" localSheetId="15">tlPNLBusA!Wobbler9Click</definedName>
    <definedName name="Wobbler9Click" localSheetId="33">toolPNLBusB!Wobbler9Click</definedName>
    <definedName name="Wobbler9Click">[0]!Wobbler9Click</definedName>
    <definedName name="xxcbalNewYearCopy">cbal!$E$4:$E$660</definedName>
    <definedName name="xxCommentRange">dec!$J$3:$J$307</definedName>
    <definedName name="xxContLangCode">Controls!$E$13</definedName>
    <definedName name="xxControlTeamNames">Controls!$E$11:$I$11</definedName>
    <definedName name="xxDashboard">Controls!$E$20</definedName>
    <definedName name="xxDashboardBusA">Controls!$E$21</definedName>
    <definedName name="xxDashboardBusA2">Controls!$E$22</definedName>
    <definedName name="xxDashboardBusA2SIT">Controls!$E$27</definedName>
    <definedName name="xxDashboardBusB">Controls!$E$23</definedName>
    <definedName name="xxDashboardBusB2">Controls!$E$24</definedName>
    <definedName name="xxDashboardEntSvcs">Controls!$E$25</definedName>
    <definedName name="xxDashboardEntSvcs2">Controls!$E$26</definedName>
    <definedName name="xxDecErrorCount">dec!$K$1</definedName>
    <definedName name="xxDecErrorGoto">dec!$L$1</definedName>
    <definedName name="xxDecErrorRange">dec!$K$3:$K$307</definedName>
    <definedName name="xxDecResetValues">dec!$G$3:$G$307</definedName>
    <definedName name="xxDecValuesCopy">dec!$E$3:$E$307</definedName>
    <definedName name="xxDecValuesPaste">dec!$O$3</definedName>
    <definedName name="xxDecXDataImport">dec!$E$3:$E$307</definedName>
    <definedName name="xxExcelVersion">Controls!$Q$10:$Q$14</definedName>
    <definedName name="xxExcelVersionCode">Controls!$N$5</definedName>
    <definedName name="xxExcelVersionDesc">Controls!$M$5</definedName>
    <definedName name="xxHoodClose">Controls!$E$28</definedName>
    <definedName name="xxIndexTeam" localSheetId="17">Controls!$E$111</definedName>
    <definedName name="xxIndexTeam">Controls!$E$9</definedName>
    <definedName name="xxMMProd1Driver1">DataPage!$C$121:$I$121</definedName>
    <definedName name="xxMMProd1Driver10">DataPage!$C$130:$I$130</definedName>
    <definedName name="xxMMProd1Driver2">DataPage!$C$122:$I$122</definedName>
    <definedName name="xxMMProd1Driver3">DataPage!$C$123:$I$123</definedName>
    <definedName name="xxMMProd1Driver4">DataPage!$C$124:$I$124</definedName>
    <definedName name="xxMMProd1Driver5">DataPage!$C$125:$I$125</definedName>
    <definedName name="xxMMProd1Driver6">DataPage!$C$126:$I$126</definedName>
    <definedName name="xxMMProd1Driver7">DataPage!$C$127:$I$127</definedName>
    <definedName name="xxMMProd1Driver8">DataPage!$C$128:$I$128</definedName>
    <definedName name="xxMMProd1Driver9">DataPage!$C$129:$I$129</definedName>
    <definedName name="xxMMProd1Seg1Units">DataPage!$C$111:$J$111</definedName>
    <definedName name="xxMMProd1Seg2Units">DataPage!$C$112:$J$112</definedName>
    <definedName name="xxMMProd1Seg3Units">DataPage!$C$113:$J$113</definedName>
    <definedName name="xxMMProd1Seg4Units">DataPage!$C$114:$J$114</definedName>
    <definedName name="xxMMProd1Seg5Units">DataPage!$C$115:$J$115</definedName>
    <definedName name="xxMMProd1Units">DataPage!$C$110:$J$110</definedName>
    <definedName name="xxMMProd2Driver1">DataPage!$C$146:$I$146</definedName>
    <definedName name="xxMMProd2Driver10">DataPage!$C$155:$I$155</definedName>
    <definedName name="xxMMProd2Driver2">DataPage!$C$147:$I$147</definedName>
    <definedName name="xxMMProd2Driver3">DataPage!$C$148:$I$148</definedName>
    <definedName name="xxMMProd2Driver4">DataPage!$C$149:$I$149</definedName>
    <definedName name="xxMMProd2Driver5">DataPage!$C$150:$I$150</definedName>
    <definedName name="xxMMProd2Driver6">DataPage!$C$151:$I$151</definedName>
    <definedName name="xxMMProd2Driver7">DataPage!$C$152:$I$152</definedName>
    <definedName name="xxMMProd2Driver8">DataPage!$C$153:$I$153</definedName>
    <definedName name="xxMMProd2Driver9">DataPage!$C$154:$I$154</definedName>
    <definedName name="xxMMProd2Seg1Units">DataPage!$C$136:$J$136</definedName>
    <definedName name="xxMMProd2Seg2Units">DataPage!$C$137:$J$137</definedName>
    <definedName name="xxMMProd2Seg3Units">DataPage!$C$138:$J$138</definedName>
    <definedName name="xxMMProd2Seg4Units">DataPage!$C$139:$J$139</definedName>
    <definedName name="xxMMProd2Seg5Units">DataPage!$C$140:$J$140</definedName>
    <definedName name="xxMMProd2Units">DataPage!$C$135:$J$135</definedName>
    <definedName name="xxMMProd3Driver1">DataPage!$C$171:$I$171</definedName>
    <definedName name="xxMMProd3Driver10">DataPage!$C$180:$I$180</definedName>
    <definedName name="xxMMProd3Driver2">DataPage!$C$172:$I$172</definedName>
    <definedName name="xxMMProd3Driver3">DataPage!$C$173:$I$173</definedName>
    <definedName name="xxMMProd3Driver4">DataPage!$C$174:$I$174</definedName>
    <definedName name="xxMMProd3Driver5">DataPage!$C$175:$I$175</definedName>
    <definedName name="xxMMProd3Driver6">DataPage!$C$176:$I$176</definedName>
    <definedName name="xxMMProd3Driver7">DataPage!$C$177:$I$177</definedName>
    <definedName name="xxMMProd3Driver8">DataPage!$C$178:$I$178</definedName>
    <definedName name="xxMMProd3Driver9">DataPage!$C$179:$I$179</definedName>
    <definedName name="xxMMProd3Seg1Units">DataPage!$C$161:$J$161</definedName>
    <definedName name="xxMMProd3Seg2Units">DataPage!$C$162:$J$162</definedName>
    <definedName name="xxMMProd3Seg3Units">DataPage!$C$163:$J$163</definedName>
    <definedName name="xxMMProd3Seg4Units">DataPage!$C$164:$J$164</definedName>
    <definedName name="xxMMProd3Seg5Units">DataPage!$C$165:$J$165</definedName>
    <definedName name="xxMMProd3Units">DataPage!$C$160:$J$160</definedName>
    <definedName name="xxMMProd4Driver1">DataPage!$C$196:$I$196</definedName>
    <definedName name="xxMMProd4Driver10">DataPage!$C$205:$I$205</definedName>
    <definedName name="xxMMProd4Driver2">DataPage!$C$197:$I$197</definedName>
    <definedName name="xxMMProd4Driver3">DataPage!$C$198:$I$198</definedName>
    <definedName name="xxMMProd4Driver4">DataPage!$C$199:$I$199</definedName>
    <definedName name="xxMMProd4Driver5">DataPage!$C$200:$I$200</definedName>
    <definedName name="xxMMProd4Driver6">DataPage!$C$201:$I$201</definedName>
    <definedName name="xxMMProd4Driver7">DataPage!$C$202:$I$202</definedName>
    <definedName name="xxMMProd4Driver8">DataPage!$C$203:$I$203</definedName>
    <definedName name="xxMMProd4Driver9">DataPage!$C$204:$I$204</definedName>
    <definedName name="xxMMProd4Seg1Units">DataPage!$C$186:$J$186</definedName>
    <definedName name="xxMMProd4Seg2Units">DataPage!$C$187:$J$187</definedName>
    <definedName name="xxMMProd4Seg3Units">DataPage!$C$188:$J$188</definedName>
    <definedName name="xxMMProd4Seg4Units">DataPage!$C$189:$J$189</definedName>
    <definedName name="xxMMProd4Seg5Units">DataPage!$C$190:$J$190</definedName>
    <definedName name="xxMMProd4Units">DataPage!$C$185:$J$185</definedName>
    <definedName name="xxMMProd5Driver1">DataPage!$C$224:$I$224</definedName>
    <definedName name="xxMMProd5Driver10">DataPage!$C$233:$I$233</definedName>
    <definedName name="xxMMProd5Driver2">DataPage!$C$225:$I$225</definedName>
    <definedName name="xxMMProd5Driver3">DataPage!$C$226:$I$226</definedName>
    <definedName name="xxMMProd5Driver4">DataPage!$C$227:$I$227</definedName>
    <definedName name="xxMMProd5Driver5">DataPage!$C$228:$I$228</definedName>
    <definedName name="xxMMProd5Driver6">DataPage!$C$229:$I$229</definedName>
    <definedName name="xxMMProd5Driver7">DataPage!$C$230:$I$230</definedName>
    <definedName name="xxMMProd5Driver8">DataPage!$C$231:$I$231</definedName>
    <definedName name="xxMMProd5Driver9">DataPage!$C$232:$I$232</definedName>
    <definedName name="xxMMProd5Seg1Units">DataPage!$C$211:$J$211</definedName>
    <definedName name="xxMMProd5Seg2Units">DataPage!$C$212:$J$212</definedName>
    <definedName name="xxMMProd5Seg3Units">DataPage!$C$213:$J$213</definedName>
    <definedName name="xxMMProd5Seg4Units">DataPage!$C$214:$J$214</definedName>
    <definedName name="xxMMProd5Seg5Units">DataPage!$C$215:$J$215</definedName>
    <definedName name="xxMMProd5Seg6Units">DataPage!$C$216:$J$216</definedName>
    <definedName name="xxMMProd5Seg7Units">DataPage!$C$217:$J$217</definedName>
    <definedName name="xxMMProd5Seg8Units">DataPage!$C$218:$J$218</definedName>
    <definedName name="xxMMProd5Units">DataPage!$C$210:$J$210</definedName>
    <definedName name="xxMMProd6Driver1">DataPage!$C$249:$I$249</definedName>
    <definedName name="xxMMProd6Driver10">DataPage!$C$258:$I$258</definedName>
    <definedName name="xxMMProd6Driver2">DataPage!$C$250:$I$250</definedName>
    <definedName name="xxMMProd6Driver3">DataPage!$C$251:$I$251</definedName>
    <definedName name="xxMMProd6Driver4">DataPage!$C$252:$I$252</definedName>
    <definedName name="xxMMProd6Driver5">DataPage!$C$253:$I$253</definedName>
    <definedName name="xxMMProd6Driver6">DataPage!$C$254:$I$254</definedName>
    <definedName name="xxMMProd6Driver7">DataPage!$C$255:$I$255</definedName>
    <definedName name="xxMMProd6Driver8">DataPage!$C$256:$I$256</definedName>
    <definedName name="xxMMProd6Driver9">DataPage!$C$257:$I$257</definedName>
    <definedName name="xxMMProd6Seg1Units">DataPage!$C$239:$J$239</definedName>
    <definedName name="xxMMProd6Seg2Units">DataPage!$C$240:$J$240</definedName>
    <definedName name="xxMMProd6Seg3Units">DataPage!$C$241:$J$241</definedName>
    <definedName name="xxMMProd6Seg4Units">DataPage!$C$242:$J$242</definedName>
    <definedName name="xxMMProd6Seg5Units">DataPage!$C$243:$J$243</definedName>
    <definedName name="xxMMProd6Units">DataPage!$C$238:$J$238</definedName>
    <definedName name="xxNumOfTeams">Controls!$E$5</definedName>
    <definedName name="xxobalTeam1">obal!$E$4:$E$660</definedName>
    <definedName name="xxobalYear0Copy">obal!$K$4:$K$660</definedName>
    <definedName name="xxobalYear1Copy">obal!$L$4:$L$660</definedName>
    <definedName name="xxPopupWobblerCurrent">DataPage!$C$519</definedName>
    <definedName name="xxPopupWobblerCurrentY4">DataPage!$I$519</definedName>
    <definedName name="xxPopupWobblerDecLookup">DataPage!$P$523</definedName>
    <definedName name="xxPopupWobblerDecMinDiff">DataPage!$Q$523</definedName>
    <definedName name="xxPopupWobblerDescription">DataPage!$F$523</definedName>
    <definedName name="xxPopupWobblerExplain1Next">DataPage!$K$523</definedName>
    <definedName name="xxPopupWobblerExplain1Text">DataPage!$J$523</definedName>
    <definedName name="xxPopupWobblerExplain2Next">DataPage!$M$523</definedName>
    <definedName name="xxPopupWobblerExplain2Text">DataPage!$L$523</definedName>
    <definedName name="xxPopupWobblerExplain3Next">DataPage!$O$523</definedName>
    <definedName name="xxPopupWobblerExplain3Text">DataPage!$N$523</definedName>
    <definedName name="xxPopupWobblerMax">DataPage!$C$518</definedName>
    <definedName name="xxPopupWobblerNumber">DataPage!$B$523</definedName>
    <definedName name="xxPopupWobblerOption1Text">DataPage!$G$523</definedName>
    <definedName name="xxPopupWobblerOption2Text">DataPage!$H$523</definedName>
    <definedName name="xxPopupWobblerOption3Text">DataPage!$I$523</definedName>
    <definedName name="xxPopupWobblerSlotNumber">DataPage!$D$523</definedName>
    <definedName name="xxPopupWobblerStartY1">DataPage!$F$519</definedName>
    <definedName name="xxPopupWobblerStartY2">DataPage!$G$519</definedName>
    <definedName name="xxPopupWobblerStartY3">DataPage!$H$519</definedName>
    <definedName name="xxPopupWobblerTitle">DataPage!$E$523</definedName>
    <definedName name="xxProd1BaseUnits">DataPage!$C$67</definedName>
    <definedName name="xxProd1Year0Vol">DataPage!$C$67</definedName>
    <definedName name="xxProd2BaseUnits">DataPage!$C$68</definedName>
    <definedName name="xxProd3BaseUnits">DataPage!$C$69</definedName>
    <definedName name="xxProd4BaseUnits">DataPage!$C$70</definedName>
    <definedName name="xxProd5BaseUnits">DataPage!$C$71</definedName>
    <definedName name="xxProd6BaseUnits">DataPage!$C$72</definedName>
    <definedName name="xxQAT">Controls!$K$12</definedName>
    <definedName name="xxRegSet">Controls!$Q$3:$Q$8</definedName>
    <definedName name="xxRegSetCode">Controls!$N$3</definedName>
    <definedName name="xxRegSetLang">Controls!$M$3</definedName>
    <definedName name="xxResetDecXFormulasCopy">dec!$H$3:$H$307</definedName>
    <definedName name="xxShadedColor">Controls!$I$43</definedName>
    <definedName name="xxSim0Tool1">Controls!$E$3</definedName>
    <definedName name="xxSpecProgClear">tlInitiatives!$D$16:$D$28</definedName>
    <definedName name="xxtlInputColorLocked">Controls!$E$30</definedName>
    <definedName name="xxtlInputColorUnLocked">Controls!$E$32</definedName>
    <definedName name="xxtoolIntroZoom">toolIntro!$A$4:$L$4</definedName>
    <definedName name="xxWobblersAvailable">adj!$B$225:$B$275</definedName>
    <definedName name="xxWobblersCurrent">dec!$D$285:$D$288</definedName>
    <definedName name="xxWobblersUsed">obal!$E$505:$E$562</definedName>
    <definedName name="xxWobblersValid">adj!$B$225:$B$275</definedName>
    <definedName name="xxYear">Controls!$E$7</definedName>
    <definedName name="xxYear0Copy">obal!$K$4:$K$660</definedName>
  </definedNames>
  <calcPr calcId="171027" calcMode="manual"/>
</workbook>
</file>

<file path=xl/calcChain.xml><?xml version="1.0" encoding="utf-8"?>
<calcChain xmlns="http://schemas.openxmlformats.org/spreadsheetml/2006/main">
  <c r="E288" i="3" l="1"/>
  <c r="E287" i="3"/>
  <c r="E286" i="3"/>
  <c r="E285" i="3"/>
  <c r="E271" i="3"/>
  <c r="E270" i="3"/>
  <c r="E267" i="3"/>
  <c r="E266" i="3"/>
  <c r="E265" i="3"/>
  <c r="E264" i="3"/>
  <c r="E261" i="3"/>
  <c r="E260" i="3"/>
  <c r="E259" i="3"/>
  <c r="E257" i="3"/>
  <c r="E256" i="3"/>
  <c r="E255" i="3"/>
  <c r="E254" i="3"/>
  <c r="E253" i="3"/>
  <c r="E251" i="3"/>
  <c r="E250" i="3"/>
  <c r="E249" i="3"/>
  <c r="E248" i="3"/>
  <c r="E247" i="3"/>
  <c r="E244" i="3"/>
  <c r="E243" i="3"/>
  <c r="E240" i="3"/>
  <c r="E239" i="3"/>
  <c r="E238" i="3"/>
  <c r="E237" i="3"/>
  <c r="E235" i="3"/>
  <c r="E234" i="3"/>
  <c r="E233" i="3"/>
  <c r="E232" i="3"/>
  <c r="E229" i="3"/>
  <c r="E225" i="3"/>
  <c r="E224" i="3"/>
  <c r="E223" i="3"/>
  <c r="E221" i="3"/>
  <c r="E220" i="3"/>
  <c r="E219" i="3"/>
  <c r="E218" i="3"/>
  <c r="E217" i="3"/>
  <c r="E216" i="3"/>
  <c r="E215" i="3"/>
  <c r="E211" i="3"/>
  <c r="E210" i="3"/>
  <c r="E209" i="3"/>
  <c r="E208" i="3"/>
  <c r="E205" i="3"/>
  <c r="E204" i="3"/>
  <c r="E203" i="3"/>
  <c r="E200" i="3"/>
  <c r="E199" i="3"/>
  <c r="E198" i="3"/>
  <c r="E195" i="3"/>
  <c r="E194" i="3"/>
  <c r="E193" i="3"/>
  <c r="E185"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47" i="3"/>
  <c r="E146" i="3"/>
  <c r="E145" i="3"/>
  <c r="E144" i="3"/>
  <c r="E143" i="3"/>
  <c r="E142" i="3"/>
  <c r="E141" i="3"/>
  <c r="E140" i="3"/>
  <c r="E139" i="3"/>
  <c r="E129" i="3"/>
  <c r="E128" i="3"/>
  <c r="E127" i="3"/>
  <c r="E126" i="3"/>
  <c r="E125" i="3"/>
  <c r="E124" i="3"/>
  <c r="E123" i="3"/>
  <c r="E122" i="3"/>
  <c r="E121" i="3"/>
  <c r="E118" i="3"/>
  <c r="E117" i="3"/>
  <c r="E116" i="3"/>
  <c r="E115" i="3"/>
  <c r="E112" i="3"/>
  <c r="E111" i="3"/>
  <c r="E110" i="3"/>
  <c r="E107" i="3"/>
  <c r="E105" i="3"/>
  <c r="E104" i="3"/>
  <c r="E103" i="3"/>
  <c r="E101" i="3"/>
  <c r="E100" i="3"/>
  <c r="E99" i="3"/>
  <c r="E97" i="3"/>
  <c r="E96" i="3"/>
  <c r="E95" i="3"/>
  <c r="E93" i="3"/>
  <c r="E92" i="3"/>
  <c r="E91" i="3"/>
  <c r="E89" i="3"/>
  <c r="E88" i="3"/>
  <c r="E87" i="3"/>
  <c r="E81" i="3"/>
  <c r="E80" i="3"/>
  <c r="E79" i="3"/>
  <c r="E73" i="3"/>
  <c r="E72" i="3"/>
  <c r="E71" i="3"/>
  <c r="E67" i="3"/>
  <c r="E66" i="3"/>
  <c r="E65" i="3"/>
  <c r="E62" i="3"/>
  <c r="E61" i="3"/>
  <c r="E60" i="3"/>
  <c r="E58" i="3"/>
  <c r="E57" i="3"/>
  <c r="E56" i="3"/>
  <c r="E54" i="3"/>
  <c r="E53" i="3"/>
  <c r="E52" i="3"/>
  <c r="E50" i="3"/>
  <c r="E49" i="3"/>
  <c r="E48" i="3"/>
  <c r="E46" i="3"/>
  <c r="E45" i="3"/>
  <c r="E44" i="3"/>
  <c r="E42" i="3"/>
  <c r="E41" i="3"/>
  <c r="E40" i="3"/>
  <c r="E38" i="3"/>
  <c r="E37" i="3"/>
  <c r="E36" i="3"/>
  <c r="E34" i="3"/>
  <c r="E33" i="3"/>
  <c r="E32" i="3"/>
  <c r="E30" i="3"/>
  <c r="E29" i="3"/>
  <c r="E28" i="3"/>
  <c r="E21" i="3"/>
  <c r="E20" i="3"/>
  <c r="E19" i="3"/>
  <c r="E17" i="3"/>
  <c r="E16" i="3"/>
  <c r="E15" i="3"/>
  <c r="E13" i="3"/>
  <c r="E12" i="3"/>
  <c r="E11" i="3"/>
  <c r="E5" i="3"/>
  <c r="E4" i="3"/>
  <c r="E3" i="3"/>
  <c r="N64" i="56"/>
  <c r="L64" i="56"/>
  <c r="J64" i="56"/>
  <c r="H64" i="56"/>
  <c r="N60" i="56"/>
  <c r="L60" i="56"/>
  <c r="J60" i="56"/>
  <c r="H60" i="56"/>
  <c r="E222" i="2" l="1"/>
  <c r="E221" i="2"/>
  <c r="L23" i="62"/>
  <c r="J23" i="62"/>
  <c r="H23" i="62"/>
  <c r="E1904" i="19" l="1"/>
  <c r="E1903" i="19"/>
  <c r="E1902" i="19"/>
  <c r="E1901" i="19"/>
  <c r="E1905" i="19" l="1"/>
  <c r="E1900" i="19" s="1"/>
  <c r="K8" i="3" s="1"/>
  <c r="G1900" i="19"/>
  <c r="E505" i="2"/>
  <c r="E220" i="2"/>
  <c r="G1903" i="19"/>
  <c r="G1902" i="19"/>
  <c r="G1901" i="19"/>
  <c r="G1899" i="19"/>
  <c r="G1898" i="19"/>
  <c r="G1896" i="19"/>
  <c r="G1895" i="19"/>
  <c r="G1891" i="19"/>
  <c r="G1890" i="19"/>
  <c r="G1885" i="19"/>
  <c r="G1884" i="19"/>
  <c r="G1879" i="19"/>
  <c r="G1878" i="19"/>
  <c r="G1877" i="19"/>
  <c r="G1875" i="19"/>
  <c r="G1847" i="19"/>
  <c r="G1837" i="19"/>
  <c r="G1835" i="19"/>
  <c r="G1831" i="19"/>
  <c r="G1830" i="19"/>
  <c r="H288" i="3"/>
  <c r="H287" i="3"/>
  <c r="H286" i="3"/>
  <c r="H285" i="3"/>
  <c r="H271" i="3"/>
  <c r="H270" i="3"/>
  <c r="H267" i="3"/>
  <c r="H266" i="3"/>
  <c r="H265" i="3"/>
  <c r="H264" i="3"/>
  <c r="H261" i="3"/>
  <c r="H260" i="3"/>
  <c r="H259" i="3"/>
  <c r="H257" i="3"/>
  <c r="H256" i="3"/>
  <c r="H255" i="3"/>
  <c r="H254" i="3"/>
  <c r="H253" i="3"/>
  <c r="H251" i="3"/>
  <c r="H250" i="3"/>
  <c r="H249" i="3"/>
  <c r="H248" i="3"/>
  <c r="H247" i="3"/>
  <c r="H244" i="3"/>
  <c r="H243" i="3"/>
  <c r="H240" i="3"/>
  <c r="H239" i="3"/>
  <c r="H238" i="3"/>
  <c r="H237" i="3"/>
  <c r="H235" i="3"/>
  <c r="H234" i="3"/>
  <c r="H233" i="3"/>
  <c r="H232" i="3"/>
  <c r="H229" i="3"/>
  <c r="H225" i="3"/>
  <c r="H224" i="3"/>
  <c r="H223" i="3"/>
  <c r="H221" i="3"/>
  <c r="H220" i="3"/>
  <c r="H219" i="3"/>
  <c r="H218" i="3"/>
  <c r="H217" i="3"/>
  <c r="H216" i="3"/>
  <c r="H215" i="3"/>
  <c r="H211" i="3"/>
  <c r="H210" i="3"/>
  <c r="H209" i="3"/>
  <c r="H208" i="3"/>
  <c r="H205" i="3"/>
  <c r="H204" i="3"/>
  <c r="H203" i="3"/>
  <c r="H200" i="3"/>
  <c r="H199" i="3"/>
  <c r="H198" i="3"/>
  <c r="H195" i="3"/>
  <c r="H194" i="3"/>
  <c r="H193" i="3"/>
  <c r="H185"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47" i="3"/>
  <c r="H146" i="3"/>
  <c r="H145" i="3"/>
  <c r="H144" i="3"/>
  <c r="H143" i="3"/>
  <c r="H142" i="3"/>
  <c r="H141" i="3"/>
  <c r="H140" i="3"/>
  <c r="H139" i="3"/>
  <c r="H129" i="3"/>
  <c r="H128" i="3"/>
  <c r="H127" i="3"/>
  <c r="H126" i="3"/>
  <c r="H125" i="3"/>
  <c r="H124" i="3"/>
  <c r="H123" i="3"/>
  <c r="H122" i="3"/>
  <c r="H121" i="3"/>
  <c r="H118" i="3"/>
  <c r="H117" i="3"/>
  <c r="H116" i="3"/>
  <c r="H115" i="3"/>
  <c r="H112" i="3"/>
  <c r="H111" i="3"/>
  <c r="H110" i="3"/>
  <c r="H107" i="3"/>
  <c r="H105" i="3"/>
  <c r="H104" i="3"/>
  <c r="H103" i="3"/>
  <c r="H101" i="3"/>
  <c r="H100" i="3"/>
  <c r="H99" i="3"/>
  <c r="H97" i="3"/>
  <c r="H96" i="3"/>
  <c r="H95" i="3"/>
  <c r="H93" i="3"/>
  <c r="H92" i="3"/>
  <c r="H91" i="3"/>
  <c r="H89" i="3"/>
  <c r="H88" i="3"/>
  <c r="H87" i="3"/>
  <c r="H81" i="3"/>
  <c r="H80" i="3"/>
  <c r="H79" i="3"/>
  <c r="H73" i="3"/>
  <c r="H72" i="3"/>
  <c r="H71" i="3"/>
  <c r="H67" i="3"/>
  <c r="H66" i="3"/>
  <c r="H65" i="3"/>
  <c r="H62" i="3"/>
  <c r="H61" i="3"/>
  <c r="H60" i="3"/>
  <c r="H58" i="3"/>
  <c r="H57" i="3"/>
  <c r="H56" i="3"/>
  <c r="H54" i="3"/>
  <c r="H53" i="3"/>
  <c r="H52" i="3"/>
  <c r="H50" i="3"/>
  <c r="H49" i="3"/>
  <c r="H48" i="3"/>
  <c r="H46" i="3"/>
  <c r="H45" i="3"/>
  <c r="H44" i="3"/>
  <c r="H42" i="3"/>
  <c r="H41" i="3"/>
  <c r="H40" i="3"/>
  <c r="H38" i="3"/>
  <c r="H37" i="3"/>
  <c r="H36" i="3"/>
  <c r="H34" i="3"/>
  <c r="H33" i="3"/>
  <c r="H32" i="3"/>
  <c r="H30" i="3"/>
  <c r="H29" i="3"/>
  <c r="H28" i="3"/>
  <c r="H21" i="3"/>
  <c r="H20" i="3"/>
  <c r="H19" i="3"/>
  <c r="H17" i="3"/>
  <c r="H16" i="3"/>
  <c r="H15" i="3"/>
  <c r="H13" i="3"/>
  <c r="H12" i="3"/>
  <c r="H11" i="3"/>
  <c r="H4" i="3"/>
  <c r="H3" i="3"/>
  <c r="E1897" i="19" l="1"/>
  <c r="E1892" i="19"/>
  <c r="E1894" i="19"/>
  <c r="E1893" i="19"/>
  <c r="E1889" i="19"/>
  <c r="E438" i="19"/>
  <c r="E511" i="19"/>
  <c r="E593" i="19"/>
  <c r="E673" i="19"/>
  <c r="E1876" i="19"/>
  <c r="E1836" i="19"/>
  <c r="G1876" i="19" l="1"/>
  <c r="G1836" i="19"/>
  <c r="G1889" i="19"/>
  <c r="G1897" i="19"/>
  <c r="E1880" i="19"/>
  <c r="G1880" i="19" s="1"/>
  <c r="E1883" i="19"/>
  <c r="G1883" i="19" s="1"/>
  <c r="E1881" i="19"/>
  <c r="G1881" i="19" s="1"/>
  <c r="E1882" i="19"/>
  <c r="G1882" i="19" s="1"/>
  <c r="E1834" i="19"/>
  <c r="E1833" i="19"/>
  <c r="E1832" i="19"/>
  <c r="G1834" i="19" l="1"/>
  <c r="G1832" i="19"/>
  <c r="G1833" i="19"/>
  <c r="I14" i="20"/>
  <c r="H5" i="3" l="1"/>
  <c r="E654" i="2"/>
  <c r="S208" i="5" s="1"/>
  <c r="E653" i="2"/>
  <c r="S207" i="5" s="1"/>
  <c r="E652" i="2"/>
  <c r="S206" i="5" s="1"/>
  <c r="E651" i="2"/>
  <c r="S205" i="5" s="1"/>
  <c r="E650" i="2"/>
  <c r="S204" i="5" s="1"/>
  <c r="E649" i="2"/>
  <c r="S201" i="5" s="1"/>
  <c r="E648" i="2"/>
  <c r="S200" i="5" s="1"/>
  <c r="E647" i="2"/>
  <c r="S199" i="5" s="1"/>
  <c r="E646" i="2"/>
  <c r="S198" i="5" s="1"/>
  <c r="E645" i="2"/>
  <c r="S196" i="5" s="1"/>
  <c r="E644" i="2"/>
  <c r="S194" i="5" s="1"/>
  <c r="E643" i="2"/>
  <c r="S192" i="5" s="1"/>
  <c r="E642" i="2"/>
  <c r="S191" i="5" s="1"/>
  <c r="E641" i="2"/>
  <c r="S189" i="5" s="1"/>
  <c r="E640" i="2"/>
  <c r="S188" i="5" s="1"/>
  <c r="E639" i="2"/>
  <c r="S187" i="5" s="1"/>
  <c r="E638" i="2"/>
  <c r="S186" i="5" s="1"/>
  <c r="E637" i="2"/>
  <c r="S184" i="5" s="1"/>
  <c r="E636" i="2"/>
  <c r="S183" i="5" s="1"/>
  <c r="E635" i="2"/>
  <c r="S182" i="5" s="1"/>
  <c r="E634" i="2"/>
  <c r="S180" i="5" s="1"/>
  <c r="E633" i="2"/>
  <c r="S179" i="5" s="1"/>
  <c r="E632" i="2"/>
  <c r="S178" i="5" s="1"/>
  <c r="E631" i="2"/>
  <c r="S176" i="5" s="1"/>
  <c r="E630" i="2"/>
  <c r="S175" i="5" s="1"/>
  <c r="E629" i="2"/>
  <c r="S174" i="5" s="1"/>
  <c r="E628" i="2"/>
  <c r="S173" i="5" s="1"/>
  <c r="E627" i="2"/>
  <c r="S172" i="5" s="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H626" i="2"/>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H597" i="2"/>
  <c r="H567" i="2"/>
  <c r="H568" i="2"/>
  <c r="H655" i="2"/>
  <c r="H656" i="2"/>
  <c r="H657" i="2"/>
  <c r="H658" i="2"/>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655" i="1"/>
  <c r="L656" i="1"/>
  <c r="L657" i="1"/>
  <c r="L658" i="1"/>
  <c r="L659" i="1"/>
  <c r="E523" i="2"/>
  <c r="M7" i="62"/>
  <c r="M7" i="39"/>
  <c r="M7" i="60"/>
  <c r="M7" i="61"/>
  <c r="O8" i="56"/>
  <c r="S8" i="41"/>
  <c r="H50" i="2"/>
  <c r="G1894" i="19"/>
  <c r="G1893" i="19"/>
  <c r="G1892" i="19"/>
  <c r="E1888" i="19"/>
  <c r="E1887" i="19"/>
  <c r="E1886" i="19"/>
  <c r="G1888" i="19" l="1"/>
  <c r="G1887" i="19"/>
  <c r="G1886" i="19"/>
  <c r="E1852" i="19"/>
  <c r="E1870" i="19"/>
  <c r="E1842" i="19"/>
  <c r="E1861" i="19"/>
  <c r="E1839" i="19"/>
  <c r="E1867" i="19"/>
  <c r="E1858" i="19"/>
  <c r="E1849" i="19"/>
  <c r="E1843" i="19"/>
  <c r="E1853" i="19"/>
  <c r="E1871" i="19"/>
  <c r="E1862" i="19"/>
  <c r="E1859" i="19"/>
  <c r="E1850" i="19"/>
  <c r="E1868" i="19"/>
  <c r="E1840" i="19"/>
  <c r="E1863" i="19"/>
  <c r="E1854" i="19"/>
  <c r="E1872" i="19"/>
  <c r="E1844" i="19"/>
  <c r="E1866" i="19"/>
  <c r="E1857" i="19"/>
  <c r="E1848" i="19"/>
  <c r="E1838" i="19"/>
  <c r="E1865" i="19"/>
  <c r="E1856" i="19"/>
  <c r="E1846" i="19"/>
  <c r="E1874" i="19"/>
  <c r="E1869" i="19"/>
  <c r="E1851" i="19"/>
  <c r="E1841" i="19"/>
  <c r="E1860" i="19"/>
  <c r="E1873" i="19"/>
  <c r="E1864" i="19"/>
  <c r="E1855" i="19"/>
  <c r="E1845" i="19"/>
  <c r="H629" i="2"/>
  <c r="H652" i="2"/>
  <c r="H654" i="2"/>
  <c r="H653" i="2"/>
  <c r="H651" i="2"/>
  <c r="H650" i="2"/>
  <c r="H649" i="2"/>
  <c r="H648" i="2"/>
  <c r="H647" i="2"/>
  <c r="H646" i="2"/>
  <c r="H645" i="2"/>
  <c r="H644" i="2"/>
  <c r="H643" i="2"/>
  <c r="H642" i="2"/>
  <c r="H641" i="2"/>
  <c r="H640" i="2"/>
  <c r="H639" i="2"/>
  <c r="H638" i="2"/>
  <c r="H637" i="2"/>
  <c r="H636" i="2"/>
  <c r="H635" i="2"/>
  <c r="H634" i="2"/>
  <c r="H633" i="2"/>
  <c r="H632" i="2"/>
  <c r="H631" i="2"/>
  <c r="H630" i="2"/>
  <c r="H628" i="2"/>
  <c r="H627" i="2"/>
  <c r="G1865" i="19" l="1"/>
  <c r="G1866" i="19"/>
  <c r="G1843" i="19"/>
  <c r="G1839" i="19"/>
  <c r="G1852" i="19"/>
  <c r="G1869" i="19"/>
  <c r="G1859" i="19"/>
  <c r="G1873" i="19"/>
  <c r="G1845" i="19"/>
  <c r="G1860" i="19"/>
  <c r="G1874" i="19"/>
  <c r="G1838" i="19"/>
  <c r="G1844" i="19"/>
  <c r="G1840" i="19"/>
  <c r="G1862" i="19"/>
  <c r="G1849" i="19"/>
  <c r="G1861" i="19"/>
  <c r="G1855" i="19"/>
  <c r="G1841" i="19"/>
  <c r="G1846" i="19"/>
  <c r="G1848" i="19"/>
  <c r="G1872" i="19"/>
  <c r="G1868" i="19"/>
  <c r="G1871" i="19"/>
  <c r="G1858" i="19"/>
  <c r="G1842" i="19"/>
  <c r="G1863" i="19"/>
  <c r="G1864" i="19"/>
  <c r="G1851" i="19"/>
  <c r="G1856" i="19"/>
  <c r="G1857" i="19"/>
  <c r="G1854" i="19"/>
  <c r="G1850" i="19"/>
  <c r="G1853" i="19"/>
  <c r="G1867" i="19"/>
  <c r="G1870" i="19"/>
  <c r="N5" i="4"/>
  <c r="N6" i="4"/>
  <c r="N7" i="4"/>
  <c r="N8" i="4"/>
  <c r="N9" i="4"/>
  <c r="N10" i="4"/>
  <c r="N11" i="4"/>
  <c r="N12" i="4"/>
  <c r="N13" i="4"/>
  <c r="N15" i="4"/>
  <c r="N18" i="4"/>
  <c r="N19" i="4"/>
  <c r="N20" i="4"/>
  <c r="N21" i="4"/>
  <c r="N22" i="4"/>
  <c r="N23" i="4"/>
  <c r="N24" i="4"/>
  <c r="N25" i="4"/>
  <c r="N26" i="4"/>
  <c r="N27" i="4"/>
  <c r="N28" i="4"/>
  <c r="N29" i="4"/>
  <c r="N30" i="4"/>
  <c r="N31" i="4"/>
  <c r="N32" i="4"/>
  <c r="N33" i="4"/>
  <c r="N34" i="4"/>
  <c r="N35" i="4"/>
  <c r="N36" i="4"/>
  <c r="N38" i="4"/>
  <c r="N39" i="4"/>
  <c r="N40" i="4"/>
  <c r="N41" i="4"/>
  <c r="N42" i="4"/>
  <c r="N43" i="4"/>
  <c r="N44" i="4"/>
  <c r="N45" i="4"/>
  <c r="N46" i="4"/>
  <c r="N47" i="4"/>
  <c r="N48" i="4"/>
  <c r="N49" i="4"/>
  <c r="N50" i="4"/>
  <c r="N51" i="4"/>
  <c r="N52" i="4"/>
  <c r="N53" i="4"/>
  <c r="N54" i="4"/>
  <c r="N55" i="4"/>
  <c r="N56" i="4"/>
  <c r="N57" i="4"/>
  <c r="N59" i="4"/>
  <c r="N60" i="4"/>
  <c r="N61" i="4"/>
  <c r="N62" i="4"/>
  <c r="N63" i="4"/>
  <c r="N64" i="4"/>
  <c r="N65" i="4"/>
  <c r="N66" i="4"/>
  <c r="N67" i="4"/>
  <c r="N68" i="4"/>
  <c r="N69" i="4"/>
  <c r="N70" i="4"/>
  <c r="N71" i="4"/>
  <c r="N72" i="4"/>
  <c r="N73" i="4"/>
  <c r="N74" i="4"/>
  <c r="N75" i="4"/>
  <c r="N76" i="4"/>
  <c r="N77" i="4"/>
  <c r="N78" i="4"/>
  <c r="N79" i="4"/>
  <c r="N81" i="4"/>
  <c r="N82" i="4"/>
  <c r="N83" i="4"/>
  <c r="N84" i="4"/>
  <c r="N85" i="4"/>
  <c r="N86" i="4"/>
  <c r="N87" i="4"/>
  <c r="N88" i="4"/>
  <c r="N89" i="4"/>
  <c r="N90" i="4"/>
  <c r="N91"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9" i="4"/>
  <c r="N141" i="4"/>
  <c r="N142" i="4"/>
  <c r="N146" i="4"/>
  <c r="N147" i="4"/>
  <c r="N148" i="4"/>
  <c r="N149" i="4"/>
  <c r="N150" i="4"/>
  <c r="N151" i="4"/>
  <c r="N152" i="4"/>
  <c r="N153" i="4"/>
  <c r="N154" i="4"/>
  <c r="N155" i="4"/>
  <c r="N156" i="4"/>
  <c r="N157" i="4"/>
  <c r="N158" i="4"/>
  <c r="N160" i="4"/>
  <c r="N161" i="4"/>
  <c r="N163" i="4"/>
  <c r="N164" i="4"/>
  <c r="N167" i="4"/>
  <c r="N168" i="4"/>
  <c r="N169" i="4"/>
  <c r="N170" i="4"/>
  <c r="N171" i="4"/>
  <c r="N172" i="4"/>
  <c r="N173" i="4"/>
  <c r="N174" i="4"/>
  <c r="N175" i="4"/>
  <c r="N176" i="4"/>
  <c r="N177" i="4"/>
  <c r="N178" i="4"/>
  <c r="N179" i="4"/>
  <c r="N180" i="4"/>
  <c r="N182" i="4"/>
  <c r="N184" i="4"/>
  <c r="N185" i="4"/>
  <c r="N186" i="4"/>
  <c r="N189" i="4"/>
  <c r="N190" i="4"/>
  <c r="N191" i="4"/>
  <c r="N192" i="4"/>
  <c r="N193" i="4"/>
  <c r="N194" i="4"/>
  <c r="N195" i="4"/>
  <c r="N196" i="4"/>
  <c r="N197" i="4"/>
  <c r="N198" i="4"/>
  <c r="N199" i="4"/>
  <c r="N200" i="4"/>
  <c r="N201" i="4"/>
  <c r="N202" i="4"/>
  <c r="N204" i="4"/>
  <c r="N206" i="4"/>
  <c r="N207" i="4"/>
  <c r="N208"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3" i="4"/>
  <c r="N244" i="4"/>
  <c r="N245" i="4"/>
  <c r="N246"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63" i="4"/>
  <c r="N364" i="4"/>
  <c r="N365" i="4"/>
  <c r="N366" i="4"/>
  <c r="N367" i="4"/>
  <c r="N368" i="4"/>
  <c r="N369" i="4"/>
  <c r="N375" i="4"/>
  <c r="N376" i="4"/>
  <c r="N377" i="4"/>
  <c r="N378" i="4"/>
  <c r="N379" i="4"/>
  <c r="N380" i="4"/>
  <c r="N381" i="4"/>
  <c r="N382" i="4"/>
  <c r="N386" i="4"/>
  <c r="N387" i="4"/>
  <c r="N388" i="4"/>
  <c r="N389" i="4"/>
  <c r="N391" i="4"/>
  <c r="N392" i="4"/>
  <c r="N393" i="4"/>
  <c r="N394" i="4"/>
  <c r="N395" i="4"/>
  <c r="N396" i="4"/>
  <c r="N397" i="4"/>
  <c r="N398" i="4"/>
  <c r="N402" i="4"/>
  <c r="N403" i="4"/>
  <c r="N404" i="4"/>
  <c r="N405" i="4"/>
  <c r="N406" i="4"/>
  <c r="N407" i="4"/>
  <c r="N408" i="4"/>
  <c r="N415" i="4"/>
  <c r="N416" i="4"/>
  <c r="N417" i="4"/>
  <c r="N418" i="4"/>
  <c r="N419" i="4"/>
  <c r="N420" i="4"/>
  <c r="N421" i="4"/>
  <c r="N422" i="4"/>
  <c r="N4" i="4"/>
  <c r="X43" i="40" l="1"/>
  <c r="E382" i="2" l="1"/>
  <c r="E197" i="8" l="1"/>
  <c r="F197" i="8"/>
  <c r="G197" i="8"/>
  <c r="E198" i="8"/>
  <c r="F198" i="8"/>
  <c r="G198" i="8"/>
  <c r="E199" i="8"/>
  <c r="F199" i="8"/>
  <c r="G199" i="8"/>
  <c r="E200" i="8"/>
  <c r="F200" i="8"/>
  <c r="G200" i="8"/>
  <c r="E201" i="8"/>
  <c r="F201" i="8"/>
  <c r="G201" i="8"/>
  <c r="E202" i="8"/>
  <c r="F202" i="8"/>
  <c r="G202" i="8"/>
  <c r="E203" i="8"/>
  <c r="F203" i="8"/>
  <c r="G203" i="8"/>
  <c r="E204" i="8"/>
  <c r="F204" i="8"/>
  <c r="G204" i="8"/>
  <c r="E205" i="8"/>
  <c r="F205" i="8"/>
  <c r="G205" i="8"/>
  <c r="F196" i="8"/>
  <c r="G196" i="8"/>
  <c r="E196" i="8"/>
  <c r="E172" i="8"/>
  <c r="F172" i="8"/>
  <c r="G172" i="8"/>
  <c r="E173" i="8"/>
  <c r="F173" i="8"/>
  <c r="G173" i="8"/>
  <c r="E174" i="8"/>
  <c r="F174" i="8"/>
  <c r="G174" i="8"/>
  <c r="E175" i="8"/>
  <c r="F175" i="8"/>
  <c r="G175" i="8"/>
  <c r="E176" i="8"/>
  <c r="F176" i="8"/>
  <c r="G176" i="8"/>
  <c r="E177" i="8"/>
  <c r="F177" i="8"/>
  <c r="G177" i="8"/>
  <c r="E178" i="8"/>
  <c r="F178" i="8"/>
  <c r="G178" i="8"/>
  <c r="E179" i="8"/>
  <c r="F179" i="8"/>
  <c r="G179" i="8"/>
  <c r="E180" i="8"/>
  <c r="F180" i="8"/>
  <c r="G180" i="8"/>
  <c r="F171" i="8"/>
  <c r="G171" i="8"/>
  <c r="E171" i="8"/>
  <c r="AC68" i="40"/>
  <c r="AC65" i="40"/>
  <c r="AC62" i="40"/>
  <c r="AC57" i="40"/>
  <c r="AC54" i="40"/>
  <c r="AC51" i="40"/>
  <c r="AC46" i="40"/>
  <c r="AC43" i="40"/>
  <c r="AC40" i="40"/>
  <c r="C568" i="8" l="1"/>
  <c r="C569" i="8"/>
  <c r="C570" i="8"/>
  <c r="C571" i="8"/>
  <c r="C567" i="8"/>
  <c r="C558" i="8" l="1"/>
  <c r="C559" i="8"/>
  <c r="C560" i="8"/>
  <c r="C561" i="8"/>
  <c r="C562" i="8"/>
  <c r="C563" i="8"/>
  <c r="C564" i="8"/>
  <c r="C565" i="8"/>
  <c r="C566" i="8"/>
  <c r="C557" i="8"/>
  <c r="L25" i="39" l="1"/>
  <c r="J9" i="21"/>
  <c r="L63" i="21" l="1"/>
  <c r="N55" i="21"/>
  <c r="J15" i="21"/>
  <c r="H15" i="21"/>
  <c r="F15" i="21"/>
  <c r="E146" i="8" l="1"/>
  <c r="C135" i="8"/>
  <c r="G122" i="8"/>
  <c r="G123" i="8"/>
  <c r="G124" i="8"/>
  <c r="G125" i="8"/>
  <c r="G126" i="8"/>
  <c r="G127" i="8"/>
  <c r="G128" i="8"/>
  <c r="G129" i="8"/>
  <c r="G121" i="8"/>
  <c r="F122" i="8"/>
  <c r="F123" i="8"/>
  <c r="F124" i="8"/>
  <c r="F125" i="8"/>
  <c r="F126" i="8"/>
  <c r="F127" i="8"/>
  <c r="F128" i="8"/>
  <c r="F129" i="8"/>
  <c r="F121" i="8"/>
  <c r="E122" i="8"/>
  <c r="E123" i="8"/>
  <c r="E124" i="8"/>
  <c r="E125" i="8"/>
  <c r="E126" i="8"/>
  <c r="E127" i="8"/>
  <c r="E128" i="8"/>
  <c r="E129" i="8"/>
  <c r="E121" i="8"/>
  <c r="L198" i="7"/>
  <c r="L197" i="7"/>
  <c r="L196" i="7"/>
  <c r="L190" i="7"/>
  <c r="L189" i="7"/>
  <c r="L188" i="7"/>
  <c r="L172" i="7"/>
  <c r="L171" i="7"/>
  <c r="L170" i="7"/>
  <c r="L148" i="7"/>
  <c r="L147" i="7"/>
  <c r="L146" i="7"/>
  <c r="L139" i="7"/>
  <c r="L138" i="7"/>
  <c r="L137" i="7"/>
  <c r="L133" i="7"/>
  <c r="L132" i="7"/>
  <c r="L131" i="7"/>
  <c r="L121" i="7"/>
  <c r="L120" i="7"/>
  <c r="L119" i="7"/>
  <c r="L108" i="7"/>
  <c r="L107" i="7"/>
  <c r="L106" i="7"/>
  <c r="L100" i="7"/>
  <c r="L99" i="7"/>
  <c r="L98" i="7"/>
  <c r="K198" i="7"/>
  <c r="K197" i="7"/>
  <c r="K196" i="7"/>
  <c r="K190" i="7"/>
  <c r="K189" i="7"/>
  <c r="K188" i="7"/>
  <c r="K172" i="7"/>
  <c r="K171" i="7"/>
  <c r="K170" i="7"/>
  <c r="K148" i="7"/>
  <c r="K147" i="7"/>
  <c r="K146" i="7"/>
  <c r="K139" i="7"/>
  <c r="K138" i="7"/>
  <c r="K137" i="7"/>
  <c r="K133" i="7"/>
  <c r="K132" i="7"/>
  <c r="K131" i="7"/>
  <c r="K121" i="7"/>
  <c r="K120" i="7"/>
  <c r="K119" i="7"/>
  <c r="K108" i="7"/>
  <c r="K107" i="7"/>
  <c r="K106" i="7"/>
  <c r="K100" i="7"/>
  <c r="K99" i="7"/>
  <c r="K98" i="7"/>
  <c r="E513" i="2"/>
  <c r="E514" i="2"/>
  <c r="N18" i="56" l="1"/>
  <c r="E853" i="19" l="1"/>
  <c r="L473" i="1" l="1"/>
  <c r="L472" i="1"/>
  <c r="L471" i="1"/>
  <c r="L470" i="1"/>
  <c r="L469" i="1"/>
  <c r="L468" i="1"/>
  <c r="L467" i="1"/>
  <c r="L466" i="1"/>
  <c r="L465" i="1"/>
  <c r="H473" i="2"/>
  <c r="L464" i="1"/>
  <c r="L463" i="1"/>
  <c r="H474" i="2"/>
  <c r="L462" i="1"/>
  <c r="L461" i="1"/>
  <c r="L460" i="1"/>
  <c r="L459" i="1"/>
  <c r="L458" i="1"/>
  <c r="L457" i="1"/>
  <c r="D143" i="4" l="1"/>
  <c r="E271" i="7" l="1"/>
  <c r="E263" i="7"/>
  <c r="H414" i="4" l="1"/>
  <c r="G414" i="4"/>
  <c r="C52" i="63" l="1"/>
  <c r="I64" i="63" s="1"/>
  <c r="C58" i="63"/>
  <c r="E58" i="63"/>
  <c r="G58" i="63"/>
  <c r="C70" i="63"/>
  <c r="E70" i="63"/>
  <c r="G70" i="63"/>
  <c r="C82" i="63"/>
  <c r="E82" i="63"/>
  <c r="G82" i="63"/>
  <c r="I88" i="63"/>
  <c r="I76" i="63" s="1"/>
  <c r="C92" i="63"/>
  <c r="I104" i="63" s="1"/>
  <c r="C98" i="63"/>
  <c r="E98" i="63"/>
  <c r="G98" i="63"/>
  <c r="C110" i="63"/>
  <c r="E110" i="63"/>
  <c r="G110" i="63"/>
  <c r="C122" i="63"/>
  <c r="E122" i="63"/>
  <c r="G122" i="63"/>
  <c r="I128" i="63"/>
  <c r="I116" i="63" s="1"/>
  <c r="C132" i="63"/>
  <c r="I144" i="63" s="1"/>
  <c r="C138" i="63"/>
  <c r="E138" i="63"/>
  <c r="G138" i="63"/>
  <c r="C150" i="63"/>
  <c r="E150" i="63"/>
  <c r="G150" i="63"/>
  <c r="C162" i="63"/>
  <c r="E162" i="63"/>
  <c r="G162" i="63"/>
  <c r="I168" i="63"/>
  <c r="I156" i="63" s="1"/>
  <c r="C172" i="63"/>
  <c r="I184" i="63" s="1"/>
  <c r="C178" i="63"/>
  <c r="E178" i="63"/>
  <c r="G178" i="63"/>
  <c r="C190" i="63"/>
  <c r="E190" i="63"/>
  <c r="G190" i="63"/>
  <c r="C202" i="63"/>
  <c r="E202" i="63"/>
  <c r="G202" i="63"/>
  <c r="I208" i="63"/>
  <c r="I196" i="63" s="1"/>
  <c r="C212" i="63"/>
  <c r="I224" i="63" s="1"/>
  <c r="C218" i="63"/>
  <c r="E218" i="63"/>
  <c r="G218" i="63"/>
  <c r="C230" i="63"/>
  <c r="E230" i="63"/>
  <c r="G230" i="63"/>
  <c r="C242" i="63"/>
  <c r="E242" i="63"/>
  <c r="G242" i="63"/>
  <c r="I248" i="63"/>
  <c r="I236" i="63" s="1"/>
  <c r="C252" i="63"/>
  <c r="I264" i="63" s="1"/>
  <c r="C258" i="63"/>
  <c r="E258" i="63"/>
  <c r="G258" i="63"/>
  <c r="C270" i="63"/>
  <c r="E270" i="63"/>
  <c r="G270" i="63"/>
  <c r="C282" i="63"/>
  <c r="E282" i="63"/>
  <c r="G282" i="63"/>
  <c r="I288" i="63"/>
  <c r="I276" i="63" s="1"/>
  <c r="C292" i="63"/>
  <c r="I304" i="63" s="1"/>
  <c r="C298" i="63"/>
  <c r="E298" i="63"/>
  <c r="G298" i="63"/>
  <c r="C310" i="63"/>
  <c r="E310" i="63"/>
  <c r="G310" i="63"/>
  <c r="C322" i="63"/>
  <c r="E322" i="63"/>
  <c r="G322" i="63"/>
  <c r="I328" i="63"/>
  <c r="I316" i="63" s="1"/>
  <c r="C332" i="63"/>
  <c r="I344" i="63" s="1"/>
  <c r="C338" i="63"/>
  <c r="E338" i="63"/>
  <c r="G338" i="63"/>
  <c r="C350" i="63"/>
  <c r="E350" i="63"/>
  <c r="G350" i="63"/>
  <c r="C362" i="63"/>
  <c r="E362" i="63"/>
  <c r="G362" i="63"/>
  <c r="I368" i="63"/>
  <c r="I356" i="63" s="1"/>
  <c r="I252" i="63" l="1"/>
  <c r="I92" i="63"/>
  <c r="I52" i="63"/>
  <c r="I212" i="63"/>
  <c r="I292" i="63"/>
  <c r="I132" i="63"/>
  <c r="I332" i="63"/>
  <c r="I172" i="63"/>
  <c r="G526" i="19"/>
  <c r="M84" i="8" l="1"/>
  <c r="M83" i="8"/>
  <c r="M82" i="8"/>
  <c r="C67" i="8"/>
  <c r="N82" i="8" l="1"/>
  <c r="N84" i="8"/>
  <c r="N83" i="8"/>
  <c r="L227" i="1"/>
  <c r="L226" i="1"/>
  <c r="L225" i="1"/>
  <c r="F214" i="8" l="1"/>
  <c r="H18" i="56" s="1"/>
  <c r="F213" i="8"/>
  <c r="J18" i="56" s="1"/>
  <c r="F212" i="8"/>
  <c r="L18" i="56" s="1"/>
  <c r="F211" i="8"/>
  <c r="G211" i="8" s="1"/>
  <c r="H211" i="8" s="1"/>
  <c r="G213" i="8" l="1"/>
  <c r="H213" i="8" s="1"/>
  <c r="H215" i="8"/>
  <c r="G214" i="8"/>
  <c r="H214" i="8" s="1"/>
  <c r="G212" i="8"/>
  <c r="H212" i="8" s="1"/>
  <c r="M198" i="7"/>
  <c r="J198" i="7"/>
  <c r="I198" i="7"/>
  <c r="H198" i="7"/>
  <c r="M197" i="7"/>
  <c r="J197" i="7"/>
  <c r="I197" i="7"/>
  <c r="H197" i="7"/>
  <c r="M196" i="7"/>
  <c r="J196" i="7"/>
  <c r="I196" i="7"/>
  <c r="H196" i="7"/>
  <c r="M100" i="7"/>
  <c r="J100" i="7"/>
  <c r="I100" i="7"/>
  <c r="H100" i="7"/>
  <c r="M99" i="7"/>
  <c r="J99" i="7"/>
  <c r="I99" i="7"/>
  <c r="H99" i="7"/>
  <c r="M98" i="7"/>
  <c r="J98" i="7"/>
  <c r="I98" i="7"/>
  <c r="H98" i="7"/>
  <c r="G222" i="6"/>
  <c r="E19" i="6" l="1"/>
  <c r="E20" i="6"/>
  <c r="E21" i="6"/>
  <c r="E71" i="2"/>
  <c r="Q160" i="4"/>
  <c r="R160" i="4" s="1"/>
  <c r="S160" i="4" s="1"/>
  <c r="T160" i="4" s="1"/>
  <c r="Q182" i="4"/>
  <c r="R182" i="4" s="1"/>
  <c r="S182" i="4" s="1"/>
  <c r="T182" i="4" s="1"/>
  <c r="E194" i="2" l="1"/>
  <c r="E510" i="19"/>
  <c r="E592" i="19"/>
  <c r="E672" i="19"/>
  <c r="E905" i="19"/>
  <c r="E855" i="19"/>
  <c r="N22" i="56"/>
  <c r="L22" i="56"/>
  <c r="J22" i="56"/>
  <c r="H22" i="56"/>
  <c r="L36" i="56"/>
  <c r="E79" i="7" l="1"/>
  <c r="E436" i="19"/>
  <c r="I5" i="15"/>
  <c r="K3" i="15"/>
  <c r="C3" i="15"/>
  <c r="U22" i="14"/>
  <c r="U21" i="14"/>
  <c r="U20" i="14"/>
  <c r="J17" i="14"/>
  <c r="U15" i="14"/>
  <c r="U14" i="14"/>
  <c r="J14" i="14"/>
  <c r="J13" i="14"/>
  <c r="U11" i="14"/>
  <c r="U10" i="14"/>
  <c r="U9" i="14"/>
  <c r="J9" i="14"/>
  <c r="J8" i="14"/>
  <c r="U5" i="14"/>
  <c r="S5" i="14"/>
  <c r="J5" i="14"/>
  <c r="H5" i="14"/>
  <c r="V3" i="14"/>
  <c r="C3" i="14"/>
  <c r="I161" i="52"/>
  <c r="H161" i="52"/>
  <c r="G161" i="52"/>
  <c r="F161" i="52"/>
  <c r="E161" i="52"/>
  <c r="I160" i="52"/>
  <c r="H160" i="52"/>
  <c r="G160" i="52"/>
  <c r="F160" i="52"/>
  <c r="E160" i="52"/>
  <c r="I157" i="52"/>
  <c r="H157" i="52"/>
  <c r="G157" i="52"/>
  <c r="F157" i="52"/>
  <c r="E157" i="52"/>
  <c r="I156" i="52"/>
  <c r="H156" i="52"/>
  <c r="G156" i="52"/>
  <c r="F156" i="52"/>
  <c r="E156" i="52"/>
  <c r="I155" i="52"/>
  <c r="H155" i="52"/>
  <c r="G155" i="52"/>
  <c r="F155" i="52"/>
  <c r="E155" i="52"/>
  <c r="I154" i="52"/>
  <c r="H154" i="52"/>
  <c r="G154" i="52"/>
  <c r="F154" i="52"/>
  <c r="E154" i="52"/>
  <c r="I151" i="52"/>
  <c r="H151" i="52"/>
  <c r="G151" i="52"/>
  <c r="F151" i="52"/>
  <c r="E151" i="52"/>
  <c r="I150" i="52"/>
  <c r="H150" i="52"/>
  <c r="G150" i="52"/>
  <c r="F150" i="52"/>
  <c r="E150" i="52"/>
  <c r="I149" i="52"/>
  <c r="H149" i="52"/>
  <c r="G149" i="52"/>
  <c r="F149" i="52"/>
  <c r="E149" i="52"/>
  <c r="I146" i="52"/>
  <c r="H146" i="52"/>
  <c r="G146" i="52"/>
  <c r="F146" i="52"/>
  <c r="E146" i="52"/>
  <c r="I145" i="52"/>
  <c r="H145" i="52"/>
  <c r="G145" i="52"/>
  <c r="F145" i="52"/>
  <c r="E145" i="52"/>
  <c r="I142" i="52"/>
  <c r="H142" i="52"/>
  <c r="G142" i="52"/>
  <c r="F142" i="52"/>
  <c r="E142" i="52"/>
  <c r="I141" i="52"/>
  <c r="H141" i="52"/>
  <c r="G141" i="52"/>
  <c r="F141" i="52"/>
  <c r="E141" i="52"/>
  <c r="I138" i="52"/>
  <c r="H138" i="52"/>
  <c r="G138" i="52"/>
  <c r="F138" i="52"/>
  <c r="E138" i="52"/>
  <c r="I137" i="52"/>
  <c r="H137" i="52"/>
  <c r="G137" i="52"/>
  <c r="F137" i="52"/>
  <c r="E137" i="52"/>
  <c r="I134" i="52"/>
  <c r="H134" i="52"/>
  <c r="G134" i="52"/>
  <c r="F134" i="52"/>
  <c r="E134" i="52"/>
  <c r="I133" i="52"/>
  <c r="H133" i="52"/>
  <c r="G133" i="52"/>
  <c r="F133" i="52"/>
  <c r="E133" i="52"/>
  <c r="I128" i="52"/>
  <c r="H128" i="52"/>
  <c r="G128" i="52"/>
  <c r="F128" i="52"/>
  <c r="E128" i="52"/>
  <c r="I126" i="52"/>
  <c r="H126" i="52"/>
  <c r="G126" i="52"/>
  <c r="F126" i="52"/>
  <c r="E126" i="52"/>
  <c r="I125" i="52"/>
  <c r="H125" i="52"/>
  <c r="G125" i="52"/>
  <c r="F125" i="52"/>
  <c r="E125" i="52"/>
  <c r="I124" i="52"/>
  <c r="H124" i="52"/>
  <c r="G124" i="52"/>
  <c r="F124" i="52"/>
  <c r="E124" i="52"/>
  <c r="I123" i="52"/>
  <c r="H123" i="52"/>
  <c r="G123" i="52"/>
  <c r="F123" i="52"/>
  <c r="E123" i="52"/>
  <c r="I118" i="52"/>
  <c r="H118" i="52"/>
  <c r="G118" i="52"/>
  <c r="F118" i="52"/>
  <c r="E118" i="52"/>
  <c r="I116" i="52"/>
  <c r="H116" i="52"/>
  <c r="G116" i="52"/>
  <c r="F116" i="52"/>
  <c r="E116" i="52"/>
  <c r="I113" i="52"/>
  <c r="H113" i="52"/>
  <c r="G113" i="52"/>
  <c r="F113" i="52"/>
  <c r="E113" i="52"/>
  <c r="I98" i="52"/>
  <c r="H98" i="52"/>
  <c r="G98" i="52"/>
  <c r="F98" i="52"/>
  <c r="E98" i="52"/>
  <c r="B96" i="52"/>
  <c r="I94" i="52"/>
  <c r="H94" i="52"/>
  <c r="G94" i="52"/>
  <c r="F94" i="52"/>
  <c r="E94" i="52"/>
  <c r="I92" i="52"/>
  <c r="H92" i="52"/>
  <c r="G92" i="52"/>
  <c r="F92" i="52"/>
  <c r="E92" i="52"/>
  <c r="I91" i="52"/>
  <c r="H91" i="52"/>
  <c r="G91" i="52"/>
  <c r="F91" i="52"/>
  <c r="E91" i="52"/>
  <c r="I90" i="52"/>
  <c r="H90" i="52"/>
  <c r="G90" i="52"/>
  <c r="F90" i="52"/>
  <c r="E90" i="52"/>
  <c r="I53" i="52"/>
  <c r="H53" i="52"/>
  <c r="G53" i="52"/>
  <c r="F53" i="52"/>
  <c r="E53" i="52"/>
  <c r="I47" i="52"/>
  <c r="H47" i="52"/>
  <c r="G47" i="52"/>
  <c r="F47" i="52"/>
  <c r="E47" i="52"/>
  <c r="I41" i="52"/>
  <c r="H41" i="52"/>
  <c r="G41" i="52"/>
  <c r="F41" i="52"/>
  <c r="E41" i="52"/>
  <c r="I30" i="52"/>
  <c r="H30" i="52"/>
  <c r="G30" i="52"/>
  <c r="F30" i="52"/>
  <c r="E30" i="52"/>
  <c r="B28" i="52"/>
  <c r="I4" i="52"/>
  <c r="H4" i="52"/>
  <c r="G4" i="52"/>
  <c r="F4" i="52"/>
  <c r="E4" i="52"/>
  <c r="B2" i="52"/>
  <c r="I73" i="36"/>
  <c r="H73" i="36"/>
  <c r="G73" i="36"/>
  <c r="F73" i="36"/>
  <c r="E73" i="36"/>
  <c r="I72" i="36"/>
  <c r="H72" i="36"/>
  <c r="G72" i="36"/>
  <c r="F72" i="36"/>
  <c r="E72" i="36"/>
  <c r="I71" i="36"/>
  <c r="H71" i="36"/>
  <c r="G71" i="36"/>
  <c r="F71" i="36"/>
  <c r="E71" i="36"/>
  <c r="I70" i="36"/>
  <c r="H70" i="36"/>
  <c r="G70" i="36"/>
  <c r="F70" i="36"/>
  <c r="E70" i="36"/>
  <c r="B363" i="58"/>
  <c r="E270" i="2"/>
  <c r="I57" i="36"/>
  <c r="H57" i="36"/>
  <c r="G57" i="36"/>
  <c r="F57" i="36"/>
  <c r="E57" i="36"/>
  <c r="I56" i="36"/>
  <c r="E56" i="36"/>
  <c r="I45" i="36"/>
  <c r="E45" i="36"/>
  <c r="H44" i="36"/>
  <c r="G44" i="36"/>
  <c r="F44" i="36"/>
  <c r="E266" i="2"/>
  <c r="I43" i="36"/>
  <c r="E43" i="36"/>
  <c r="F32" i="36"/>
  <c r="E264" i="2"/>
  <c r="I31" i="36"/>
  <c r="H31" i="36"/>
  <c r="G31" i="36"/>
  <c r="F31" i="36"/>
  <c r="E31" i="36"/>
  <c r="I30" i="36"/>
  <c r="H30" i="36"/>
  <c r="I3" i="31"/>
  <c r="H3" i="31"/>
  <c r="G3" i="31"/>
  <c r="F3" i="31"/>
  <c r="E3" i="31"/>
  <c r="M190" i="7"/>
  <c r="J190" i="7"/>
  <c r="I190" i="7"/>
  <c r="M189" i="7"/>
  <c r="J189" i="7"/>
  <c r="I189" i="7"/>
  <c r="M188" i="7"/>
  <c r="J188" i="7"/>
  <c r="M172" i="7"/>
  <c r="J172" i="7"/>
  <c r="I172" i="7"/>
  <c r="H172" i="7"/>
  <c r="M171" i="7"/>
  <c r="J171" i="7"/>
  <c r="I171" i="7"/>
  <c r="H171" i="7"/>
  <c r="M170" i="7"/>
  <c r="J170" i="7"/>
  <c r="I170" i="7"/>
  <c r="H170" i="7"/>
  <c r="H163" i="7"/>
  <c r="H162" i="7"/>
  <c r="H161" i="7"/>
  <c r="M148" i="7"/>
  <c r="J148" i="7"/>
  <c r="I148" i="7"/>
  <c r="H148" i="7"/>
  <c r="M147" i="7"/>
  <c r="J147" i="7"/>
  <c r="I147" i="7"/>
  <c r="H147" i="7"/>
  <c r="M146" i="7"/>
  <c r="J146" i="7"/>
  <c r="I146" i="7"/>
  <c r="H146" i="7"/>
  <c r="M139" i="7"/>
  <c r="J139" i="7"/>
  <c r="I139" i="7"/>
  <c r="H139" i="7"/>
  <c r="M138" i="7"/>
  <c r="J138" i="7"/>
  <c r="I138" i="7"/>
  <c r="H138" i="7"/>
  <c r="M137" i="7"/>
  <c r="J137" i="7"/>
  <c r="I137" i="7"/>
  <c r="H137" i="7"/>
  <c r="M133" i="7"/>
  <c r="J133" i="7"/>
  <c r="I133" i="7"/>
  <c r="H133" i="7"/>
  <c r="M132" i="7"/>
  <c r="J132" i="7"/>
  <c r="I132" i="7"/>
  <c r="H132" i="7"/>
  <c r="M131" i="7"/>
  <c r="J131" i="7"/>
  <c r="I131" i="7"/>
  <c r="H131" i="7"/>
  <c r="M121" i="7"/>
  <c r="J121" i="7"/>
  <c r="I121" i="7"/>
  <c r="H121" i="7"/>
  <c r="M120" i="7"/>
  <c r="J120" i="7"/>
  <c r="I120" i="7"/>
  <c r="H120" i="7"/>
  <c r="M119" i="7"/>
  <c r="J119" i="7"/>
  <c r="I119" i="7"/>
  <c r="H119" i="7"/>
  <c r="M108" i="7"/>
  <c r="J108" i="7"/>
  <c r="I108" i="7"/>
  <c r="H108" i="7"/>
  <c r="M107" i="7"/>
  <c r="J107" i="7"/>
  <c r="I107" i="7"/>
  <c r="H107" i="7"/>
  <c r="M106" i="7"/>
  <c r="J106" i="7"/>
  <c r="I106" i="7"/>
  <c r="H106" i="7"/>
  <c r="E75" i="7"/>
  <c r="E74" i="7"/>
  <c r="E73" i="7"/>
  <c r="E71" i="7"/>
  <c r="E70" i="7"/>
  <c r="E68" i="7"/>
  <c r="E67" i="7"/>
  <c r="E66" i="7"/>
  <c r="E65" i="7"/>
  <c r="E64" i="7"/>
  <c r="E62" i="7"/>
  <c r="E61" i="7"/>
  <c r="E60" i="7"/>
  <c r="E59" i="7"/>
  <c r="E55" i="7"/>
  <c r="E54" i="7"/>
  <c r="E53" i="7"/>
  <c r="E52" i="7"/>
  <c r="E51" i="7"/>
  <c r="E37" i="7"/>
  <c r="E36" i="7"/>
  <c r="E35" i="7"/>
  <c r="E34" i="7"/>
  <c r="E33" i="7"/>
  <c r="E16" i="7"/>
  <c r="H422" i="4"/>
  <c r="G422" i="4"/>
  <c r="H421" i="4"/>
  <c r="G421" i="4"/>
  <c r="H420" i="4"/>
  <c r="G420" i="4"/>
  <c r="H419" i="4"/>
  <c r="G419" i="4"/>
  <c r="H418" i="4"/>
  <c r="G418" i="4"/>
  <c r="H417" i="4"/>
  <c r="G417" i="4"/>
  <c r="H416" i="4"/>
  <c r="G416" i="4"/>
  <c r="H415" i="4"/>
  <c r="G415" i="4"/>
  <c r="H413" i="4"/>
  <c r="G413" i="4"/>
  <c r="H412" i="4"/>
  <c r="G412" i="4"/>
  <c r="H411" i="4"/>
  <c r="G411" i="4"/>
  <c r="H410" i="4"/>
  <c r="G410" i="4"/>
  <c r="H409" i="4"/>
  <c r="G409" i="4"/>
  <c r="E408" i="4"/>
  <c r="H408" i="4"/>
  <c r="G408" i="4"/>
  <c r="E407" i="4"/>
  <c r="E13" i="2" s="1"/>
  <c r="E14" i="2" s="1"/>
  <c r="H407" i="4"/>
  <c r="G407" i="4"/>
  <c r="E406" i="4"/>
  <c r="E10" i="2" s="1"/>
  <c r="H406" i="4"/>
  <c r="G406" i="4"/>
  <c r="E405" i="4"/>
  <c r="H405" i="4"/>
  <c r="G405" i="4"/>
  <c r="E404" i="4"/>
  <c r="H404" i="4"/>
  <c r="G404" i="4"/>
  <c r="E403" i="4"/>
  <c r="H403" i="4"/>
  <c r="G403" i="4"/>
  <c r="E402" i="4"/>
  <c r="H402" i="4"/>
  <c r="G402" i="4"/>
  <c r="H401" i="4"/>
  <c r="G401" i="4"/>
  <c r="H400" i="4"/>
  <c r="G400" i="4"/>
  <c r="H399" i="4"/>
  <c r="G399" i="4"/>
  <c r="E398" i="4"/>
  <c r="H398" i="4"/>
  <c r="G398" i="4"/>
  <c r="E397" i="4"/>
  <c r="H397" i="4"/>
  <c r="G397" i="4"/>
  <c r="E396" i="4"/>
  <c r="H396" i="4"/>
  <c r="G396" i="4"/>
  <c r="E395" i="4"/>
  <c r="H395" i="4"/>
  <c r="G395" i="4"/>
  <c r="E394" i="4"/>
  <c r="H394" i="4"/>
  <c r="G394" i="4"/>
  <c r="E393" i="4"/>
  <c r="H393" i="4"/>
  <c r="G393" i="4"/>
  <c r="E392" i="4"/>
  <c r="H392" i="4"/>
  <c r="G392" i="4"/>
  <c r="E391" i="4"/>
  <c r="E57" i="19" s="1"/>
  <c r="H391" i="4"/>
  <c r="G391" i="4"/>
  <c r="H390" i="4"/>
  <c r="G390" i="4"/>
  <c r="E389" i="4"/>
  <c r="H389" i="4"/>
  <c r="G389" i="4"/>
  <c r="E388" i="4"/>
  <c r="H388" i="4"/>
  <c r="G388" i="4"/>
  <c r="E387" i="4"/>
  <c r="H387" i="4"/>
  <c r="G387" i="4"/>
  <c r="E386" i="4"/>
  <c r="H386" i="4"/>
  <c r="G386" i="4"/>
  <c r="H385" i="4"/>
  <c r="G385" i="4"/>
  <c r="H384" i="4"/>
  <c r="G384" i="4"/>
  <c r="H383" i="4"/>
  <c r="G383" i="4"/>
  <c r="E382" i="4"/>
  <c r="H382" i="4"/>
  <c r="G382" i="4"/>
  <c r="E381" i="4"/>
  <c r="H381" i="4"/>
  <c r="G381" i="4"/>
  <c r="E380" i="4"/>
  <c r="H380" i="4"/>
  <c r="G380" i="4"/>
  <c r="E379" i="4"/>
  <c r="H379" i="4"/>
  <c r="G379" i="4"/>
  <c r="E378" i="4"/>
  <c r="H378" i="4"/>
  <c r="G378" i="4"/>
  <c r="E377" i="4"/>
  <c r="H377" i="4"/>
  <c r="G377" i="4"/>
  <c r="E376" i="4"/>
  <c r="H376" i="4"/>
  <c r="G376" i="4"/>
  <c r="E375" i="4"/>
  <c r="H375" i="4"/>
  <c r="G375" i="4"/>
  <c r="H374" i="4"/>
  <c r="G374" i="4"/>
  <c r="H373" i="4"/>
  <c r="G373" i="4"/>
  <c r="H372" i="4"/>
  <c r="G372" i="4"/>
  <c r="H371" i="4"/>
  <c r="G371" i="4"/>
  <c r="H370" i="4"/>
  <c r="G370" i="4"/>
  <c r="E369" i="4"/>
  <c r="H369" i="4"/>
  <c r="G369" i="4"/>
  <c r="E368" i="4"/>
  <c r="H368" i="4"/>
  <c r="G368" i="4"/>
  <c r="E367" i="4"/>
  <c r="H367" i="4"/>
  <c r="G367" i="4"/>
  <c r="E366" i="4"/>
  <c r="H366" i="4"/>
  <c r="G366" i="4"/>
  <c r="E365" i="4"/>
  <c r="E599" i="6" s="1"/>
  <c r="H365" i="4"/>
  <c r="G365" i="4"/>
  <c r="E364" i="4"/>
  <c r="E500" i="6" s="1"/>
  <c r="H364" i="4"/>
  <c r="G364" i="4"/>
  <c r="E363" i="4"/>
  <c r="E402" i="6" s="1"/>
  <c r="H363" i="4"/>
  <c r="G363" i="4"/>
  <c r="H362" i="4"/>
  <c r="G362" i="4"/>
  <c r="H361" i="4"/>
  <c r="G361" i="4"/>
  <c r="H360" i="4"/>
  <c r="G360" i="4"/>
  <c r="H359" i="4"/>
  <c r="G359" i="4"/>
  <c r="E358" i="4"/>
  <c r="H358" i="4"/>
  <c r="G358" i="4"/>
  <c r="E357" i="4"/>
  <c r="H357" i="4"/>
  <c r="G357" i="4"/>
  <c r="E356" i="4"/>
  <c r="H356" i="4"/>
  <c r="G356" i="4"/>
  <c r="H355" i="4"/>
  <c r="G355" i="4"/>
  <c r="H354" i="4"/>
  <c r="G354" i="4"/>
  <c r="H353" i="4"/>
  <c r="G353" i="4"/>
  <c r="H352" i="4"/>
  <c r="G352" i="4"/>
  <c r="H351" i="4"/>
  <c r="G351" i="4"/>
  <c r="H350" i="4"/>
  <c r="G350" i="4"/>
  <c r="E349" i="4"/>
  <c r="H349" i="4"/>
  <c r="G349" i="4"/>
  <c r="E348" i="4"/>
  <c r="E721" i="6" s="1"/>
  <c r="H348" i="4"/>
  <c r="G348" i="4"/>
  <c r="E347" i="4"/>
  <c r="E21" i="2" s="1"/>
  <c r="D21" i="1" s="1"/>
  <c r="H347" i="4"/>
  <c r="G347" i="4"/>
  <c r="E346" i="4"/>
  <c r="H346" i="4"/>
  <c r="G346" i="4"/>
  <c r="E345" i="4"/>
  <c r="H345" i="4"/>
  <c r="G345" i="4"/>
  <c r="E344" i="4"/>
  <c r="H344" i="4"/>
  <c r="G344" i="4"/>
  <c r="E343" i="4"/>
  <c r="H343" i="4"/>
  <c r="G343" i="4"/>
  <c r="E342" i="4"/>
  <c r="H342" i="4"/>
  <c r="G342" i="4"/>
  <c r="E341" i="4"/>
  <c r="H341" i="4"/>
  <c r="G341" i="4"/>
  <c r="E340" i="4"/>
  <c r="H340" i="4"/>
  <c r="G340" i="4"/>
  <c r="E339" i="4"/>
  <c r="H339" i="4"/>
  <c r="G339" i="4"/>
  <c r="H338" i="4"/>
  <c r="G338" i="4"/>
  <c r="E337" i="4"/>
  <c r="H337" i="4"/>
  <c r="G337" i="4"/>
  <c r="E336" i="4"/>
  <c r="H336" i="4"/>
  <c r="G336" i="4"/>
  <c r="E335" i="4"/>
  <c r="H335" i="4"/>
  <c r="G335" i="4"/>
  <c r="E334" i="4"/>
  <c r="H334" i="4"/>
  <c r="G334" i="4"/>
  <c r="E333" i="4"/>
  <c r="H333" i="4"/>
  <c r="G333" i="4"/>
  <c r="E332" i="4"/>
  <c r="H332" i="4"/>
  <c r="G332" i="4"/>
  <c r="E331" i="4"/>
  <c r="H331" i="4"/>
  <c r="G331" i="4"/>
  <c r="E330" i="4"/>
  <c r="H330" i="4"/>
  <c r="G330" i="4"/>
  <c r="E329" i="4"/>
  <c r="H329" i="4"/>
  <c r="G329" i="4"/>
  <c r="E328" i="4"/>
  <c r="H328" i="4"/>
  <c r="G328" i="4"/>
  <c r="E327" i="4"/>
  <c r="H327" i="4"/>
  <c r="G327" i="4"/>
  <c r="E326" i="4"/>
  <c r="H326" i="4"/>
  <c r="G326" i="4"/>
  <c r="E325" i="4"/>
  <c r="H325" i="4"/>
  <c r="G325" i="4"/>
  <c r="E324" i="4"/>
  <c r="H324" i="4"/>
  <c r="G324" i="4"/>
  <c r="E323" i="4"/>
  <c r="H323" i="4"/>
  <c r="G323" i="4"/>
  <c r="E322" i="4"/>
  <c r="H322" i="4"/>
  <c r="G322" i="4"/>
  <c r="E321" i="4"/>
  <c r="H321" i="4"/>
  <c r="G321" i="4"/>
  <c r="E320" i="4"/>
  <c r="H320" i="4"/>
  <c r="G320" i="4"/>
  <c r="E319" i="4"/>
  <c r="H319" i="4"/>
  <c r="G319" i="4"/>
  <c r="E318" i="4"/>
  <c r="H318" i="4"/>
  <c r="G318" i="4"/>
  <c r="E317" i="4"/>
  <c r="H317" i="4"/>
  <c r="G317" i="4"/>
  <c r="E316" i="4"/>
  <c r="H316" i="4"/>
  <c r="G316" i="4"/>
  <c r="E315" i="4"/>
  <c r="H315" i="4"/>
  <c r="G315" i="4"/>
  <c r="E314" i="4"/>
  <c r="H314" i="4"/>
  <c r="G314" i="4"/>
  <c r="E313" i="4"/>
  <c r="H313" i="4"/>
  <c r="G313" i="4"/>
  <c r="E312" i="4"/>
  <c r="H312" i="4"/>
  <c r="G312" i="4"/>
  <c r="E311" i="4"/>
  <c r="H311" i="4"/>
  <c r="G311" i="4"/>
  <c r="E310" i="4"/>
  <c r="H310" i="4"/>
  <c r="G310" i="4"/>
  <c r="E309" i="4"/>
  <c r="H309" i="4"/>
  <c r="G309" i="4"/>
  <c r="E308" i="4"/>
  <c r="H308" i="4"/>
  <c r="G308" i="4"/>
  <c r="H307" i="4"/>
  <c r="G307" i="4"/>
  <c r="H306" i="4"/>
  <c r="G306" i="4"/>
  <c r="H305" i="4"/>
  <c r="G305" i="4"/>
  <c r="H304" i="4"/>
  <c r="G304" i="4"/>
  <c r="E303" i="4"/>
  <c r="E289" i="19" s="1"/>
  <c r="H303" i="4"/>
  <c r="G303" i="4"/>
  <c r="E302" i="4"/>
  <c r="H302" i="4"/>
  <c r="G302" i="4"/>
  <c r="E301" i="4"/>
  <c r="H301" i="4"/>
  <c r="G301" i="4"/>
  <c r="E300" i="4"/>
  <c r="H300" i="4"/>
  <c r="G300" i="4"/>
  <c r="E299" i="4"/>
  <c r="H299" i="4"/>
  <c r="G299" i="4"/>
  <c r="E298" i="4"/>
  <c r="H298" i="4"/>
  <c r="G298" i="4"/>
  <c r="H297" i="4"/>
  <c r="G297" i="4"/>
  <c r="E296" i="4"/>
  <c r="H296" i="4"/>
  <c r="G296" i="4"/>
  <c r="E295" i="4"/>
  <c r="H295" i="4"/>
  <c r="G295" i="4"/>
  <c r="E294" i="4"/>
  <c r="H294" i="4"/>
  <c r="G294" i="4"/>
  <c r="E293" i="4"/>
  <c r="E870" i="19" s="1"/>
  <c r="H293" i="4"/>
  <c r="G293" i="4"/>
  <c r="Q292" i="4"/>
  <c r="R292" i="4" s="1"/>
  <c r="S292" i="4" s="1"/>
  <c r="T292" i="4" s="1"/>
  <c r="H292" i="4"/>
  <c r="G292" i="4"/>
  <c r="E291" i="4"/>
  <c r="H291" i="4"/>
  <c r="G291" i="4"/>
  <c r="H290" i="4"/>
  <c r="G290" i="4"/>
  <c r="H289" i="4"/>
  <c r="G289" i="4"/>
  <c r="H288" i="4"/>
  <c r="G288" i="4"/>
  <c r="H287" i="4"/>
  <c r="G287" i="4"/>
  <c r="E286" i="4"/>
  <c r="E288" i="19" s="1"/>
  <c r="H286" i="4"/>
  <c r="G286" i="4"/>
  <c r="E285" i="4"/>
  <c r="H285" i="4"/>
  <c r="G285" i="4"/>
  <c r="E284" i="4"/>
  <c r="H284" i="4"/>
  <c r="G284" i="4"/>
  <c r="E283" i="4"/>
  <c r="H283" i="4"/>
  <c r="G283" i="4"/>
  <c r="E282" i="4"/>
  <c r="H282" i="4"/>
  <c r="G282" i="4"/>
  <c r="E281" i="4"/>
  <c r="H281" i="4"/>
  <c r="G281" i="4"/>
  <c r="E280" i="4"/>
  <c r="E177" i="19" s="1"/>
  <c r="H280" i="4"/>
  <c r="G280" i="4"/>
  <c r="E279" i="4"/>
  <c r="H279" i="4"/>
  <c r="G279" i="4"/>
  <c r="E278" i="4"/>
  <c r="H278" i="4"/>
  <c r="G278" i="4"/>
  <c r="E277" i="4"/>
  <c r="H277" i="4"/>
  <c r="G277" i="4"/>
  <c r="E276" i="4"/>
  <c r="E818" i="19" s="1"/>
  <c r="E819" i="19" s="1"/>
  <c r="H276" i="4"/>
  <c r="G276" i="4"/>
  <c r="Q275" i="4"/>
  <c r="R275" i="4" s="1"/>
  <c r="S275" i="4" s="1"/>
  <c r="T275" i="4" s="1"/>
  <c r="H275" i="4"/>
  <c r="G275" i="4"/>
  <c r="E274" i="4"/>
  <c r="E805" i="19" s="1"/>
  <c r="H227" i="56" s="1"/>
  <c r="H274" i="4"/>
  <c r="G274" i="4"/>
  <c r="H273" i="4"/>
  <c r="G273" i="4"/>
  <c r="H272" i="4"/>
  <c r="G272" i="4"/>
  <c r="H271" i="4"/>
  <c r="G271" i="4"/>
  <c r="H270" i="4"/>
  <c r="G270" i="4"/>
  <c r="E269" i="4"/>
  <c r="E287" i="19" s="1"/>
  <c r="E157" i="2" s="1"/>
  <c r="H269" i="4"/>
  <c r="G269" i="4"/>
  <c r="E268" i="4"/>
  <c r="H268" i="4"/>
  <c r="G268" i="4"/>
  <c r="E267" i="4"/>
  <c r="H267" i="4"/>
  <c r="G267" i="4"/>
  <c r="E266" i="4"/>
  <c r="H266" i="4"/>
  <c r="G266" i="4"/>
  <c r="E265" i="4"/>
  <c r="H265" i="4"/>
  <c r="G265" i="4"/>
  <c r="E264" i="4"/>
  <c r="H264" i="4"/>
  <c r="G264" i="4"/>
  <c r="E263" i="4"/>
  <c r="H263" i="4"/>
  <c r="G263" i="4"/>
  <c r="E262" i="4"/>
  <c r="H262" i="4"/>
  <c r="G262" i="4"/>
  <c r="E261" i="4"/>
  <c r="H261" i="4"/>
  <c r="G261" i="4"/>
  <c r="E260" i="4"/>
  <c r="H260" i="4"/>
  <c r="G260" i="4"/>
  <c r="E259" i="4"/>
  <c r="H259" i="4"/>
  <c r="G259" i="4"/>
  <c r="Q258" i="4"/>
  <c r="R258" i="4" s="1"/>
  <c r="S258" i="4" s="1"/>
  <c r="T258" i="4" s="1"/>
  <c r="H258" i="4"/>
  <c r="G258" i="4"/>
  <c r="E257" i="4"/>
  <c r="E753" i="19" s="1"/>
  <c r="H257" i="4"/>
  <c r="G257" i="4"/>
  <c r="H256" i="4"/>
  <c r="G256" i="4"/>
  <c r="E255" i="4"/>
  <c r="H255" i="4"/>
  <c r="G255" i="4"/>
  <c r="H254" i="4"/>
  <c r="G254" i="4"/>
  <c r="H253" i="4"/>
  <c r="G253" i="4"/>
  <c r="H252" i="4"/>
  <c r="G252" i="4"/>
  <c r="H251" i="4"/>
  <c r="G251" i="4"/>
  <c r="H250" i="4"/>
  <c r="G250" i="4"/>
  <c r="E249" i="4"/>
  <c r="E78" i="19" s="1"/>
  <c r="H249" i="4"/>
  <c r="G249" i="4"/>
  <c r="E248" i="4"/>
  <c r="E286" i="19" s="1"/>
  <c r="H248" i="4"/>
  <c r="G248" i="4"/>
  <c r="H247" i="4"/>
  <c r="G247" i="4"/>
  <c r="E246" i="4"/>
  <c r="H246" i="4"/>
  <c r="G246" i="4"/>
  <c r="E245" i="4"/>
  <c r="H245" i="4"/>
  <c r="G245" i="4"/>
  <c r="E244" i="4"/>
  <c r="H244" i="4"/>
  <c r="G244" i="4"/>
  <c r="E243" i="4"/>
  <c r="H243" i="4"/>
  <c r="G243" i="4"/>
  <c r="H242" i="4"/>
  <c r="G242" i="4"/>
  <c r="Q241" i="4"/>
  <c r="R241" i="4" s="1"/>
  <c r="S241" i="4" s="1"/>
  <c r="T241" i="4" s="1"/>
  <c r="H241" i="4"/>
  <c r="G241" i="4"/>
  <c r="H240" i="4"/>
  <c r="G240" i="4"/>
  <c r="H239" i="4"/>
  <c r="G239" i="4"/>
  <c r="H238" i="4"/>
  <c r="G238" i="4"/>
  <c r="H237" i="4"/>
  <c r="G237" i="4"/>
  <c r="H236" i="4"/>
  <c r="G236" i="4"/>
  <c r="H235" i="4"/>
  <c r="G235" i="4"/>
  <c r="H234" i="4"/>
  <c r="G234" i="4"/>
  <c r="H233" i="4"/>
  <c r="G233" i="4"/>
  <c r="E232" i="4"/>
  <c r="H232" i="4"/>
  <c r="G232" i="4"/>
  <c r="E231" i="4"/>
  <c r="H231" i="4"/>
  <c r="G231" i="4"/>
  <c r="E230" i="4"/>
  <c r="H230" i="4"/>
  <c r="G230" i="4"/>
  <c r="E229" i="4"/>
  <c r="H229" i="4"/>
  <c r="G229" i="4"/>
  <c r="E228" i="4"/>
  <c r="H228" i="4"/>
  <c r="G228" i="4"/>
  <c r="E227" i="4"/>
  <c r="H227" i="4"/>
  <c r="G227" i="4"/>
  <c r="E226" i="4"/>
  <c r="H226" i="4"/>
  <c r="G226" i="4"/>
  <c r="E225" i="4"/>
  <c r="H225" i="4"/>
  <c r="G225" i="4"/>
  <c r="E224" i="4"/>
  <c r="H224" i="4"/>
  <c r="G224" i="4"/>
  <c r="H223" i="4"/>
  <c r="G223" i="4"/>
  <c r="H222" i="4"/>
  <c r="G222" i="4"/>
  <c r="H221" i="4"/>
  <c r="G221" i="4"/>
  <c r="H220" i="4"/>
  <c r="G220" i="4"/>
  <c r="H219" i="4"/>
  <c r="G219" i="4"/>
  <c r="H218" i="4"/>
  <c r="G218" i="4"/>
  <c r="H217" i="4"/>
  <c r="G217" i="4"/>
  <c r="E216" i="4"/>
  <c r="H216" i="4"/>
  <c r="G216" i="4"/>
  <c r="E215" i="4"/>
  <c r="E285" i="19" s="1"/>
  <c r="E160" i="2" s="1"/>
  <c r="H215" i="4"/>
  <c r="G215" i="4"/>
  <c r="E214" i="4"/>
  <c r="H214" i="4"/>
  <c r="G214" i="4"/>
  <c r="E213" i="4"/>
  <c r="H213" i="4"/>
  <c r="G213" i="4"/>
  <c r="E212" i="4"/>
  <c r="E316" i="19" s="1"/>
  <c r="H212" i="4"/>
  <c r="G212" i="4"/>
  <c r="E211" i="4"/>
  <c r="H211" i="4"/>
  <c r="G211" i="4"/>
  <c r="H210" i="4"/>
  <c r="G210" i="4"/>
  <c r="H209" i="4"/>
  <c r="G209" i="4"/>
  <c r="E208" i="4"/>
  <c r="H208" i="4"/>
  <c r="G208" i="4"/>
  <c r="E207" i="4"/>
  <c r="H207" i="4"/>
  <c r="G207" i="4"/>
  <c r="E206" i="4"/>
  <c r="H206" i="4"/>
  <c r="G206" i="4"/>
  <c r="H205" i="4"/>
  <c r="G205" i="4"/>
  <c r="Q204" i="4"/>
  <c r="R204" i="4" s="1"/>
  <c r="S204" i="4" s="1"/>
  <c r="T204" i="4" s="1"/>
  <c r="H204" i="4"/>
  <c r="G204" i="4"/>
  <c r="H203" i="4"/>
  <c r="G203" i="4"/>
  <c r="H202" i="4"/>
  <c r="G202" i="4"/>
  <c r="H201" i="4"/>
  <c r="G201" i="4"/>
  <c r="H200" i="4"/>
  <c r="G200" i="4"/>
  <c r="H199" i="4"/>
  <c r="G199" i="4"/>
  <c r="H198" i="4"/>
  <c r="G198" i="4"/>
  <c r="H197" i="4"/>
  <c r="G197" i="4"/>
  <c r="H196" i="4"/>
  <c r="G196" i="4"/>
  <c r="H195" i="4"/>
  <c r="G195" i="4"/>
  <c r="E194" i="4"/>
  <c r="H194" i="4"/>
  <c r="G194" i="4"/>
  <c r="E193" i="4"/>
  <c r="E284" i="19" s="1"/>
  <c r="E159" i="2" s="1"/>
  <c r="H193" i="4"/>
  <c r="G193" i="4"/>
  <c r="E192" i="4"/>
  <c r="H192" i="4"/>
  <c r="G192" i="4"/>
  <c r="E191" i="4"/>
  <c r="H191" i="4"/>
  <c r="G191" i="4"/>
  <c r="E190" i="4"/>
  <c r="H190" i="4"/>
  <c r="G190" i="4"/>
  <c r="E189" i="4"/>
  <c r="H189" i="4"/>
  <c r="G189" i="4"/>
  <c r="H188" i="4"/>
  <c r="G188" i="4"/>
  <c r="H187" i="4"/>
  <c r="G187" i="4"/>
  <c r="E186" i="4"/>
  <c r="H186" i="4"/>
  <c r="G186" i="4"/>
  <c r="E185" i="4"/>
  <c r="H185" i="4"/>
  <c r="G185" i="4"/>
  <c r="E184" i="4"/>
  <c r="H184" i="4"/>
  <c r="G184" i="4"/>
  <c r="H183" i="4"/>
  <c r="G183" i="4"/>
  <c r="H182" i="4"/>
  <c r="G182" i="4"/>
  <c r="D182" i="4"/>
  <c r="H181" i="4"/>
  <c r="G181" i="4"/>
  <c r="H180" i="4"/>
  <c r="G180" i="4"/>
  <c r="H179" i="4"/>
  <c r="G179" i="4"/>
  <c r="H178" i="4"/>
  <c r="G178" i="4"/>
  <c r="H177" i="4"/>
  <c r="G177" i="4"/>
  <c r="H176" i="4"/>
  <c r="G176" i="4"/>
  <c r="H175" i="4"/>
  <c r="G175" i="4"/>
  <c r="H174" i="4"/>
  <c r="G174" i="4"/>
  <c r="H173" i="4"/>
  <c r="G173" i="4"/>
  <c r="E172" i="4"/>
  <c r="H172" i="4"/>
  <c r="G172" i="4"/>
  <c r="E171" i="4"/>
  <c r="E283" i="19" s="1"/>
  <c r="E158" i="2" s="1"/>
  <c r="H171" i="4"/>
  <c r="G171" i="4"/>
  <c r="E170" i="4"/>
  <c r="H170" i="4"/>
  <c r="G170" i="4"/>
  <c r="E169" i="4"/>
  <c r="H169" i="4"/>
  <c r="G169" i="4"/>
  <c r="E168" i="4"/>
  <c r="H168" i="4"/>
  <c r="G168" i="4"/>
  <c r="E167" i="4"/>
  <c r="H167" i="4"/>
  <c r="G167" i="4"/>
  <c r="H166" i="4"/>
  <c r="G166" i="4"/>
  <c r="H165" i="4"/>
  <c r="G165" i="4"/>
  <c r="E164" i="4"/>
  <c r="H164" i="4"/>
  <c r="G164" i="4"/>
  <c r="E163" i="4"/>
  <c r="H163" i="4"/>
  <c r="G163" i="4"/>
  <c r="H162" i="4"/>
  <c r="G162" i="4"/>
  <c r="E161" i="4"/>
  <c r="H161" i="4"/>
  <c r="G161" i="4"/>
  <c r="H160" i="4"/>
  <c r="G160" i="4"/>
  <c r="D160" i="4"/>
  <c r="H159" i="4"/>
  <c r="G159" i="4"/>
  <c r="H158" i="4"/>
  <c r="G158" i="4"/>
  <c r="E157" i="4"/>
  <c r="H157" i="4"/>
  <c r="G157" i="4"/>
  <c r="H156" i="4"/>
  <c r="G156" i="4"/>
  <c r="H155" i="4"/>
  <c r="G155" i="4"/>
  <c r="H154" i="4"/>
  <c r="G154" i="4"/>
  <c r="H153" i="4"/>
  <c r="G153" i="4"/>
  <c r="H152" i="4"/>
  <c r="G152" i="4"/>
  <c r="E151" i="4"/>
  <c r="H151" i="4"/>
  <c r="G151" i="4"/>
  <c r="E150" i="4"/>
  <c r="H150" i="4"/>
  <c r="G150" i="4"/>
  <c r="E149" i="4"/>
  <c r="H149" i="4"/>
  <c r="G149" i="4"/>
  <c r="E148" i="4"/>
  <c r="H148" i="4"/>
  <c r="G148" i="4"/>
  <c r="E147" i="4"/>
  <c r="H147" i="4"/>
  <c r="G147" i="4"/>
  <c r="E146" i="4"/>
  <c r="H146" i="4"/>
  <c r="G146" i="4"/>
  <c r="H145" i="4"/>
  <c r="G145" i="4"/>
  <c r="H144" i="4"/>
  <c r="G144" i="4"/>
  <c r="H143" i="4"/>
  <c r="G143" i="4"/>
  <c r="E142" i="4"/>
  <c r="H142" i="4"/>
  <c r="G142" i="4"/>
  <c r="E141" i="4"/>
  <c r="H141" i="4"/>
  <c r="G141" i="4"/>
  <c r="H140" i="4"/>
  <c r="G140" i="4"/>
  <c r="Q139" i="4"/>
  <c r="R139" i="4" s="1"/>
  <c r="S139" i="4" s="1"/>
  <c r="T139" i="4" s="1"/>
  <c r="H139" i="4"/>
  <c r="G139" i="4"/>
  <c r="H138" i="4"/>
  <c r="G138" i="4"/>
  <c r="H137" i="4"/>
  <c r="G137" i="4"/>
  <c r="E136" i="4"/>
  <c r="H136" i="4"/>
  <c r="G136" i="4"/>
  <c r="H135" i="4"/>
  <c r="G135" i="4"/>
  <c r="H134" i="4"/>
  <c r="G134" i="4"/>
  <c r="H133" i="4"/>
  <c r="G133" i="4"/>
  <c r="H132" i="4"/>
  <c r="G132" i="4"/>
  <c r="H131" i="4"/>
  <c r="G131" i="4"/>
  <c r="E130" i="4"/>
  <c r="H130" i="4"/>
  <c r="G130" i="4"/>
  <c r="E129" i="4"/>
  <c r="H129" i="4"/>
  <c r="G129" i="4"/>
  <c r="E128" i="4"/>
  <c r="H128" i="4"/>
  <c r="G128" i="4"/>
  <c r="E127" i="4"/>
  <c r="H127" i="4"/>
  <c r="G127" i="4"/>
  <c r="E126" i="4"/>
  <c r="H126" i="4"/>
  <c r="G126" i="4"/>
  <c r="E125" i="4"/>
  <c r="H125" i="4"/>
  <c r="G125" i="4"/>
  <c r="E124" i="4"/>
  <c r="H124" i="4"/>
  <c r="G124" i="4"/>
  <c r="E123" i="4"/>
  <c r="H123" i="4"/>
  <c r="G123" i="4"/>
  <c r="E122" i="4"/>
  <c r="H122" i="4"/>
  <c r="G122" i="4"/>
  <c r="E121" i="4"/>
  <c r="H121" i="4"/>
  <c r="G121" i="4"/>
  <c r="E120" i="4"/>
  <c r="H120" i="4"/>
  <c r="G120" i="4"/>
  <c r="H119" i="4"/>
  <c r="G119" i="4"/>
  <c r="E118" i="4"/>
  <c r="H118" i="4"/>
  <c r="G118" i="4"/>
  <c r="H117" i="4"/>
  <c r="G117" i="4"/>
  <c r="H116" i="4"/>
  <c r="G116" i="4"/>
  <c r="H115" i="4"/>
  <c r="G115" i="4"/>
  <c r="H114" i="4"/>
  <c r="G114" i="4"/>
  <c r="H113" i="4"/>
  <c r="G113" i="4"/>
  <c r="E112" i="4"/>
  <c r="H112" i="4"/>
  <c r="G112" i="4"/>
  <c r="E111" i="4"/>
  <c r="H111" i="4"/>
  <c r="G111" i="4"/>
  <c r="E110" i="4"/>
  <c r="H110" i="4"/>
  <c r="G110" i="4"/>
  <c r="E109" i="4"/>
  <c r="H109" i="4"/>
  <c r="G109" i="4"/>
  <c r="E108" i="4"/>
  <c r="H108" i="4"/>
  <c r="G108" i="4"/>
  <c r="E107" i="4"/>
  <c r="H107" i="4"/>
  <c r="G107" i="4"/>
  <c r="E106" i="4"/>
  <c r="H106" i="4"/>
  <c r="G106" i="4"/>
  <c r="E105" i="4"/>
  <c r="H105" i="4"/>
  <c r="G105" i="4"/>
  <c r="E104" i="4"/>
  <c r="H104" i="4"/>
  <c r="G104" i="4"/>
  <c r="E103" i="4"/>
  <c r="H103" i="4"/>
  <c r="G103" i="4"/>
  <c r="E102" i="4"/>
  <c r="H102" i="4"/>
  <c r="G102" i="4"/>
  <c r="H101" i="4"/>
  <c r="G101" i="4"/>
  <c r="H100" i="4"/>
  <c r="G100" i="4"/>
  <c r="E99" i="4"/>
  <c r="H99" i="4"/>
  <c r="G99" i="4"/>
  <c r="E98" i="4"/>
  <c r="H98" i="4"/>
  <c r="G98" i="4"/>
  <c r="E97" i="4"/>
  <c r="H97" i="4"/>
  <c r="G97" i="4"/>
  <c r="E96" i="4"/>
  <c r="H96" i="4"/>
  <c r="G96" i="4"/>
  <c r="E95" i="4"/>
  <c r="E50" i="19" s="1"/>
  <c r="H95" i="4"/>
  <c r="G95" i="4"/>
  <c r="E94" i="4"/>
  <c r="E19" i="19" s="1"/>
  <c r="H94" i="4"/>
  <c r="G94" i="4"/>
  <c r="E93" i="4"/>
  <c r="H93" i="4"/>
  <c r="G93" i="4"/>
  <c r="H92" i="4"/>
  <c r="G92" i="4"/>
  <c r="E91" i="4"/>
  <c r="E1504" i="19" s="1"/>
  <c r="H91" i="4"/>
  <c r="G91" i="4"/>
  <c r="E90" i="4"/>
  <c r="H90" i="4"/>
  <c r="G90" i="4"/>
  <c r="E89" i="4"/>
  <c r="E1458" i="19" s="1"/>
  <c r="H89" i="4"/>
  <c r="G89" i="4"/>
  <c r="H88" i="4"/>
  <c r="G88" i="4"/>
  <c r="H87" i="4"/>
  <c r="G87" i="4"/>
  <c r="D87" i="4"/>
  <c r="H86" i="4"/>
  <c r="G86" i="4"/>
  <c r="H85" i="4"/>
  <c r="G85" i="4"/>
  <c r="H84" i="4"/>
  <c r="G84" i="4"/>
  <c r="H83" i="4"/>
  <c r="G83" i="4"/>
  <c r="H82" i="4"/>
  <c r="G82" i="4"/>
  <c r="H81" i="4"/>
  <c r="G81" i="4"/>
  <c r="H80" i="4"/>
  <c r="G80" i="4"/>
  <c r="E79" i="4"/>
  <c r="H79" i="4"/>
  <c r="G79" i="4"/>
  <c r="E78" i="4"/>
  <c r="H78" i="4"/>
  <c r="G78" i="4"/>
  <c r="E77" i="4"/>
  <c r="H77" i="4"/>
  <c r="G77" i="4"/>
  <c r="E76" i="4"/>
  <c r="H76" i="4"/>
  <c r="G76" i="4"/>
  <c r="E75" i="4"/>
  <c r="H75" i="4"/>
  <c r="G75" i="4"/>
  <c r="E74" i="4"/>
  <c r="H74" i="4"/>
  <c r="G74" i="4"/>
  <c r="E73" i="4"/>
  <c r="H73" i="4"/>
  <c r="G73" i="4"/>
  <c r="E72" i="4"/>
  <c r="H72" i="4"/>
  <c r="G72" i="4"/>
  <c r="E71" i="4"/>
  <c r="H71" i="4"/>
  <c r="G71" i="4"/>
  <c r="E70" i="4"/>
  <c r="H70" i="4"/>
  <c r="G70" i="4"/>
  <c r="E69" i="4"/>
  <c r="H69" i="4"/>
  <c r="G69" i="4"/>
  <c r="E68" i="4"/>
  <c r="H68" i="4"/>
  <c r="G68" i="4"/>
  <c r="E67" i="4"/>
  <c r="H67" i="4"/>
  <c r="G67" i="4"/>
  <c r="H66" i="4"/>
  <c r="G66" i="4"/>
  <c r="H65" i="4"/>
  <c r="G65" i="4"/>
  <c r="D65" i="4"/>
  <c r="H64" i="4"/>
  <c r="G64" i="4"/>
  <c r="H63" i="4"/>
  <c r="G63" i="4"/>
  <c r="H62" i="4"/>
  <c r="G62" i="4"/>
  <c r="H61" i="4"/>
  <c r="G61" i="4"/>
  <c r="H60" i="4"/>
  <c r="G60" i="4"/>
  <c r="H59" i="4"/>
  <c r="G59" i="4"/>
  <c r="H58" i="4"/>
  <c r="G58" i="4"/>
  <c r="E57" i="4"/>
  <c r="E413" i="6" s="1"/>
  <c r="H57" i="4"/>
  <c r="G57" i="4"/>
  <c r="E56" i="4"/>
  <c r="E1530" i="19" s="1"/>
  <c r="H56" i="4"/>
  <c r="G56" i="4"/>
  <c r="E55" i="4"/>
  <c r="H55" i="4"/>
  <c r="G55" i="4"/>
  <c r="E54" i="4"/>
  <c r="H54" i="4"/>
  <c r="G54" i="4"/>
  <c r="E53" i="4"/>
  <c r="H53" i="4"/>
  <c r="G53" i="4"/>
  <c r="E52" i="4"/>
  <c r="H52" i="4"/>
  <c r="G52" i="4"/>
  <c r="E51" i="4"/>
  <c r="H51" i="4"/>
  <c r="G51" i="4"/>
  <c r="E50" i="4"/>
  <c r="H50" i="4"/>
  <c r="G50" i="4"/>
  <c r="E49" i="4"/>
  <c r="H49" i="4"/>
  <c r="G49" i="4"/>
  <c r="E48" i="4"/>
  <c r="H48" i="4"/>
  <c r="G48" i="4"/>
  <c r="E47" i="4"/>
  <c r="H47" i="4"/>
  <c r="G47" i="4"/>
  <c r="E46" i="4"/>
  <c r="H46" i="4"/>
  <c r="G46" i="4"/>
  <c r="E45" i="4"/>
  <c r="H45" i="4"/>
  <c r="G45" i="4"/>
  <c r="H44" i="4"/>
  <c r="G44" i="4"/>
  <c r="H43" i="4"/>
  <c r="G43" i="4"/>
  <c r="H42" i="4"/>
  <c r="G42" i="4"/>
  <c r="H41" i="4"/>
  <c r="G41" i="4"/>
  <c r="H40" i="4"/>
  <c r="G40" i="4"/>
  <c r="H39" i="4"/>
  <c r="G39" i="4"/>
  <c r="H38" i="4"/>
  <c r="G38" i="4"/>
  <c r="H37" i="4"/>
  <c r="G37" i="4"/>
  <c r="E36" i="4"/>
  <c r="E316" i="6" s="1"/>
  <c r="H36" i="4"/>
  <c r="G36" i="4"/>
  <c r="E35" i="4"/>
  <c r="H35" i="4"/>
  <c r="G35" i="4"/>
  <c r="E34" i="4"/>
  <c r="H34" i="4"/>
  <c r="G34" i="4"/>
  <c r="E33" i="4"/>
  <c r="H33" i="4"/>
  <c r="G33" i="4"/>
  <c r="E32" i="4"/>
  <c r="H32" i="4"/>
  <c r="G32" i="4"/>
  <c r="E31" i="4"/>
  <c r="H31" i="4"/>
  <c r="G31" i="4"/>
  <c r="E30" i="4"/>
  <c r="H30" i="4"/>
  <c r="G30" i="4"/>
  <c r="E29" i="4"/>
  <c r="H29" i="4"/>
  <c r="G29" i="4"/>
  <c r="E28" i="4"/>
  <c r="H28" i="4"/>
  <c r="G28" i="4"/>
  <c r="E27" i="4"/>
  <c r="H27" i="4"/>
  <c r="G27" i="4"/>
  <c r="E26" i="4"/>
  <c r="H26" i="4"/>
  <c r="G26" i="4"/>
  <c r="E25" i="4"/>
  <c r="H25" i="4"/>
  <c r="G25" i="4"/>
  <c r="E24" i="4"/>
  <c r="H24" i="4"/>
  <c r="G24" i="4"/>
  <c r="H23" i="4"/>
  <c r="G23" i="4"/>
  <c r="E22" i="4"/>
  <c r="H22" i="4"/>
  <c r="G22" i="4"/>
  <c r="H21" i="4"/>
  <c r="G21" i="4"/>
  <c r="H20" i="4"/>
  <c r="G20" i="4"/>
  <c r="H19" i="4"/>
  <c r="G19" i="4"/>
  <c r="H18" i="4"/>
  <c r="G18" i="4"/>
  <c r="H17" i="4"/>
  <c r="G17" i="4"/>
  <c r="H16" i="4"/>
  <c r="G16" i="4"/>
  <c r="E15" i="4"/>
  <c r="H15" i="4"/>
  <c r="G15" i="4"/>
  <c r="H14" i="4"/>
  <c r="G14" i="4"/>
  <c r="E13" i="4"/>
  <c r="H13" i="4"/>
  <c r="G13" i="4"/>
  <c r="E12" i="4"/>
  <c r="H12" i="4"/>
  <c r="G12" i="4"/>
  <c r="E11" i="4"/>
  <c r="H11" i="4"/>
  <c r="G11" i="4"/>
  <c r="E10" i="4"/>
  <c r="H10" i="4"/>
  <c r="G10" i="4"/>
  <c r="E9" i="4"/>
  <c r="H9" i="4"/>
  <c r="G9" i="4"/>
  <c r="E8" i="4"/>
  <c r="H8" i="4"/>
  <c r="G8" i="4"/>
  <c r="E7" i="4"/>
  <c r="H7" i="4"/>
  <c r="G7" i="4"/>
  <c r="E6" i="4"/>
  <c r="H6" i="4"/>
  <c r="G6" i="4"/>
  <c r="E5" i="4"/>
  <c r="H5" i="4"/>
  <c r="G5" i="4"/>
  <c r="F712" i="8"/>
  <c r="F711" i="8"/>
  <c r="F710" i="8"/>
  <c r="F709" i="8"/>
  <c r="F708" i="8"/>
  <c r="F707" i="8"/>
  <c r="F704" i="8"/>
  <c r="F703" i="8"/>
  <c r="F702" i="8"/>
  <c r="F701" i="8"/>
  <c r="F700" i="8"/>
  <c r="F699" i="8"/>
  <c r="F669" i="8"/>
  <c r="E669" i="8"/>
  <c r="D669" i="8"/>
  <c r="C669" i="8"/>
  <c r="F668" i="8"/>
  <c r="E668" i="8"/>
  <c r="D668" i="8"/>
  <c r="C668" i="8"/>
  <c r="F667" i="8"/>
  <c r="E667" i="8"/>
  <c r="D667" i="8"/>
  <c r="C667" i="8"/>
  <c r="F666" i="8"/>
  <c r="E666" i="8"/>
  <c r="D666" i="8"/>
  <c r="C666" i="8"/>
  <c r="F665" i="8"/>
  <c r="F677" i="8" s="1"/>
  <c r="E665" i="8"/>
  <c r="E670" i="8" s="1"/>
  <c r="D665" i="8"/>
  <c r="D677" i="8" s="1"/>
  <c r="C665" i="8"/>
  <c r="C670" i="8" s="1"/>
  <c r="D599" i="8"/>
  <c r="C593" i="8"/>
  <c r="D593" i="8" s="1"/>
  <c r="C592" i="8"/>
  <c r="D592" i="8" s="1"/>
  <c r="C591" i="8"/>
  <c r="D591" i="8" s="1"/>
  <c r="C590" i="8"/>
  <c r="D590" i="8" s="1"/>
  <c r="C589" i="8"/>
  <c r="D589" i="8" s="1"/>
  <c r="C588" i="8"/>
  <c r="D588" i="8" s="1"/>
  <c r="C587" i="8"/>
  <c r="D587" i="8" s="1"/>
  <c r="C586" i="8"/>
  <c r="D586" i="8" s="1"/>
  <c r="C585" i="8"/>
  <c r="D585" i="8" s="1"/>
  <c r="C584" i="8"/>
  <c r="D584" i="8" s="1"/>
  <c r="C583" i="8"/>
  <c r="D583" i="8" s="1"/>
  <c r="C582" i="8"/>
  <c r="D582" i="8" s="1"/>
  <c r="C581" i="8"/>
  <c r="D581" i="8" s="1"/>
  <c r="C580" i="8"/>
  <c r="D580" i="8" s="1"/>
  <c r="E580" i="8" s="1"/>
  <c r="D571" i="8"/>
  <c r="D570" i="8"/>
  <c r="F593" i="8" s="1"/>
  <c r="D569" i="8"/>
  <c r="F592" i="8" s="1"/>
  <c r="D568" i="8"/>
  <c r="F591" i="8" s="1"/>
  <c r="D567" i="8"/>
  <c r="F590" i="8" s="1"/>
  <c r="D566" i="8"/>
  <c r="F589" i="8" s="1"/>
  <c r="D565" i="8"/>
  <c r="F588" i="8" s="1"/>
  <c r="D564" i="8"/>
  <c r="F587" i="8" s="1"/>
  <c r="D563" i="8"/>
  <c r="F586" i="8" s="1"/>
  <c r="D562" i="8"/>
  <c r="F585" i="8" s="1"/>
  <c r="D561" i="8"/>
  <c r="F584" i="8" s="1"/>
  <c r="D560" i="8"/>
  <c r="F583" i="8" s="1"/>
  <c r="D559" i="8"/>
  <c r="F582" i="8" s="1"/>
  <c r="D558" i="8"/>
  <c r="F581" i="8" s="1"/>
  <c r="D557" i="8"/>
  <c r="F580" i="8" s="1"/>
  <c r="D548" i="8"/>
  <c r="D547" i="8"/>
  <c r="D546" i="8"/>
  <c r="D545" i="8"/>
  <c r="D544" i="8"/>
  <c r="D543" i="8"/>
  <c r="D542" i="8"/>
  <c r="D541" i="8"/>
  <c r="D540" i="8"/>
  <c r="D539" i="8"/>
  <c r="D538" i="8"/>
  <c r="D537" i="8"/>
  <c r="D536" i="8"/>
  <c r="D535" i="8"/>
  <c r="D534" i="8"/>
  <c r="D533" i="8"/>
  <c r="D532" i="8"/>
  <c r="D531" i="8"/>
  <c r="C531" i="8"/>
  <c r="E530" i="8" s="1"/>
  <c r="D530" i="8"/>
  <c r="E529" i="8"/>
  <c r="D529" i="8"/>
  <c r="Q523" i="8"/>
  <c r="P523" i="8"/>
  <c r="O523" i="8"/>
  <c r="N523" i="8"/>
  <c r="M523" i="8"/>
  <c r="L523" i="8"/>
  <c r="K523" i="8"/>
  <c r="J523" i="8"/>
  <c r="I523" i="8"/>
  <c r="H523" i="8"/>
  <c r="G523" i="8"/>
  <c r="F523" i="8"/>
  <c r="E523" i="8"/>
  <c r="D523" i="8"/>
  <c r="C523" i="8"/>
  <c r="B523" i="8"/>
  <c r="F518" i="8"/>
  <c r="C518" i="8" s="1"/>
  <c r="N514" i="8"/>
  <c r="L514" i="8"/>
  <c r="J514" i="8"/>
  <c r="I514" i="8"/>
  <c r="H514" i="8"/>
  <c r="G514" i="8"/>
  <c r="F514" i="8"/>
  <c r="N513" i="8"/>
  <c r="L513" i="8"/>
  <c r="J513" i="8"/>
  <c r="I513" i="8"/>
  <c r="H513" i="8"/>
  <c r="G513" i="8"/>
  <c r="F513" i="8"/>
  <c r="N512" i="8"/>
  <c r="L512" i="8"/>
  <c r="J512" i="8"/>
  <c r="I512" i="8"/>
  <c r="H512" i="8"/>
  <c r="G512" i="8"/>
  <c r="F512" i="8"/>
  <c r="J495" i="8"/>
  <c r="I495" i="8"/>
  <c r="H495" i="8"/>
  <c r="G495" i="8"/>
  <c r="C495" i="8" s="1"/>
  <c r="E495" i="8" s="1"/>
  <c r="F495" i="8"/>
  <c r="D495" i="8"/>
  <c r="J494" i="8"/>
  <c r="I494" i="8"/>
  <c r="H494" i="8"/>
  <c r="G494" i="8"/>
  <c r="C494" i="8" s="1"/>
  <c r="F494" i="8"/>
  <c r="D494" i="8"/>
  <c r="J493" i="8"/>
  <c r="I493" i="8"/>
  <c r="H493" i="8"/>
  <c r="G493" i="8"/>
  <c r="C493" i="8" s="1"/>
  <c r="F493" i="8"/>
  <c r="D493" i="8"/>
  <c r="J492" i="8"/>
  <c r="I492" i="8"/>
  <c r="H492" i="8"/>
  <c r="G492" i="8"/>
  <c r="C492" i="8" s="1"/>
  <c r="F492" i="8"/>
  <c r="D492" i="8"/>
  <c r="J491" i="8"/>
  <c r="I491" i="8"/>
  <c r="H491" i="8"/>
  <c r="G491" i="8"/>
  <c r="C491" i="8" s="1"/>
  <c r="F491" i="8"/>
  <c r="D491" i="8"/>
  <c r="J490" i="8"/>
  <c r="I490" i="8"/>
  <c r="H490" i="8"/>
  <c r="G490" i="8"/>
  <c r="C490" i="8" s="1"/>
  <c r="F490" i="8"/>
  <c r="D490" i="8"/>
  <c r="J489" i="8"/>
  <c r="I489" i="8"/>
  <c r="H489" i="8"/>
  <c r="G489" i="8"/>
  <c r="C489" i="8" s="1"/>
  <c r="F489" i="8"/>
  <c r="D489" i="8"/>
  <c r="J488" i="8"/>
  <c r="I488" i="8"/>
  <c r="H488" i="8"/>
  <c r="G488" i="8"/>
  <c r="C488" i="8" s="1"/>
  <c r="F488" i="8"/>
  <c r="D488" i="8"/>
  <c r="J487" i="8"/>
  <c r="I487" i="8"/>
  <c r="H487" i="8"/>
  <c r="G487" i="8"/>
  <c r="C487" i="8" s="1"/>
  <c r="F487" i="8"/>
  <c r="D487" i="8"/>
  <c r="J486" i="8"/>
  <c r="I486" i="8"/>
  <c r="H486" i="8"/>
  <c r="G486" i="8"/>
  <c r="C486" i="8" s="1"/>
  <c r="F486" i="8"/>
  <c r="D486" i="8"/>
  <c r="D485" i="8"/>
  <c r="C485" i="8"/>
  <c r="D477" i="8"/>
  <c r="C477" i="8"/>
  <c r="E477" i="8" s="1"/>
  <c r="D476" i="8"/>
  <c r="C476" i="8"/>
  <c r="D475" i="8"/>
  <c r="C475" i="8"/>
  <c r="D474" i="8"/>
  <c r="C474" i="8"/>
  <c r="D473" i="8"/>
  <c r="C473" i="8"/>
  <c r="D472" i="8"/>
  <c r="C472" i="8"/>
  <c r="D471" i="8"/>
  <c r="C471" i="8"/>
  <c r="D470" i="8"/>
  <c r="C470" i="8"/>
  <c r="D469" i="8"/>
  <c r="C469" i="8"/>
  <c r="D468" i="8"/>
  <c r="C468" i="8"/>
  <c r="D467" i="8"/>
  <c r="C467" i="8"/>
  <c r="D447" i="8"/>
  <c r="C447" i="8"/>
  <c r="E447" i="8" s="1"/>
  <c r="D446" i="8"/>
  <c r="C446" i="8"/>
  <c r="D445" i="8"/>
  <c r="C445" i="8"/>
  <c r="D444" i="8"/>
  <c r="C444" i="8"/>
  <c r="D443" i="8"/>
  <c r="C443" i="8"/>
  <c r="D442" i="8"/>
  <c r="C442" i="8"/>
  <c r="D441" i="8"/>
  <c r="C441" i="8"/>
  <c r="D440" i="8"/>
  <c r="C440" i="8"/>
  <c r="D439" i="8"/>
  <c r="C439" i="8"/>
  <c r="D438" i="8"/>
  <c r="C438" i="8"/>
  <c r="D437" i="8"/>
  <c r="C437" i="8"/>
  <c r="D403" i="8"/>
  <c r="C403" i="8"/>
  <c r="E403" i="8" s="1"/>
  <c r="D402" i="8"/>
  <c r="C402" i="8"/>
  <c r="D401" i="8"/>
  <c r="C401" i="8"/>
  <c r="D400" i="8"/>
  <c r="C400" i="8"/>
  <c r="D399" i="8"/>
  <c r="C399" i="8"/>
  <c r="D398" i="8"/>
  <c r="C398" i="8"/>
  <c r="D397" i="8"/>
  <c r="C397" i="8"/>
  <c r="D396" i="8"/>
  <c r="C396" i="8"/>
  <c r="D395" i="8"/>
  <c r="C395" i="8"/>
  <c r="D394" i="8"/>
  <c r="C394" i="8"/>
  <c r="D393" i="8"/>
  <c r="C393" i="8"/>
  <c r="D386" i="8"/>
  <c r="C386" i="8"/>
  <c r="D385" i="8"/>
  <c r="C385" i="8"/>
  <c r="D384" i="8"/>
  <c r="C384" i="8"/>
  <c r="D383" i="8"/>
  <c r="C383" i="8"/>
  <c r="D382" i="8"/>
  <c r="C382" i="8"/>
  <c r="D381" i="8"/>
  <c r="C381" i="8"/>
  <c r="E380" i="8" s="1"/>
  <c r="D380" i="8"/>
  <c r="D379" i="8"/>
  <c r="C379" i="8"/>
  <c r="E379" i="8" s="1"/>
  <c r="D378" i="8"/>
  <c r="C378" i="8"/>
  <c r="D377" i="8"/>
  <c r="C377" i="8"/>
  <c r="D376" i="8"/>
  <c r="C376" i="8"/>
  <c r="D368" i="8"/>
  <c r="C368" i="8"/>
  <c r="D367" i="8"/>
  <c r="C367" i="8"/>
  <c r="D366" i="8"/>
  <c r="C366" i="8"/>
  <c r="D365" i="8"/>
  <c r="C365" i="8"/>
  <c r="D364" i="8"/>
  <c r="C364" i="8"/>
  <c r="D363" i="8"/>
  <c r="C363" i="8"/>
  <c r="D362" i="8"/>
  <c r="C362" i="8"/>
  <c r="D361" i="8"/>
  <c r="C361" i="8"/>
  <c r="D360" i="8"/>
  <c r="C360" i="8"/>
  <c r="D359" i="8"/>
  <c r="C359" i="8"/>
  <c r="D358" i="8"/>
  <c r="C358" i="8"/>
  <c r="I350" i="8"/>
  <c r="H350" i="8"/>
  <c r="G350" i="8"/>
  <c r="F350" i="8"/>
  <c r="E350" i="8"/>
  <c r="I349" i="8"/>
  <c r="H349" i="8"/>
  <c r="G349" i="8"/>
  <c r="F349" i="8"/>
  <c r="E349" i="8"/>
  <c r="I348" i="8"/>
  <c r="H348" i="8"/>
  <c r="G348" i="8"/>
  <c r="F348" i="8"/>
  <c r="E348" i="8"/>
  <c r="I347" i="8"/>
  <c r="H347" i="8"/>
  <c r="G347" i="8"/>
  <c r="F347" i="8"/>
  <c r="E347" i="8"/>
  <c r="D345" i="8"/>
  <c r="C345" i="8"/>
  <c r="E345" i="8" s="1"/>
  <c r="D344" i="8"/>
  <c r="C344" i="8"/>
  <c r="D343" i="8"/>
  <c r="C343" i="8"/>
  <c r="D342" i="8"/>
  <c r="C342" i="8"/>
  <c r="D341" i="8"/>
  <c r="C341" i="8"/>
  <c r="D340" i="8"/>
  <c r="C340" i="8"/>
  <c r="D339" i="8"/>
  <c r="C339" i="8"/>
  <c r="D338" i="8"/>
  <c r="C338" i="8"/>
  <c r="D337" i="8"/>
  <c r="C337" i="8"/>
  <c r="D336" i="8"/>
  <c r="C336" i="8"/>
  <c r="D335" i="8"/>
  <c r="C335" i="8"/>
  <c r="G324" i="8"/>
  <c r="G323" i="8"/>
  <c r="G322" i="8"/>
  <c r="G321" i="8"/>
  <c r="G320" i="8"/>
  <c r="G319" i="8"/>
  <c r="G318" i="8"/>
  <c r="G317" i="8"/>
  <c r="G316" i="8"/>
  <c r="G315" i="8"/>
  <c r="G314" i="8"/>
  <c r="G313" i="8"/>
  <c r="G312" i="8"/>
  <c r="G311" i="8"/>
  <c r="G310" i="8"/>
  <c r="G309" i="8"/>
  <c r="G308" i="8"/>
  <c r="G307" i="8"/>
  <c r="G306" i="8"/>
  <c r="G305" i="8"/>
  <c r="G304" i="8"/>
  <c r="G303" i="8"/>
  <c r="G302" i="8"/>
  <c r="G301" i="8"/>
  <c r="G300" i="8"/>
  <c r="G299" i="8"/>
  <c r="G298" i="8"/>
  <c r="J280" i="8"/>
  <c r="I280" i="8"/>
  <c r="H280" i="8"/>
  <c r="G280" i="8"/>
  <c r="F280" i="8"/>
  <c r="E280" i="8"/>
  <c r="D280" i="8"/>
  <c r="C280" i="8"/>
  <c r="G266" i="8"/>
  <c r="H266" i="8" s="1"/>
  <c r="G265" i="8"/>
  <c r="H265" i="8" s="1"/>
  <c r="G264" i="8"/>
  <c r="H264" i="8" s="1"/>
  <c r="E238" i="8"/>
  <c r="D238" i="8" s="1"/>
  <c r="F219" i="8"/>
  <c r="G219" i="8" s="1"/>
  <c r="H219" i="8" s="1"/>
  <c r="I219" i="8" s="1"/>
  <c r="J219" i="8" s="1"/>
  <c r="D219" i="8"/>
  <c r="C219" i="8" s="1"/>
  <c r="F218" i="8"/>
  <c r="G218" i="8" s="1"/>
  <c r="H218" i="8" s="1"/>
  <c r="I218" i="8" s="1"/>
  <c r="J218" i="8" s="1"/>
  <c r="D218" i="8"/>
  <c r="C218" i="8" s="1"/>
  <c r="F217" i="8"/>
  <c r="G217" i="8" s="1"/>
  <c r="H217" i="8" s="1"/>
  <c r="I217" i="8" s="1"/>
  <c r="J217" i="8" s="1"/>
  <c r="D217" i="8"/>
  <c r="C217" i="8" s="1"/>
  <c r="F216" i="8"/>
  <c r="G216" i="8" s="1"/>
  <c r="H216" i="8" s="1"/>
  <c r="I216" i="8" s="1"/>
  <c r="J216" i="8" s="1"/>
  <c r="D216" i="8"/>
  <c r="C216" i="8" s="1"/>
  <c r="D215" i="8"/>
  <c r="D214" i="8"/>
  <c r="D213" i="8"/>
  <c r="D212" i="8"/>
  <c r="D211" i="8"/>
  <c r="E210" i="8"/>
  <c r="D210" i="8" s="1"/>
  <c r="J185" i="8"/>
  <c r="J192" i="8" s="1"/>
  <c r="I185" i="8"/>
  <c r="I192" i="8" s="1"/>
  <c r="H185" i="8"/>
  <c r="H192" i="8" s="1"/>
  <c r="G185" i="8"/>
  <c r="G192" i="8" s="1"/>
  <c r="F185" i="8"/>
  <c r="F192" i="8" s="1"/>
  <c r="E185" i="8"/>
  <c r="E192" i="8" s="1"/>
  <c r="D185" i="8"/>
  <c r="D192" i="8" s="1"/>
  <c r="C185" i="8"/>
  <c r="C192" i="8" s="1"/>
  <c r="E160" i="8"/>
  <c r="G155" i="8"/>
  <c r="F155" i="8"/>
  <c r="E155" i="8"/>
  <c r="G154" i="8"/>
  <c r="F154" i="8"/>
  <c r="E154" i="8"/>
  <c r="G153" i="8"/>
  <c r="F153" i="8"/>
  <c r="E153" i="8"/>
  <c r="G152" i="8"/>
  <c r="F152" i="8"/>
  <c r="E152" i="8"/>
  <c r="G151" i="8"/>
  <c r="F151" i="8"/>
  <c r="E151" i="8"/>
  <c r="G150" i="8"/>
  <c r="F150" i="8"/>
  <c r="E150" i="8"/>
  <c r="G149" i="8"/>
  <c r="F149" i="8"/>
  <c r="E149" i="8"/>
  <c r="G148" i="8"/>
  <c r="F148" i="8"/>
  <c r="E148" i="8"/>
  <c r="G147" i="8"/>
  <c r="F147" i="8"/>
  <c r="E147" i="8"/>
  <c r="G146" i="8"/>
  <c r="F146" i="8"/>
  <c r="J135" i="8"/>
  <c r="J142" i="8" s="1"/>
  <c r="I135" i="8"/>
  <c r="I142" i="8" s="1"/>
  <c r="H135" i="8"/>
  <c r="H142" i="8" s="1"/>
  <c r="G135" i="8"/>
  <c r="G142" i="8" s="1"/>
  <c r="F135" i="8"/>
  <c r="F142" i="8" s="1"/>
  <c r="E135" i="8"/>
  <c r="E142" i="8" s="1"/>
  <c r="D135" i="8"/>
  <c r="D142" i="8" s="1"/>
  <c r="C142" i="8"/>
  <c r="J110" i="8"/>
  <c r="J117" i="8" s="1"/>
  <c r="I110" i="8"/>
  <c r="I117" i="8" s="1"/>
  <c r="H110" i="8"/>
  <c r="H117" i="8" s="1"/>
  <c r="G110" i="8"/>
  <c r="G117" i="8" s="1"/>
  <c r="F110" i="8"/>
  <c r="F117" i="8" s="1"/>
  <c r="E110" i="8"/>
  <c r="E117" i="8" s="1"/>
  <c r="D110" i="8"/>
  <c r="D117" i="8" s="1"/>
  <c r="C110" i="8"/>
  <c r="C117" i="8" s="1"/>
  <c r="L98" i="8"/>
  <c r="M98" i="8" s="1"/>
  <c r="L97" i="8"/>
  <c r="M97" i="8" s="1"/>
  <c r="L96" i="8"/>
  <c r="M96" i="8" s="1"/>
  <c r="J86" i="8"/>
  <c r="J91" i="8" s="1"/>
  <c r="J99" i="8" s="1"/>
  <c r="J291" i="8" s="1"/>
  <c r="J292" i="8" s="1"/>
  <c r="I86" i="8"/>
  <c r="I91" i="8" s="1"/>
  <c r="I99" i="8" s="1"/>
  <c r="H86" i="8"/>
  <c r="H91" i="8" s="1"/>
  <c r="H99" i="8" s="1"/>
  <c r="H102" i="8" s="1"/>
  <c r="H109" i="8" s="1"/>
  <c r="G86" i="8"/>
  <c r="G91" i="8" s="1"/>
  <c r="G99" i="8" s="1"/>
  <c r="F86" i="8"/>
  <c r="F91" i="8" s="1"/>
  <c r="F99" i="8" s="1"/>
  <c r="E86" i="8"/>
  <c r="E91" i="8" s="1"/>
  <c r="E99" i="8" s="1"/>
  <c r="E291" i="8" s="1"/>
  <c r="E293" i="8" s="1"/>
  <c r="D86" i="8"/>
  <c r="D91" i="8" s="1"/>
  <c r="D99" i="8" s="1"/>
  <c r="C86" i="8"/>
  <c r="C91" i="8" s="1"/>
  <c r="C99" i="8" s="1"/>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E24" i="8"/>
  <c r="C24" i="8"/>
  <c r="E23" i="8"/>
  <c r="C23" i="8"/>
  <c r="B861" i="19" s="1"/>
  <c r="E22" i="8"/>
  <c r="C22" i="8"/>
  <c r="A798" i="19" s="1"/>
  <c r="E21" i="8"/>
  <c r="C21" i="8"/>
  <c r="C299" i="19" s="1"/>
  <c r="E20" i="8"/>
  <c r="C20" i="8"/>
  <c r="C461" i="8" s="1"/>
  <c r="E19" i="8"/>
  <c r="C19" i="8"/>
  <c r="E18" i="8"/>
  <c r="C18" i="8"/>
  <c r="C1613" i="19" s="1"/>
  <c r="E17" i="8"/>
  <c r="C17" i="8"/>
  <c r="C1589" i="19" s="1"/>
  <c r="E16" i="8"/>
  <c r="C16" i="8"/>
  <c r="A504" i="19" s="1"/>
  <c r="E15" i="8"/>
  <c r="C15" i="8"/>
  <c r="AE236" i="39" s="1"/>
  <c r="E14" i="8"/>
  <c r="C14" i="8"/>
  <c r="E13" i="8"/>
  <c r="C13" i="8"/>
  <c r="E12" i="8"/>
  <c r="C12" i="8"/>
  <c r="E11" i="8"/>
  <c r="C11" i="8"/>
  <c r="E10" i="8"/>
  <c r="C10" i="8"/>
  <c r="E9" i="8"/>
  <c r="C9" i="8"/>
  <c r="E8" i="8"/>
  <c r="C8" i="8"/>
  <c r="B186" i="8" s="1"/>
  <c r="E7" i="8"/>
  <c r="C7" i="8"/>
  <c r="E6" i="8"/>
  <c r="C6" i="8"/>
  <c r="C409" i="6" s="1"/>
  <c r="E5" i="8"/>
  <c r="C5" i="8"/>
  <c r="B364" i="58"/>
  <c r="B362" i="58"/>
  <c r="B361" i="58"/>
  <c r="E322" i="58"/>
  <c r="D322" i="58"/>
  <c r="C322" i="58"/>
  <c r="E321" i="58"/>
  <c r="D321" i="58"/>
  <c r="C321" i="58"/>
  <c r="E308" i="58"/>
  <c r="D308" i="58"/>
  <c r="C308" i="58"/>
  <c r="E307" i="58"/>
  <c r="D307" i="58"/>
  <c r="C307" i="58"/>
  <c r="E294" i="58"/>
  <c r="D294" i="58"/>
  <c r="C294" i="58"/>
  <c r="E293" i="58"/>
  <c r="D293" i="58"/>
  <c r="C293" i="58"/>
  <c r="E279" i="58"/>
  <c r="D279" i="58"/>
  <c r="C279" i="58"/>
  <c r="E278" i="58"/>
  <c r="D278" i="58"/>
  <c r="C278" i="58"/>
  <c r="E263" i="58"/>
  <c r="D263" i="58"/>
  <c r="C263" i="58"/>
  <c r="E262" i="58"/>
  <c r="D262" i="58"/>
  <c r="C262" i="58"/>
  <c r="E246" i="58"/>
  <c r="D246" i="58"/>
  <c r="C246" i="58"/>
  <c r="E245" i="58"/>
  <c r="D245" i="58"/>
  <c r="C245" i="58"/>
  <c r="E235" i="58"/>
  <c r="D235" i="58"/>
  <c r="C235" i="58"/>
  <c r="E223" i="58"/>
  <c r="D223" i="58"/>
  <c r="C223" i="58"/>
  <c r="F222" i="58"/>
  <c r="F225" i="58" s="1"/>
  <c r="E222" i="58"/>
  <c r="B163" i="58"/>
  <c r="B162" i="58"/>
  <c r="B161" i="58"/>
  <c r="B160" i="58"/>
  <c r="B159" i="58"/>
  <c r="B116" i="58"/>
  <c r="B115" i="58"/>
  <c r="B114" i="58"/>
  <c r="B113" i="58"/>
  <c r="B112" i="58"/>
  <c r="B20" i="58"/>
  <c r="B19" i="58"/>
  <c r="B18" i="58"/>
  <c r="B17" i="58"/>
  <c r="B16" i="58"/>
  <c r="G744" i="6"/>
  <c r="G745" i="6" s="1"/>
  <c r="H745" i="6" s="1"/>
  <c r="G741" i="6"/>
  <c r="G742" i="6" s="1"/>
  <c r="G738" i="6"/>
  <c r="G739" i="6" s="1"/>
  <c r="H739" i="6" s="1"/>
  <c r="G735" i="6"/>
  <c r="G736" i="6" s="1"/>
  <c r="H736" i="6" s="1"/>
  <c r="I736" i="6" s="1"/>
  <c r="J736" i="6" s="1"/>
  <c r="K736" i="6" s="1"/>
  <c r="E734" i="6"/>
  <c r="G731" i="6"/>
  <c r="G730" i="6"/>
  <c r="G729" i="6"/>
  <c r="G728" i="6"/>
  <c r="G727" i="6"/>
  <c r="G726" i="6"/>
  <c r="G724" i="6"/>
  <c r="G723" i="6"/>
  <c r="G720" i="6"/>
  <c r="G718" i="6"/>
  <c r="G717" i="6"/>
  <c r="G715" i="6"/>
  <c r="G713" i="6"/>
  <c r="G711" i="6"/>
  <c r="G708" i="6"/>
  <c r="G707" i="6"/>
  <c r="G705" i="6"/>
  <c r="G702" i="6"/>
  <c r="G700" i="6"/>
  <c r="G698" i="6"/>
  <c r="G694" i="6"/>
  <c r="G692" i="6"/>
  <c r="E691" i="6"/>
  <c r="I9" i="15" s="1"/>
  <c r="G690" i="6"/>
  <c r="G688" i="6"/>
  <c r="E687" i="6"/>
  <c r="G686" i="6"/>
  <c r="G685" i="6"/>
  <c r="G680" i="6"/>
  <c r="G678" i="6"/>
  <c r="G675" i="6"/>
  <c r="G674" i="6"/>
  <c r="G671" i="6"/>
  <c r="E668" i="6"/>
  <c r="E667" i="6"/>
  <c r="G666" i="6"/>
  <c r="G656" i="6"/>
  <c r="G651" i="6"/>
  <c r="G645" i="6"/>
  <c r="G640" i="6"/>
  <c r="G638" i="6"/>
  <c r="G637" i="6"/>
  <c r="G636" i="6"/>
  <c r="G635" i="6"/>
  <c r="G683" i="6"/>
  <c r="G634" i="6"/>
  <c r="G631" i="6"/>
  <c r="G620" i="6"/>
  <c r="G618" i="6"/>
  <c r="G609" i="6"/>
  <c r="G608" i="6"/>
  <c r="G607" i="6"/>
  <c r="G605" i="6"/>
  <c r="G603" i="6"/>
  <c r="G601" i="6"/>
  <c r="G600" i="6"/>
  <c r="G598" i="6"/>
  <c r="G596" i="6"/>
  <c r="G595" i="6"/>
  <c r="G594" i="6"/>
  <c r="G592" i="6"/>
  <c r="G591" i="6"/>
  <c r="G585" i="6"/>
  <c r="G584" i="6"/>
  <c r="G582" i="6"/>
  <c r="G576" i="6"/>
  <c r="G575" i="6"/>
  <c r="G574" i="6"/>
  <c r="G569" i="6"/>
  <c r="G568" i="6"/>
  <c r="G560" i="6"/>
  <c r="G559" i="6"/>
  <c r="G558" i="6"/>
  <c r="G557" i="6"/>
  <c r="G556" i="6"/>
  <c r="G555" i="6"/>
  <c r="G552" i="6"/>
  <c r="G550" i="6"/>
  <c r="G544" i="6"/>
  <c r="G543" i="6"/>
  <c r="G537" i="6"/>
  <c r="G536" i="6"/>
  <c r="G530" i="6"/>
  <c r="G529" i="6"/>
  <c r="G523" i="6"/>
  <c r="G522" i="6"/>
  <c r="G520" i="6"/>
  <c r="G515" i="6"/>
  <c r="G510" i="6"/>
  <c r="G509" i="6"/>
  <c r="G508" i="6"/>
  <c r="G506" i="6"/>
  <c r="G504" i="6"/>
  <c r="G502" i="6"/>
  <c r="G501" i="6"/>
  <c r="G499" i="6"/>
  <c r="G497" i="6"/>
  <c r="G496" i="6"/>
  <c r="G495" i="6"/>
  <c r="G493" i="6"/>
  <c r="G492" i="6"/>
  <c r="G486" i="6"/>
  <c r="G485" i="6"/>
  <c r="G483" i="6"/>
  <c r="G477" i="6"/>
  <c r="G476" i="6"/>
  <c r="G474" i="6"/>
  <c r="G469" i="6"/>
  <c r="G462" i="6"/>
  <c r="G461" i="6"/>
  <c r="G458" i="6"/>
  <c r="G457" i="6"/>
  <c r="G456" i="6"/>
  <c r="G454" i="6"/>
  <c r="G453" i="6"/>
  <c r="G447" i="6"/>
  <c r="G446" i="6"/>
  <c r="G440" i="6"/>
  <c r="G439" i="6"/>
  <c r="G433" i="6"/>
  <c r="G432" i="6"/>
  <c r="G426" i="6"/>
  <c r="G425" i="6"/>
  <c r="G424" i="6"/>
  <c r="G422" i="6"/>
  <c r="G417" i="6"/>
  <c r="G412" i="6"/>
  <c r="G411" i="6"/>
  <c r="G410" i="6"/>
  <c r="G408" i="6"/>
  <c r="G406" i="6"/>
  <c r="G404" i="6"/>
  <c r="G403" i="6"/>
  <c r="G401" i="6"/>
  <c r="G399" i="6"/>
  <c r="G398" i="6"/>
  <c r="G397" i="6"/>
  <c r="G395" i="6"/>
  <c r="G394" i="6"/>
  <c r="G388" i="6"/>
  <c r="G387" i="6"/>
  <c r="G385" i="6"/>
  <c r="G379" i="6"/>
  <c r="G378" i="6"/>
  <c r="G377" i="6"/>
  <c r="G375" i="6"/>
  <c r="G370" i="6"/>
  <c r="G363" i="6"/>
  <c r="G362" i="6"/>
  <c r="G361" i="6"/>
  <c r="G359" i="6"/>
  <c r="G357" i="6"/>
  <c r="G356" i="6"/>
  <c r="G354" i="6"/>
  <c r="G348" i="6"/>
  <c r="G347" i="6"/>
  <c r="G341" i="6"/>
  <c r="G340" i="6"/>
  <c r="G334" i="6"/>
  <c r="G333" i="6"/>
  <c r="G327" i="6"/>
  <c r="G326" i="6"/>
  <c r="G324" i="6"/>
  <c r="G319" i="6"/>
  <c r="G314" i="6"/>
  <c r="G313" i="6"/>
  <c r="G312" i="6"/>
  <c r="G311" i="6"/>
  <c r="G310" i="6"/>
  <c r="G309" i="6"/>
  <c r="G303" i="6"/>
  <c r="G302" i="6"/>
  <c r="G298" i="6"/>
  <c r="G297" i="6"/>
  <c r="G296" i="6"/>
  <c r="G291" i="6"/>
  <c r="G290" i="6"/>
  <c r="G285" i="6"/>
  <c r="G284" i="6"/>
  <c r="G279" i="6"/>
  <c r="G278" i="6"/>
  <c r="G277" i="6"/>
  <c r="G272" i="6"/>
  <c r="G267" i="6"/>
  <c r="G266" i="6"/>
  <c r="G265" i="6"/>
  <c r="E264" i="6"/>
  <c r="E660" i="6" s="1"/>
  <c r="G263" i="6"/>
  <c r="G262" i="6"/>
  <c r="G261" i="6"/>
  <c r="G260" i="6"/>
  <c r="G255" i="6"/>
  <c r="G254" i="6"/>
  <c r="G249" i="6"/>
  <c r="G248" i="6"/>
  <c r="G247" i="6"/>
  <c r="G242" i="6"/>
  <c r="G241" i="6"/>
  <c r="G236" i="6"/>
  <c r="G235" i="6"/>
  <c r="G230" i="6"/>
  <c r="G229" i="6"/>
  <c r="G224" i="6"/>
  <c r="G223" i="6"/>
  <c r="G217" i="6"/>
  <c r="G216" i="6"/>
  <c r="G210" i="6"/>
  <c r="G209" i="6"/>
  <c r="G208" i="6"/>
  <c r="G203" i="6"/>
  <c r="G202" i="6"/>
  <c r="G197" i="6"/>
  <c r="G196" i="6"/>
  <c r="G192" i="6"/>
  <c r="G186" i="6"/>
  <c r="G185" i="6"/>
  <c r="G184" i="6"/>
  <c r="G183" i="6"/>
  <c r="G182" i="6"/>
  <c r="G181" i="6"/>
  <c r="G180" i="6"/>
  <c r="G179" i="6"/>
  <c r="G173" i="6"/>
  <c r="G172" i="6"/>
  <c r="G171" i="6"/>
  <c r="G170" i="6"/>
  <c r="G169" i="6"/>
  <c r="G168" i="6"/>
  <c r="G167" i="6"/>
  <c r="G166" i="6"/>
  <c r="G160" i="6"/>
  <c r="G159" i="6"/>
  <c r="G158" i="6"/>
  <c r="G157" i="6"/>
  <c r="G156" i="6"/>
  <c r="G155" i="6"/>
  <c r="G154" i="6"/>
  <c r="G153" i="6"/>
  <c r="G152" i="6"/>
  <c r="G151" i="6"/>
  <c r="G150" i="6"/>
  <c r="G146" i="6"/>
  <c r="G145" i="6"/>
  <c r="G140" i="6"/>
  <c r="G139" i="6"/>
  <c r="G134" i="6"/>
  <c r="G129" i="6"/>
  <c r="G124" i="6"/>
  <c r="G123" i="6"/>
  <c r="G117" i="6"/>
  <c r="G116" i="6"/>
  <c r="G114" i="6"/>
  <c r="G113" i="6"/>
  <c r="E112" i="6"/>
  <c r="E109" i="6"/>
  <c r="E108" i="6"/>
  <c r="G107" i="6"/>
  <c r="G105" i="6"/>
  <c r="G104" i="6"/>
  <c r="E103" i="6"/>
  <c r="E100" i="6"/>
  <c r="E99" i="6"/>
  <c r="G98" i="6"/>
  <c r="E96" i="6"/>
  <c r="E95" i="6"/>
  <c r="E94" i="6"/>
  <c r="E91" i="6"/>
  <c r="E90" i="6"/>
  <c r="G89" i="6"/>
  <c r="G88" i="6"/>
  <c r="G83" i="6"/>
  <c r="G78" i="6"/>
  <c r="G73" i="6"/>
  <c r="G71" i="6"/>
  <c r="G70" i="6"/>
  <c r="G64" i="6"/>
  <c r="G62" i="6"/>
  <c r="G61" i="6"/>
  <c r="G55" i="6"/>
  <c r="G53" i="6"/>
  <c r="G52" i="6"/>
  <c r="G46" i="6"/>
  <c r="G45" i="6"/>
  <c r="G44" i="6"/>
  <c r="G39" i="6"/>
  <c r="G38" i="6"/>
  <c r="G33" i="6"/>
  <c r="G32" i="6"/>
  <c r="G31" i="6"/>
  <c r="G30" i="6"/>
  <c r="G29" i="6"/>
  <c r="G28" i="6"/>
  <c r="G27" i="6"/>
  <c r="G26" i="6"/>
  <c r="G24" i="6"/>
  <c r="E22" i="6"/>
  <c r="G18" i="6"/>
  <c r="G17" i="6"/>
  <c r="G16" i="6"/>
  <c r="E15" i="6"/>
  <c r="E653" i="6" s="1"/>
  <c r="G14" i="6"/>
  <c r="G12" i="6"/>
  <c r="G10" i="6"/>
  <c r="G7" i="6"/>
  <c r="G2600" i="19"/>
  <c r="G2599" i="19"/>
  <c r="G2598" i="19"/>
  <c r="G2597" i="19"/>
  <c r="G2596" i="19"/>
  <c r="G2595" i="19"/>
  <c r="G2594" i="19"/>
  <c r="G2593" i="19"/>
  <c r="G2592" i="19"/>
  <c r="G2591" i="19"/>
  <c r="G2590" i="19"/>
  <c r="G2589" i="19"/>
  <c r="G2588" i="19"/>
  <c r="G2587" i="19"/>
  <c r="G2586" i="19"/>
  <c r="G2585" i="19"/>
  <c r="G2584" i="19"/>
  <c r="G2583" i="19"/>
  <c r="G2582" i="19"/>
  <c r="G2581" i="19"/>
  <c r="G2580" i="19"/>
  <c r="G2579" i="19"/>
  <c r="G2578" i="19"/>
  <c r="G2577" i="19"/>
  <c r="G2576" i="19"/>
  <c r="G2575" i="19"/>
  <c r="G2574" i="19"/>
  <c r="G2573" i="19"/>
  <c r="G2572" i="19"/>
  <c r="G2571" i="19"/>
  <c r="G2570" i="19"/>
  <c r="G2569" i="19"/>
  <c r="G2568" i="19"/>
  <c r="G2567" i="19"/>
  <c r="G2566" i="19"/>
  <c r="G2565" i="19"/>
  <c r="G2564" i="19"/>
  <c r="G2563" i="19"/>
  <c r="G2562" i="19"/>
  <c r="G2561" i="19"/>
  <c r="G2560" i="19"/>
  <c r="G2559" i="19"/>
  <c r="G2558" i="19"/>
  <c r="G2557" i="19"/>
  <c r="G2556" i="19"/>
  <c r="G2555" i="19"/>
  <c r="G2554" i="19"/>
  <c r="G2553" i="19"/>
  <c r="G2552" i="19"/>
  <c r="G2551" i="19"/>
  <c r="G2550" i="19"/>
  <c r="G2549" i="19"/>
  <c r="G2548" i="19"/>
  <c r="G2547" i="19"/>
  <c r="G2546" i="19"/>
  <c r="G2545" i="19"/>
  <c r="G2544" i="19"/>
  <c r="G2543" i="19"/>
  <c r="G2542" i="19"/>
  <c r="G2541" i="19"/>
  <c r="G2540" i="19"/>
  <c r="G2539" i="19"/>
  <c r="G2538" i="19"/>
  <c r="G2537" i="19"/>
  <c r="G2536" i="19"/>
  <c r="G2535" i="19"/>
  <c r="G2534" i="19"/>
  <c r="G2533" i="19"/>
  <c r="G2532" i="19"/>
  <c r="G2531" i="19"/>
  <c r="G2530" i="19"/>
  <c r="G2529" i="19"/>
  <c r="G2528" i="19"/>
  <c r="G2527" i="19"/>
  <c r="G2526" i="19"/>
  <c r="G2525" i="19"/>
  <c r="G2524" i="19"/>
  <c r="G2523" i="19"/>
  <c r="G2522" i="19"/>
  <c r="G2521" i="19"/>
  <c r="G2520" i="19"/>
  <c r="G2519" i="19"/>
  <c r="G2518" i="19"/>
  <c r="G2517" i="19"/>
  <c r="G2516" i="19"/>
  <c r="G2515" i="19"/>
  <c r="G2514" i="19"/>
  <c r="G2513" i="19"/>
  <c r="G2512" i="19"/>
  <c r="G2511" i="19"/>
  <c r="G2510" i="19"/>
  <c r="G2509" i="19"/>
  <c r="G2508" i="19"/>
  <c r="G2507" i="19"/>
  <c r="G2506" i="19"/>
  <c r="G2505" i="19"/>
  <c r="G2504" i="19"/>
  <c r="G2503" i="19"/>
  <c r="G2502" i="19"/>
  <c r="G2501" i="19"/>
  <c r="G2500" i="19"/>
  <c r="G2499" i="19"/>
  <c r="G2498" i="19"/>
  <c r="G2497" i="19"/>
  <c r="G2496" i="19"/>
  <c r="G2495" i="19"/>
  <c r="G2494" i="19"/>
  <c r="G2493" i="19"/>
  <c r="G2492" i="19"/>
  <c r="G2491" i="19"/>
  <c r="G2490" i="19"/>
  <c r="G2489" i="19"/>
  <c r="G2488" i="19"/>
  <c r="G2487" i="19"/>
  <c r="G2486" i="19"/>
  <c r="G2485" i="19"/>
  <c r="G2484" i="19"/>
  <c r="G2483" i="19"/>
  <c r="G2482" i="19"/>
  <c r="G2481" i="19"/>
  <c r="G2480" i="19"/>
  <c r="G2479" i="19"/>
  <c r="G2478" i="19"/>
  <c r="G2477" i="19"/>
  <c r="G2476" i="19"/>
  <c r="G2475" i="19"/>
  <c r="G2474" i="19"/>
  <c r="G2473" i="19"/>
  <c r="G2472" i="19"/>
  <c r="G2471" i="19"/>
  <c r="G2470" i="19"/>
  <c r="G2469" i="19"/>
  <c r="G2468" i="19"/>
  <c r="G2467" i="19"/>
  <c r="G2466" i="19"/>
  <c r="G2465" i="19"/>
  <c r="G2464" i="19"/>
  <c r="G2463" i="19"/>
  <c r="G2462" i="19"/>
  <c r="G2461" i="19"/>
  <c r="G2460" i="19"/>
  <c r="G2459" i="19"/>
  <c r="G2458" i="19"/>
  <c r="G2457" i="19"/>
  <c r="G2456" i="19"/>
  <c r="G2455" i="19"/>
  <c r="G2454" i="19"/>
  <c r="G2453" i="19"/>
  <c r="G2452" i="19"/>
  <c r="G2451" i="19"/>
  <c r="G2450" i="19"/>
  <c r="G2449" i="19"/>
  <c r="G2448" i="19"/>
  <c r="G2447" i="19"/>
  <c r="G2446" i="19"/>
  <c r="G2445" i="19"/>
  <c r="G2444" i="19"/>
  <c r="G2443" i="19"/>
  <c r="G2442" i="19"/>
  <c r="G2441" i="19"/>
  <c r="G2440" i="19"/>
  <c r="G2439" i="19"/>
  <c r="G2438" i="19"/>
  <c r="G2437" i="19"/>
  <c r="G2436" i="19"/>
  <c r="G2435" i="19"/>
  <c r="G2434" i="19"/>
  <c r="G2433" i="19"/>
  <c r="G2432" i="19"/>
  <c r="G2431" i="19"/>
  <c r="G2430" i="19"/>
  <c r="G2429" i="19"/>
  <c r="G2428" i="19"/>
  <c r="G2427" i="19"/>
  <c r="G2426" i="19"/>
  <c r="G2425" i="19"/>
  <c r="G2424" i="19"/>
  <c r="G2423" i="19"/>
  <c r="G2422" i="19"/>
  <c r="G2421" i="19"/>
  <c r="G2420" i="19"/>
  <c r="G2419" i="19"/>
  <c r="G2418" i="19"/>
  <c r="G2417" i="19"/>
  <c r="G2416" i="19"/>
  <c r="G2415" i="19"/>
  <c r="G2414" i="19"/>
  <c r="G2413" i="19"/>
  <c r="G2412" i="19"/>
  <c r="G2411" i="19"/>
  <c r="G2410" i="19"/>
  <c r="G2409" i="19"/>
  <c r="G2408" i="19"/>
  <c r="G2407" i="19"/>
  <c r="G2406" i="19"/>
  <c r="G2405" i="19"/>
  <c r="G2404" i="19"/>
  <c r="G2403" i="19"/>
  <c r="G2402" i="19"/>
  <c r="G2401" i="19"/>
  <c r="G2400" i="19"/>
  <c r="G2399" i="19"/>
  <c r="G2398" i="19"/>
  <c r="G2397" i="19"/>
  <c r="G2396" i="19"/>
  <c r="G2395" i="19"/>
  <c r="G2394" i="19"/>
  <c r="G2393" i="19"/>
  <c r="G2392" i="19"/>
  <c r="G2391" i="19"/>
  <c r="G2390" i="19"/>
  <c r="G2389" i="19"/>
  <c r="G2388" i="19"/>
  <c r="G2387" i="19"/>
  <c r="G2386" i="19"/>
  <c r="G2385" i="19"/>
  <c r="G2384" i="19"/>
  <c r="G2383" i="19"/>
  <c r="G2382" i="19"/>
  <c r="G2381" i="19"/>
  <c r="G2380" i="19"/>
  <c r="G2379" i="19"/>
  <c r="G2378" i="19"/>
  <c r="G2377" i="19"/>
  <c r="G2376" i="19"/>
  <c r="G2375" i="19"/>
  <c r="G2374" i="19"/>
  <c r="G2373" i="19"/>
  <c r="G2372" i="19"/>
  <c r="G2371" i="19"/>
  <c r="G2370" i="19"/>
  <c r="G2369" i="19"/>
  <c r="G2368" i="19"/>
  <c r="G2367" i="19"/>
  <c r="G2366" i="19"/>
  <c r="G2365" i="19"/>
  <c r="G2364" i="19"/>
  <c r="G2363" i="19"/>
  <c r="G2362" i="19"/>
  <c r="G2361" i="19"/>
  <c r="G2360" i="19"/>
  <c r="G2359" i="19"/>
  <c r="G2358" i="19"/>
  <c r="G2357" i="19"/>
  <c r="G2356" i="19"/>
  <c r="G2355" i="19"/>
  <c r="G2354" i="19"/>
  <c r="G2353" i="19"/>
  <c r="G2352" i="19"/>
  <c r="G2351" i="19"/>
  <c r="G2350" i="19"/>
  <c r="G2349" i="19"/>
  <c r="G2348" i="19"/>
  <c r="G2347" i="19"/>
  <c r="G2346" i="19"/>
  <c r="G2345" i="19"/>
  <c r="G2344" i="19"/>
  <c r="G2343" i="19"/>
  <c r="G2342" i="19"/>
  <c r="G2341" i="19"/>
  <c r="G2340" i="19"/>
  <c r="G2339" i="19"/>
  <c r="G2338" i="19"/>
  <c r="G2337" i="19"/>
  <c r="G2336" i="19"/>
  <c r="G2335" i="19"/>
  <c r="G2334" i="19"/>
  <c r="G2333" i="19"/>
  <c r="G2332" i="19"/>
  <c r="G2331" i="19"/>
  <c r="G2330" i="19"/>
  <c r="G2329" i="19"/>
  <c r="G2328" i="19"/>
  <c r="G2327" i="19"/>
  <c r="G2326" i="19"/>
  <c r="G2325" i="19"/>
  <c r="G2324" i="19"/>
  <c r="G2323" i="19"/>
  <c r="G2322" i="19"/>
  <c r="G2321" i="19"/>
  <c r="G2320" i="19"/>
  <c r="G2319" i="19"/>
  <c r="G2318" i="19"/>
  <c r="G2317" i="19"/>
  <c r="G2316" i="19"/>
  <c r="G2315" i="19"/>
  <c r="G2314" i="19"/>
  <c r="G2313" i="19"/>
  <c r="G2312" i="19"/>
  <c r="G2311" i="19"/>
  <c r="G2310" i="19"/>
  <c r="G2309" i="19"/>
  <c r="G2308" i="19"/>
  <c r="G2307" i="19"/>
  <c r="G2306" i="19"/>
  <c r="G2305" i="19"/>
  <c r="G2304" i="19"/>
  <c r="G2303" i="19"/>
  <c r="G2302" i="19"/>
  <c r="G2301" i="19"/>
  <c r="G2300" i="19"/>
  <c r="G2299" i="19"/>
  <c r="G2298" i="19"/>
  <c r="G2297" i="19"/>
  <c r="G2296" i="19"/>
  <c r="G2295" i="19"/>
  <c r="G2294" i="19"/>
  <c r="G2293" i="19"/>
  <c r="G2292" i="19"/>
  <c r="G2291" i="19"/>
  <c r="G2290" i="19"/>
  <c r="G2289" i="19"/>
  <c r="G2288" i="19"/>
  <c r="G2287" i="19"/>
  <c r="G2286" i="19"/>
  <c r="G2285" i="19"/>
  <c r="G2284" i="19"/>
  <c r="G2283" i="19"/>
  <c r="G2282" i="19"/>
  <c r="G2281" i="19"/>
  <c r="G2280" i="19"/>
  <c r="G2279" i="19"/>
  <c r="G2278" i="19"/>
  <c r="G2277" i="19"/>
  <c r="G2276" i="19"/>
  <c r="G2275" i="19"/>
  <c r="G2274" i="19"/>
  <c r="G2273" i="19"/>
  <c r="G2272" i="19"/>
  <c r="G2271" i="19"/>
  <c r="G2270" i="19"/>
  <c r="G2269" i="19"/>
  <c r="G2268" i="19"/>
  <c r="G2267" i="19"/>
  <c r="G2266" i="19"/>
  <c r="G2265" i="19"/>
  <c r="G2264" i="19"/>
  <c r="G2263" i="19"/>
  <c r="G2262" i="19"/>
  <c r="G2261" i="19"/>
  <c r="G2260" i="19"/>
  <c r="G2259" i="19"/>
  <c r="G2258" i="19"/>
  <c r="G2257" i="19"/>
  <c r="G2256" i="19"/>
  <c r="G2255" i="19"/>
  <c r="G2254" i="19"/>
  <c r="G2253" i="19"/>
  <c r="G2252" i="19"/>
  <c r="G2251" i="19"/>
  <c r="G2250" i="19"/>
  <c r="G2249" i="19"/>
  <c r="G2248" i="19"/>
  <c r="G2247" i="19"/>
  <c r="G2246" i="19"/>
  <c r="G2245" i="19"/>
  <c r="G2244" i="19"/>
  <c r="G2243" i="19"/>
  <c r="G2242" i="19"/>
  <c r="G2241" i="19"/>
  <c r="G2240" i="19"/>
  <c r="G2239" i="19"/>
  <c r="G2238" i="19"/>
  <c r="G2237" i="19"/>
  <c r="G2236" i="19"/>
  <c r="G2235" i="19"/>
  <c r="G2234" i="19"/>
  <c r="G2233" i="19"/>
  <c r="G2232" i="19"/>
  <c r="G2231" i="19"/>
  <c r="G2230" i="19"/>
  <c r="G2229" i="19"/>
  <c r="G2228" i="19"/>
  <c r="G2227" i="19"/>
  <c r="G2226" i="19"/>
  <c r="G2225" i="19"/>
  <c r="G2224" i="19"/>
  <c r="G2223" i="19"/>
  <c r="G2222" i="19"/>
  <c r="G2221" i="19"/>
  <c r="G2220" i="19"/>
  <c r="G2219" i="19"/>
  <c r="G2218" i="19"/>
  <c r="G2217" i="19"/>
  <c r="G2216" i="19"/>
  <c r="G2215" i="19"/>
  <c r="G2214" i="19"/>
  <c r="G2213" i="19"/>
  <c r="G2212" i="19"/>
  <c r="G2211" i="19"/>
  <c r="G2210" i="19"/>
  <c r="G2209" i="19"/>
  <c r="G2208" i="19"/>
  <c r="G2207" i="19"/>
  <c r="G2206" i="19"/>
  <c r="G2205" i="19"/>
  <c r="G2204" i="19"/>
  <c r="G2203" i="19"/>
  <c r="G2202" i="19"/>
  <c r="G2201" i="19"/>
  <c r="G2200" i="19"/>
  <c r="G2199" i="19"/>
  <c r="G2198" i="19"/>
  <c r="G2197" i="19"/>
  <c r="G2196" i="19"/>
  <c r="G2195" i="19"/>
  <c r="G2194" i="19"/>
  <c r="G2193" i="19"/>
  <c r="G2192" i="19"/>
  <c r="G2191" i="19"/>
  <c r="G2190" i="19"/>
  <c r="G2189" i="19"/>
  <c r="G2188" i="19"/>
  <c r="G2187" i="19"/>
  <c r="G2186" i="19"/>
  <c r="G2185" i="19"/>
  <c r="G2184" i="19"/>
  <c r="G2183" i="19"/>
  <c r="G2182" i="19"/>
  <c r="G2181" i="19"/>
  <c r="G2180" i="19"/>
  <c r="G2179" i="19"/>
  <c r="G2178" i="19"/>
  <c r="G2177" i="19"/>
  <c r="G2176" i="19"/>
  <c r="G2175" i="19"/>
  <c r="G2174" i="19"/>
  <c r="G2173" i="19"/>
  <c r="G2172" i="19"/>
  <c r="G2171" i="19"/>
  <c r="G2170" i="19"/>
  <c r="G2169" i="19"/>
  <c r="G2168" i="19"/>
  <c r="G2167" i="19"/>
  <c r="G2166" i="19"/>
  <c r="G2165" i="19"/>
  <c r="G2164" i="19"/>
  <c r="G2163" i="19"/>
  <c r="G2162" i="19"/>
  <c r="G2161" i="19"/>
  <c r="G2160" i="19"/>
  <c r="G2159" i="19"/>
  <c r="G2158" i="19"/>
  <c r="G2157" i="19"/>
  <c r="G2156" i="19"/>
  <c r="G2155" i="19"/>
  <c r="G2154" i="19"/>
  <c r="G2153" i="19"/>
  <c r="G2152" i="19"/>
  <c r="G2151" i="19"/>
  <c r="G2150" i="19"/>
  <c r="G2149" i="19"/>
  <c r="G2148" i="19"/>
  <c r="G2147" i="19"/>
  <c r="G2146" i="19"/>
  <c r="G2145" i="19"/>
  <c r="G2144" i="19"/>
  <c r="G2143" i="19"/>
  <c r="G2142" i="19"/>
  <c r="G2141" i="19"/>
  <c r="G2140" i="19"/>
  <c r="G2139" i="19"/>
  <c r="G2138" i="19"/>
  <c r="G2137" i="19"/>
  <c r="G2136" i="19"/>
  <c r="G2135" i="19"/>
  <c r="G2134" i="19"/>
  <c r="G2133" i="19"/>
  <c r="G2132" i="19"/>
  <c r="G2131" i="19"/>
  <c r="G2130" i="19"/>
  <c r="G2129" i="19"/>
  <c r="G2128" i="19"/>
  <c r="G2127" i="19"/>
  <c r="G2126" i="19"/>
  <c r="G2125" i="19"/>
  <c r="G2124" i="19"/>
  <c r="G2123" i="19"/>
  <c r="G2122" i="19"/>
  <c r="G2121" i="19"/>
  <c r="G2120" i="19"/>
  <c r="G2119" i="19"/>
  <c r="G2118" i="19"/>
  <c r="G2117" i="19"/>
  <c r="G2116" i="19"/>
  <c r="G2115" i="19"/>
  <c r="G2114" i="19"/>
  <c r="G2113" i="19"/>
  <c r="G2112" i="19"/>
  <c r="G2111" i="19"/>
  <c r="G2110" i="19"/>
  <c r="G2109" i="19"/>
  <c r="G2108" i="19"/>
  <c r="G2107" i="19"/>
  <c r="G2106" i="19"/>
  <c r="G2105" i="19"/>
  <c r="G2104" i="19"/>
  <c r="G2103" i="19"/>
  <c r="G2102" i="19"/>
  <c r="G2101" i="19"/>
  <c r="G2100" i="19"/>
  <c r="G2099" i="19"/>
  <c r="G2098" i="19"/>
  <c r="G2097" i="19"/>
  <c r="G2096" i="19"/>
  <c r="G2095" i="19"/>
  <c r="G2094" i="19"/>
  <c r="G2093" i="19"/>
  <c r="G2092" i="19"/>
  <c r="G2091" i="19"/>
  <c r="G2090" i="19"/>
  <c r="G2089" i="19"/>
  <c r="G2088" i="19"/>
  <c r="G2087" i="19"/>
  <c r="G2086" i="19"/>
  <c r="G2085" i="19"/>
  <c r="G2084" i="19"/>
  <c r="G2083" i="19"/>
  <c r="G2082" i="19"/>
  <c r="G2081" i="19"/>
  <c r="G2080" i="19"/>
  <c r="G2079" i="19"/>
  <c r="G2078" i="19"/>
  <c r="G2077" i="19"/>
  <c r="G2076" i="19"/>
  <c r="G2075" i="19"/>
  <c r="G2074" i="19"/>
  <c r="G2073" i="19"/>
  <c r="G2072" i="19"/>
  <c r="G2071" i="19"/>
  <c r="G2070" i="19"/>
  <c r="G2069" i="19"/>
  <c r="G2068" i="19"/>
  <c r="G2067" i="19"/>
  <c r="G2066" i="19"/>
  <c r="G2065" i="19"/>
  <c r="G2064" i="19"/>
  <c r="G2063" i="19"/>
  <c r="G2062" i="19"/>
  <c r="G2061" i="19"/>
  <c r="G2060" i="19"/>
  <c r="G2059" i="19"/>
  <c r="G2058" i="19"/>
  <c r="G2057" i="19"/>
  <c r="G2056" i="19"/>
  <c r="G2055" i="19"/>
  <c r="G2054" i="19"/>
  <c r="G2053" i="19"/>
  <c r="G2052" i="19"/>
  <c r="G2051" i="19"/>
  <c r="G2050" i="19"/>
  <c r="G2049" i="19"/>
  <c r="G2048" i="19"/>
  <c r="G2047" i="19"/>
  <c r="G2046" i="19"/>
  <c r="G2045" i="19"/>
  <c r="G2044" i="19"/>
  <c r="G2043" i="19"/>
  <c r="G2042" i="19"/>
  <c r="G2041" i="19"/>
  <c r="G2040" i="19"/>
  <c r="G2039" i="19"/>
  <c r="G2038" i="19"/>
  <c r="G2037" i="19"/>
  <c r="G2036" i="19"/>
  <c r="G2035" i="19"/>
  <c r="G2034" i="19"/>
  <c r="G2033" i="19"/>
  <c r="G2032" i="19"/>
  <c r="G2031" i="19"/>
  <c r="G2030" i="19"/>
  <c r="G2029" i="19"/>
  <c r="G2028" i="19"/>
  <c r="G2027" i="19"/>
  <c r="G2026" i="19"/>
  <c r="G2025" i="19"/>
  <c r="G2024" i="19"/>
  <c r="G2023" i="19"/>
  <c r="G2022" i="19"/>
  <c r="G2021" i="19"/>
  <c r="G2020" i="19"/>
  <c r="G2019" i="19"/>
  <c r="G2018" i="19"/>
  <c r="G2017" i="19"/>
  <c r="G2016" i="19"/>
  <c r="G2015" i="19"/>
  <c r="G2014" i="19"/>
  <c r="G2013" i="19"/>
  <c r="G2012" i="19"/>
  <c r="G2011" i="19"/>
  <c r="G2010" i="19"/>
  <c r="G2009" i="19"/>
  <c r="G2008" i="19"/>
  <c r="G2007" i="19"/>
  <c r="G2006" i="19"/>
  <c r="G2005" i="19"/>
  <c r="G2004" i="19"/>
  <c r="G2003" i="19"/>
  <c r="G2002" i="19"/>
  <c r="G2001" i="19"/>
  <c r="G2000" i="19"/>
  <c r="G1999" i="19"/>
  <c r="G1998" i="19"/>
  <c r="G1997" i="19"/>
  <c r="G1996" i="19"/>
  <c r="G1995" i="19"/>
  <c r="G1994" i="19"/>
  <c r="G1993" i="19"/>
  <c r="G1992" i="19"/>
  <c r="G1991" i="19"/>
  <c r="G1990" i="19"/>
  <c r="G1989" i="19"/>
  <c r="G1988" i="19"/>
  <c r="G1987" i="19"/>
  <c r="G1986" i="19"/>
  <c r="G1985" i="19"/>
  <c r="G1984" i="19"/>
  <c r="G1983" i="19"/>
  <c r="G1982" i="19"/>
  <c r="G1981" i="19"/>
  <c r="G1980" i="19"/>
  <c r="G1979" i="19"/>
  <c r="G1978" i="19"/>
  <c r="G1977" i="19"/>
  <c r="G1976" i="19"/>
  <c r="G1975" i="19"/>
  <c r="G1974" i="19"/>
  <c r="G1973" i="19"/>
  <c r="G1972" i="19"/>
  <c r="G1971" i="19"/>
  <c r="G1970" i="19"/>
  <c r="G1969" i="19"/>
  <c r="G1968" i="19"/>
  <c r="G1967" i="19"/>
  <c r="G1966" i="19"/>
  <c r="G1965" i="19"/>
  <c r="G1964" i="19"/>
  <c r="G1963" i="19"/>
  <c r="G1962" i="19"/>
  <c r="G1961" i="19"/>
  <c r="G1960" i="19"/>
  <c r="G1959" i="19"/>
  <c r="G1958" i="19"/>
  <c r="G1957" i="19"/>
  <c r="G1956" i="19"/>
  <c r="G1955" i="19"/>
  <c r="G1954" i="19"/>
  <c r="G1953" i="19"/>
  <c r="G1952" i="19"/>
  <c r="G1951" i="19"/>
  <c r="G1950" i="19"/>
  <c r="G1949" i="19"/>
  <c r="G1948" i="19"/>
  <c r="G1947" i="19"/>
  <c r="G1946" i="19"/>
  <c r="G1945" i="19"/>
  <c r="G1944" i="19"/>
  <c r="G1943" i="19"/>
  <c r="G1942" i="19"/>
  <c r="G1941" i="19"/>
  <c r="G1940" i="19"/>
  <c r="G1939" i="19"/>
  <c r="G1938" i="19"/>
  <c r="G1937" i="19"/>
  <c r="G1936" i="19"/>
  <c r="G1935" i="19"/>
  <c r="G1934" i="19"/>
  <c r="G1933" i="19"/>
  <c r="G1932" i="19"/>
  <c r="G1931" i="19"/>
  <c r="G1930" i="19"/>
  <c r="G1929" i="19"/>
  <c r="G1928" i="19"/>
  <c r="G1927" i="19"/>
  <c r="G1926" i="19"/>
  <c r="G1925" i="19"/>
  <c r="G1924" i="19"/>
  <c r="G1923" i="19"/>
  <c r="G1922" i="19"/>
  <c r="G1921" i="19"/>
  <c r="G1920" i="19"/>
  <c r="G1919" i="19"/>
  <c r="G1918" i="19"/>
  <c r="G1917" i="19"/>
  <c r="G1916" i="19"/>
  <c r="G1915" i="19"/>
  <c r="G1914" i="19"/>
  <c r="G1913" i="19"/>
  <c r="G1912" i="19"/>
  <c r="G1911" i="19"/>
  <c r="G1910" i="19"/>
  <c r="G1909" i="19"/>
  <c r="G1908" i="19"/>
  <c r="G1907" i="19"/>
  <c r="G1906" i="19"/>
  <c r="G1905" i="19"/>
  <c r="G1904" i="19"/>
  <c r="G1824" i="19"/>
  <c r="E1822" i="19"/>
  <c r="G1821" i="19"/>
  <c r="E1816" i="19"/>
  <c r="G1815" i="19"/>
  <c r="G1814" i="19"/>
  <c r="E1809" i="19"/>
  <c r="G1808" i="19"/>
  <c r="G1807" i="19"/>
  <c r="E1802" i="19"/>
  <c r="G1801" i="19"/>
  <c r="G1800" i="19"/>
  <c r="G1798" i="19"/>
  <c r="G1790" i="19"/>
  <c r="G1789" i="19"/>
  <c r="G1788" i="19"/>
  <c r="G1770" i="19"/>
  <c r="G1766" i="19"/>
  <c r="G1765" i="19"/>
  <c r="G1764" i="19"/>
  <c r="G1759" i="19"/>
  <c r="G1758" i="19"/>
  <c r="G1757" i="19"/>
  <c r="G1756" i="19"/>
  <c r="G1751" i="19"/>
  <c r="G1750" i="19"/>
  <c r="G1749" i="19"/>
  <c r="G1743" i="19"/>
  <c r="G1742" i="19"/>
  <c r="G1741" i="19"/>
  <c r="G1731" i="19"/>
  <c r="G1709" i="19"/>
  <c r="G1708" i="19"/>
  <c r="G1707" i="19"/>
  <c r="G1706" i="19"/>
  <c r="G1702" i="19"/>
  <c r="G1697" i="19"/>
  <c r="G1692" i="19"/>
  <c r="G1691" i="19"/>
  <c r="G1690" i="19"/>
  <c r="E1689" i="19"/>
  <c r="E1688" i="19"/>
  <c r="E1687" i="19"/>
  <c r="G1686" i="19"/>
  <c r="E1685" i="19"/>
  <c r="E1684" i="19"/>
  <c r="E1683" i="19"/>
  <c r="G1682" i="19"/>
  <c r="E1677" i="19"/>
  <c r="G1673" i="19"/>
  <c r="E1668" i="19"/>
  <c r="G1664" i="19"/>
  <c r="E1659" i="19"/>
  <c r="G1655" i="19"/>
  <c r="E1650" i="19"/>
  <c r="G1646" i="19"/>
  <c r="E1641" i="19"/>
  <c r="G1637" i="19"/>
  <c r="E1632" i="19"/>
  <c r="G1628" i="19"/>
  <c r="E1623" i="19"/>
  <c r="G1619" i="19"/>
  <c r="E1614" i="19"/>
  <c r="G1610" i="19"/>
  <c r="E1605" i="19"/>
  <c r="G1601" i="19"/>
  <c r="G1600" i="19"/>
  <c r="G1599" i="19"/>
  <c r="G1598" i="19"/>
  <c r="G1594" i="19"/>
  <c r="G1586" i="19"/>
  <c r="G1585" i="19"/>
  <c r="G1577" i="19"/>
  <c r="G1576" i="19"/>
  <c r="G1568" i="19"/>
  <c r="G1567" i="19"/>
  <c r="G1566" i="19"/>
  <c r="G1565" i="19"/>
  <c r="G1564" i="19"/>
  <c r="G1562" i="19"/>
  <c r="E1556" i="19"/>
  <c r="G1555" i="19"/>
  <c r="G1553" i="19"/>
  <c r="E1547" i="19"/>
  <c r="G1546" i="19"/>
  <c r="G1544" i="19"/>
  <c r="E1538" i="19"/>
  <c r="G1537" i="19"/>
  <c r="G1535" i="19"/>
  <c r="E1529" i="19"/>
  <c r="G1528" i="19"/>
  <c r="G1526" i="19"/>
  <c r="E1520" i="19"/>
  <c r="G1519" i="19"/>
  <c r="G1517" i="19"/>
  <c r="E1511" i="19"/>
  <c r="G1510" i="19"/>
  <c r="G1508" i="19"/>
  <c r="E1502" i="19"/>
  <c r="G1501" i="19"/>
  <c r="G1499" i="19"/>
  <c r="E1493" i="19"/>
  <c r="G1492" i="19"/>
  <c r="G1490" i="19"/>
  <c r="E1484" i="19"/>
  <c r="G1483" i="19"/>
  <c r="G1482" i="19"/>
  <c r="G1480" i="19"/>
  <c r="E1474" i="19"/>
  <c r="G1473" i="19"/>
  <c r="G1471" i="19"/>
  <c r="E1465" i="19"/>
  <c r="G1464" i="19"/>
  <c r="G1462" i="19"/>
  <c r="E1456" i="19"/>
  <c r="G1455" i="19"/>
  <c r="G1453" i="19"/>
  <c r="E1447" i="19"/>
  <c r="G1446" i="19"/>
  <c r="G1444" i="19"/>
  <c r="E1438" i="19"/>
  <c r="G1437" i="19"/>
  <c r="G1435" i="19"/>
  <c r="E1429" i="19"/>
  <c r="G1428" i="19"/>
  <c r="G1426" i="19"/>
  <c r="E1420" i="19"/>
  <c r="G1419" i="19"/>
  <c r="G1417" i="19"/>
  <c r="E1411" i="19"/>
  <c r="G1410" i="19"/>
  <c r="G1408" i="19"/>
  <c r="E1402" i="19"/>
  <c r="G1401" i="19"/>
  <c r="G1400" i="19"/>
  <c r="G1398" i="19"/>
  <c r="E1392" i="19"/>
  <c r="G1391" i="19"/>
  <c r="G1389" i="19"/>
  <c r="E1383" i="19"/>
  <c r="G1382" i="19"/>
  <c r="G1380" i="19"/>
  <c r="E1374" i="19"/>
  <c r="G1373" i="19"/>
  <c r="G1371" i="19"/>
  <c r="E1365" i="19"/>
  <c r="G1364" i="19"/>
  <c r="G1362" i="19"/>
  <c r="E1356" i="19"/>
  <c r="G1355" i="19"/>
  <c r="G1353" i="19"/>
  <c r="E1347" i="19"/>
  <c r="G1346" i="19"/>
  <c r="G1344" i="19"/>
  <c r="E1338" i="19"/>
  <c r="G1337" i="19"/>
  <c r="G1335" i="19"/>
  <c r="E1329" i="19"/>
  <c r="G1328" i="19"/>
  <c r="G1326" i="19"/>
  <c r="E1320" i="19"/>
  <c r="G1319" i="19"/>
  <c r="G1318" i="19"/>
  <c r="G1317" i="19"/>
  <c r="G1316" i="19"/>
  <c r="G1315" i="19"/>
  <c r="E1310" i="19"/>
  <c r="E1309" i="19"/>
  <c r="E1308" i="19"/>
  <c r="E1307" i="19"/>
  <c r="E1306" i="19"/>
  <c r="E1305" i="19"/>
  <c r="E1304" i="19"/>
  <c r="E1303" i="19"/>
  <c r="E1302" i="19"/>
  <c r="G1301" i="19"/>
  <c r="G1300" i="19"/>
  <c r="E1295" i="19"/>
  <c r="E1294" i="19"/>
  <c r="E1293" i="19"/>
  <c r="E1292" i="19"/>
  <c r="E1291" i="19"/>
  <c r="E1290" i="19"/>
  <c r="E1289" i="19"/>
  <c r="E1288" i="19"/>
  <c r="E1287" i="19"/>
  <c r="G1286" i="19"/>
  <c r="G1285" i="19"/>
  <c r="E1280" i="19"/>
  <c r="E1279" i="19"/>
  <c r="E1278" i="19"/>
  <c r="E1277" i="19"/>
  <c r="E1276" i="19"/>
  <c r="E1275" i="19"/>
  <c r="E1274" i="19"/>
  <c r="E1273" i="19"/>
  <c r="E1272" i="19"/>
  <c r="G1271" i="19"/>
  <c r="G1270" i="19"/>
  <c r="G1268" i="19"/>
  <c r="E1262" i="19"/>
  <c r="G1261" i="19"/>
  <c r="G1259" i="19"/>
  <c r="E1253" i="19"/>
  <c r="G1252" i="19"/>
  <c r="G1250" i="19"/>
  <c r="E1244" i="19"/>
  <c r="G1243" i="19"/>
  <c r="G1241" i="19"/>
  <c r="E1235" i="19"/>
  <c r="G1234" i="19"/>
  <c r="G1232" i="19"/>
  <c r="E1226" i="19"/>
  <c r="G1225" i="19"/>
  <c r="G1223" i="19"/>
  <c r="E1217" i="19"/>
  <c r="G1216" i="19"/>
  <c r="G1214" i="19"/>
  <c r="E1208" i="19"/>
  <c r="G1207" i="19"/>
  <c r="G1205" i="19"/>
  <c r="E1199" i="19"/>
  <c r="G1198" i="19"/>
  <c r="G1196" i="19"/>
  <c r="E1190" i="19"/>
  <c r="G1189" i="19"/>
  <c r="G1188" i="19"/>
  <c r="G1186" i="19"/>
  <c r="E1180" i="19"/>
  <c r="G1179" i="19"/>
  <c r="G1177" i="19"/>
  <c r="E1171" i="19"/>
  <c r="G1170" i="19"/>
  <c r="G1168" i="19"/>
  <c r="E1162" i="19"/>
  <c r="G1161" i="19"/>
  <c r="G1159" i="19"/>
  <c r="E1153" i="19"/>
  <c r="G1152" i="19"/>
  <c r="G1150" i="19"/>
  <c r="E1144" i="19"/>
  <c r="G1143" i="19"/>
  <c r="G1141" i="19"/>
  <c r="E1135" i="19"/>
  <c r="G1134" i="19"/>
  <c r="G1132" i="19"/>
  <c r="E1126" i="19"/>
  <c r="G1125" i="19"/>
  <c r="G1123" i="19"/>
  <c r="E1117" i="19"/>
  <c r="G1116" i="19"/>
  <c r="G1114" i="19"/>
  <c r="E1108" i="19"/>
  <c r="G1107" i="19"/>
  <c r="G1106" i="19"/>
  <c r="G1104" i="19"/>
  <c r="E1098" i="19"/>
  <c r="G1097" i="19"/>
  <c r="G1095" i="19"/>
  <c r="E1089" i="19"/>
  <c r="G1088" i="19"/>
  <c r="G1086" i="19"/>
  <c r="E1080" i="19"/>
  <c r="G1079" i="19"/>
  <c r="G1077" i="19"/>
  <c r="E1071" i="19"/>
  <c r="G1070" i="19"/>
  <c r="G1068" i="19"/>
  <c r="E1062" i="19"/>
  <c r="G1061" i="19"/>
  <c r="G1059" i="19"/>
  <c r="E1053" i="19"/>
  <c r="G1052" i="19"/>
  <c r="G1050" i="19"/>
  <c r="E1044" i="19"/>
  <c r="G1043" i="19"/>
  <c r="G1041" i="19"/>
  <c r="E1035" i="19"/>
  <c r="G1034" i="19"/>
  <c r="G1032" i="19"/>
  <c r="E1026" i="19"/>
  <c r="G1025" i="19"/>
  <c r="G1024" i="19"/>
  <c r="G1023" i="19"/>
  <c r="G1022" i="19"/>
  <c r="G1017" i="19"/>
  <c r="G1016" i="19"/>
  <c r="G1015" i="19"/>
  <c r="G1010" i="19"/>
  <c r="G1009" i="19"/>
  <c r="G1008" i="19"/>
  <c r="G1002" i="19"/>
  <c r="G1001" i="19"/>
  <c r="E999" i="19"/>
  <c r="E998" i="19"/>
  <c r="E997" i="19"/>
  <c r="E996" i="19"/>
  <c r="G995" i="19"/>
  <c r="G994" i="19"/>
  <c r="G993" i="19"/>
  <c r="G987" i="19"/>
  <c r="G986" i="19"/>
  <c r="G985" i="19"/>
  <c r="G984" i="19"/>
  <c r="G983" i="19"/>
  <c r="G982" i="19"/>
  <c r="G981" i="19"/>
  <c r="G980" i="19"/>
  <c r="G973" i="19"/>
  <c r="G972" i="19"/>
  <c r="G971" i="19"/>
  <c r="G970" i="19"/>
  <c r="G965" i="19"/>
  <c r="G961" i="19"/>
  <c r="E960" i="19"/>
  <c r="E959" i="19"/>
  <c r="E958" i="19"/>
  <c r="F957" i="19" s="1"/>
  <c r="G957" i="19"/>
  <c r="G956" i="19"/>
  <c r="G955" i="19"/>
  <c r="G954" i="19"/>
  <c r="G953" i="19"/>
  <c r="E950" i="19"/>
  <c r="G949" i="19"/>
  <c r="G946" i="19"/>
  <c r="G945" i="19"/>
  <c r="G944" i="19"/>
  <c r="G941" i="19"/>
  <c r="G940" i="19"/>
  <c r="G936" i="19"/>
  <c r="G935" i="19"/>
  <c r="G934" i="19"/>
  <c r="G933" i="19"/>
  <c r="G932" i="19"/>
  <c r="G930" i="19"/>
  <c r="G929" i="19"/>
  <c r="G927" i="19"/>
  <c r="G926" i="19"/>
  <c r="G924" i="19"/>
  <c r="G923" i="19"/>
  <c r="G922" i="19"/>
  <c r="G921" i="19"/>
  <c r="G920" i="19"/>
  <c r="G919" i="19"/>
  <c r="G918" i="19"/>
  <c r="G915" i="19"/>
  <c r="G912" i="19"/>
  <c r="E904" i="19"/>
  <c r="G903" i="19"/>
  <c r="F903" i="19"/>
  <c r="G902" i="19"/>
  <c r="G901" i="19"/>
  <c r="G890" i="19"/>
  <c r="G889" i="19"/>
  <c r="G888" i="19"/>
  <c r="G887" i="19"/>
  <c r="G876" i="19"/>
  <c r="G875" i="19"/>
  <c r="G872" i="19"/>
  <c r="G869" i="19"/>
  <c r="G868" i="19"/>
  <c r="G866" i="19"/>
  <c r="G863" i="19"/>
  <c r="G862" i="19"/>
  <c r="G861" i="19"/>
  <c r="G858" i="19"/>
  <c r="G856" i="19"/>
  <c r="G854" i="19"/>
  <c r="G852" i="19"/>
  <c r="G851" i="19"/>
  <c r="G850" i="19"/>
  <c r="G838" i="19"/>
  <c r="G837" i="19"/>
  <c r="G836" i="19"/>
  <c r="G835" i="19"/>
  <c r="G824" i="19"/>
  <c r="G823" i="19"/>
  <c r="G820" i="19"/>
  <c r="G817" i="19"/>
  <c r="G816" i="19"/>
  <c r="G814" i="19"/>
  <c r="G811" i="19"/>
  <c r="G810" i="19"/>
  <c r="G809" i="19"/>
  <c r="G806" i="19"/>
  <c r="G804" i="19"/>
  <c r="E803" i="19"/>
  <c r="G802" i="19"/>
  <c r="E801" i="19"/>
  <c r="G800" i="19"/>
  <c r="G799" i="19"/>
  <c r="G798" i="19"/>
  <c r="G786" i="19"/>
  <c r="G785" i="19"/>
  <c r="G784" i="19"/>
  <c r="G783" i="19"/>
  <c r="G772" i="19"/>
  <c r="G771" i="19"/>
  <c r="G768" i="19"/>
  <c r="G765" i="19"/>
  <c r="G764" i="19"/>
  <c r="G762" i="19"/>
  <c r="G759" i="19"/>
  <c r="G758" i="19"/>
  <c r="G757" i="19"/>
  <c r="G754" i="19"/>
  <c r="G752" i="19"/>
  <c r="E751" i="19"/>
  <c r="G750" i="19"/>
  <c r="E749" i="19"/>
  <c r="G748" i="19"/>
  <c r="G747" i="19"/>
  <c r="G746" i="19"/>
  <c r="G745" i="19"/>
  <c r="G736" i="19"/>
  <c r="G725" i="19"/>
  <c r="G724" i="19"/>
  <c r="G723" i="19"/>
  <c r="G722" i="19"/>
  <c r="G713" i="19"/>
  <c r="G702" i="19"/>
  <c r="G701" i="19"/>
  <c r="G697" i="19"/>
  <c r="G693" i="19"/>
  <c r="G692" i="19"/>
  <c r="G690" i="19"/>
  <c r="G685" i="19"/>
  <c r="G684" i="19"/>
  <c r="G683" i="19"/>
  <c r="G682" i="19"/>
  <c r="G677" i="19"/>
  <c r="G674" i="19"/>
  <c r="G671" i="19"/>
  <c r="E670" i="19"/>
  <c r="E669" i="19"/>
  <c r="G668" i="19"/>
  <c r="G667" i="19"/>
  <c r="G666" i="19"/>
  <c r="G665" i="19"/>
  <c r="G656" i="19"/>
  <c r="G645" i="19"/>
  <c r="G644" i="19"/>
  <c r="G643" i="19"/>
  <c r="G642" i="19"/>
  <c r="G633" i="19"/>
  <c r="G622" i="19"/>
  <c r="G621" i="19"/>
  <c r="G617" i="19"/>
  <c r="G613" i="19"/>
  <c r="G612" i="19"/>
  <c r="G610" i="19"/>
  <c r="G605" i="19"/>
  <c r="G604" i="19"/>
  <c r="G603" i="19"/>
  <c r="G602" i="19"/>
  <c r="G597" i="19"/>
  <c r="G594" i="19"/>
  <c r="E590" i="19"/>
  <c r="E589" i="19"/>
  <c r="G588" i="19"/>
  <c r="G587" i="19"/>
  <c r="G586" i="19"/>
  <c r="G585" i="19"/>
  <c r="G576" i="19"/>
  <c r="G565" i="19"/>
  <c r="G564" i="19"/>
  <c r="F564" i="19"/>
  <c r="G563" i="19"/>
  <c r="G562" i="19"/>
  <c r="G553" i="19"/>
  <c r="G542" i="19"/>
  <c r="G541" i="19"/>
  <c r="G537" i="19"/>
  <c r="G533" i="19"/>
  <c r="G532" i="19"/>
  <c r="G530" i="19"/>
  <c r="G523" i="19"/>
  <c r="G522" i="19"/>
  <c r="G521" i="19"/>
  <c r="G520" i="19"/>
  <c r="G515" i="19"/>
  <c r="G512" i="19"/>
  <c r="E508" i="19"/>
  <c r="E507" i="19"/>
  <c r="G506" i="19"/>
  <c r="G505" i="19"/>
  <c r="G504" i="19"/>
  <c r="G503" i="19"/>
  <c r="G497" i="19"/>
  <c r="G486" i="19"/>
  <c r="G485" i="19"/>
  <c r="G484" i="19"/>
  <c r="G483" i="19"/>
  <c r="G477" i="19"/>
  <c r="G466" i="19"/>
  <c r="G462" i="19"/>
  <c r="G458" i="19"/>
  <c r="G457" i="19"/>
  <c r="G455" i="19"/>
  <c r="G450" i="19"/>
  <c r="G449" i="19"/>
  <c r="G448" i="19"/>
  <c r="G447" i="19"/>
  <c r="G442" i="19"/>
  <c r="G439" i="19"/>
  <c r="E437" i="19"/>
  <c r="E435" i="19"/>
  <c r="E434" i="19"/>
  <c r="G433" i="19"/>
  <c r="G432" i="19"/>
  <c r="G431" i="19"/>
  <c r="G430" i="19"/>
  <c r="G429" i="19"/>
  <c r="G428" i="19"/>
  <c r="E426" i="19"/>
  <c r="G412" i="19"/>
  <c r="G411" i="19"/>
  <c r="G410" i="19"/>
  <c r="G409" i="19"/>
  <c r="G408" i="19"/>
  <c r="G407" i="19"/>
  <c r="E400" i="19"/>
  <c r="E399" i="19"/>
  <c r="E398" i="19"/>
  <c r="E397" i="19"/>
  <c r="E396" i="19"/>
  <c r="E384" i="19"/>
  <c r="G383" i="19"/>
  <c r="G382" i="19"/>
  <c r="G381" i="19"/>
  <c r="G380" i="19"/>
  <c r="G379" i="19"/>
  <c r="G378" i="19"/>
  <c r="G377" i="19"/>
  <c r="G376" i="19"/>
  <c r="G375" i="19"/>
  <c r="G374" i="19"/>
  <c r="G373" i="19"/>
  <c r="G372" i="19"/>
  <c r="G371" i="19"/>
  <c r="G370" i="19"/>
  <c r="G369" i="19"/>
  <c r="G364" i="19"/>
  <c r="G363" i="19"/>
  <c r="G362" i="19"/>
  <c r="G357" i="19"/>
  <c r="G356" i="19"/>
  <c r="G351" i="19"/>
  <c r="G350" i="19"/>
  <c r="G345" i="19"/>
  <c r="G341" i="19"/>
  <c r="E340" i="19"/>
  <c r="E339" i="19"/>
  <c r="E338" i="19"/>
  <c r="G337" i="19"/>
  <c r="G336" i="19"/>
  <c r="G335" i="19"/>
  <c r="G334" i="19"/>
  <c r="G333" i="19"/>
  <c r="G330" i="19"/>
  <c r="G329" i="19"/>
  <c r="G328" i="19"/>
  <c r="G327" i="19"/>
  <c r="G326" i="19"/>
  <c r="G325" i="19"/>
  <c r="G322" i="19"/>
  <c r="G321" i="19"/>
  <c r="G320" i="19"/>
  <c r="G319" i="19"/>
  <c r="G318" i="19"/>
  <c r="G317" i="19"/>
  <c r="G314" i="19"/>
  <c r="G313" i="19"/>
  <c r="G312" i="19"/>
  <c r="G311" i="19"/>
  <c r="G310" i="19"/>
  <c r="G309" i="19"/>
  <c r="G306" i="19"/>
  <c r="G305" i="19"/>
  <c r="G304" i="19"/>
  <c r="G303" i="19"/>
  <c r="G302" i="19"/>
  <c r="G301" i="19"/>
  <c r="G291" i="19"/>
  <c r="G290" i="19"/>
  <c r="G282" i="19"/>
  <c r="G281" i="19"/>
  <c r="G280" i="19"/>
  <c r="G279" i="19"/>
  <c r="G273" i="19"/>
  <c r="G269" i="19"/>
  <c r="G265" i="19"/>
  <c r="G262" i="19"/>
  <c r="G261" i="19"/>
  <c r="G260" i="19"/>
  <c r="G259" i="19"/>
  <c r="G247" i="19"/>
  <c r="G242" i="19"/>
  <c r="G241" i="19"/>
  <c r="G240" i="19"/>
  <c r="G231" i="19"/>
  <c r="G230" i="19"/>
  <c r="G221" i="19"/>
  <c r="G220" i="19"/>
  <c r="G211" i="19"/>
  <c r="G210" i="19"/>
  <c r="G206" i="19"/>
  <c r="G205" i="19"/>
  <c r="G201" i="19"/>
  <c r="G197" i="19"/>
  <c r="G193" i="19"/>
  <c r="G192" i="19"/>
  <c r="G190" i="19"/>
  <c r="G181" i="19"/>
  <c r="G180" i="19"/>
  <c r="G171" i="19"/>
  <c r="G170" i="19"/>
  <c r="G161" i="19"/>
  <c r="G160" i="19"/>
  <c r="G155" i="19"/>
  <c r="G154" i="19"/>
  <c r="G153" i="19"/>
  <c r="G152" i="19"/>
  <c r="G151" i="19"/>
  <c r="G150" i="19"/>
  <c r="G149" i="19"/>
  <c r="G143" i="19"/>
  <c r="G137" i="19"/>
  <c r="G131" i="19"/>
  <c r="G130" i="19"/>
  <c r="G125" i="19"/>
  <c r="G119" i="19"/>
  <c r="G113" i="19"/>
  <c r="G107" i="19"/>
  <c r="G106" i="19"/>
  <c r="G101" i="19"/>
  <c r="G100" i="19"/>
  <c r="G94" i="19"/>
  <c r="G93" i="19"/>
  <c r="G89" i="19"/>
  <c r="G88" i="19"/>
  <c r="G87" i="19"/>
  <c r="G86" i="19"/>
  <c r="G85" i="19"/>
  <c r="G84" i="19"/>
  <c r="G83" i="19"/>
  <c r="G81" i="19"/>
  <c r="G80" i="19"/>
  <c r="G74" i="19"/>
  <c r="G72" i="19"/>
  <c r="G67" i="19"/>
  <c r="E65" i="19"/>
  <c r="E64" i="19"/>
  <c r="E63" i="19"/>
  <c r="E62" i="19"/>
  <c r="E61" i="19"/>
  <c r="E60" i="19"/>
  <c r="E59" i="19"/>
  <c r="E58" i="19"/>
  <c r="G56" i="19"/>
  <c r="G54" i="19"/>
  <c r="G53" i="19"/>
  <c r="G51" i="19"/>
  <c r="G38" i="19"/>
  <c r="G25" i="19"/>
  <c r="G12" i="19"/>
  <c r="G11" i="19"/>
  <c r="G10" i="19"/>
  <c r="G5" i="19"/>
  <c r="A11" i="3"/>
  <c r="H660" i="2"/>
  <c r="H659" i="2"/>
  <c r="H565" i="2"/>
  <c r="H564" i="2"/>
  <c r="H563" i="2"/>
  <c r="H562" i="2"/>
  <c r="E561" i="2"/>
  <c r="D561" i="2"/>
  <c r="E560" i="2"/>
  <c r="D560" i="2"/>
  <c r="E559" i="2"/>
  <c r="D559" i="2"/>
  <c r="E558" i="2"/>
  <c r="D558" i="2"/>
  <c r="E557" i="2"/>
  <c r="D557" i="2"/>
  <c r="E556" i="2"/>
  <c r="D556" i="2"/>
  <c r="E555" i="2"/>
  <c r="D555" i="2"/>
  <c r="E554" i="2"/>
  <c r="D554" i="2"/>
  <c r="E553" i="2"/>
  <c r="D553" i="2"/>
  <c r="E552" i="2"/>
  <c r="D552" i="2"/>
  <c r="E551" i="2"/>
  <c r="D551" i="2"/>
  <c r="E550" i="2"/>
  <c r="D550" i="2"/>
  <c r="E549" i="2"/>
  <c r="D549" i="2"/>
  <c r="E548" i="2"/>
  <c r="D548" i="2"/>
  <c r="E547" i="2"/>
  <c r="D547" i="2"/>
  <c r="E546" i="2"/>
  <c r="D546" i="2"/>
  <c r="E545" i="2"/>
  <c r="D545" i="2"/>
  <c r="E544" i="2"/>
  <c r="D544" i="2"/>
  <c r="E543" i="2"/>
  <c r="D543" i="2"/>
  <c r="E542" i="2"/>
  <c r="D542" i="2"/>
  <c r="E541" i="2"/>
  <c r="D541" i="2"/>
  <c r="E540" i="2"/>
  <c r="D540" i="2"/>
  <c r="E539" i="2"/>
  <c r="D539" i="2"/>
  <c r="E538" i="2"/>
  <c r="D538" i="2"/>
  <c r="E537" i="2"/>
  <c r="D537" i="2"/>
  <c r="E536" i="2"/>
  <c r="D536" i="2"/>
  <c r="E535" i="2"/>
  <c r="D535" i="2"/>
  <c r="E534" i="2"/>
  <c r="D534" i="2"/>
  <c r="E533" i="2"/>
  <c r="D533" i="2"/>
  <c r="E532" i="2"/>
  <c r="D532" i="2"/>
  <c r="E531" i="2"/>
  <c r="D531" i="2"/>
  <c r="E530" i="2"/>
  <c r="D530" i="2"/>
  <c r="E529" i="2"/>
  <c r="D529" i="2"/>
  <c r="E528" i="2"/>
  <c r="D528" i="2"/>
  <c r="E527" i="2"/>
  <c r="D527" i="2"/>
  <c r="E526" i="2"/>
  <c r="D526" i="2"/>
  <c r="E525" i="2"/>
  <c r="D525" i="2"/>
  <c r="E524" i="2"/>
  <c r="D524" i="2"/>
  <c r="D523" i="2"/>
  <c r="E522" i="2"/>
  <c r="D522" i="2"/>
  <c r="H521" i="2"/>
  <c r="E520" i="2"/>
  <c r="D520" i="2"/>
  <c r="E519" i="2"/>
  <c r="D519" i="2"/>
  <c r="E518" i="2"/>
  <c r="D518" i="2"/>
  <c r="E517" i="2"/>
  <c r="D517" i="2"/>
  <c r="E516" i="2"/>
  <c r="D516" i="2"/>
  <c r="E515" i="2"/>
  <c r="D515" i="2"/>
  <c r="D514" i="2"/>
  <c r="D513" i="2"/>
  <c r="E512" i="2"/>
  <c r="D512" i="2"/>
  <c r="E511" i="2"/>
  <c r="D511" i="2"/>
  <c r="E510" i="2"/>
  <c r="D510" i="2"/>
  <c r="E509" i="2"/>
  <c r="D509" i="2"/>
  <c r="E508" i="2"/>
  <c r="D508" i="2"/>
  <c r="E507" i="2"/>
  <c r="D507" i="2"/>
  <c r="E506" i="2"/>
  <c r="D506" i="2"/>
  <c r="D505" i="2"/>
  <c r="H504" i="2"/>
  <c r="E503" i="2"/>
  <c r="D503" i="2"/>
  <c r="E502" i="2"/>
  <c r="D502" i="2"/>
  <c r="E501" i="2"/>
  <c r="D501" i="2"/>
  <c r="E500" i="2"/>
  <c r="D500" i="2"/>
  <c r="E499" i="2"/>
  <c r="D499" i="2"/>
  <c r="E498" i="2"/>
  <c r="D498" i="2"/>
  <c r="E497" i="2"/>
  <c r="D497" i="2"/>
  <c r="E496" i="2"/>
  <c r="D496" i="2"/>
  <c r="E495" i="2"/>
  <c r="D495" i="2"/>
  <c r="E494" i="2"/>
  <c r="D494" i="2"/>
  <c r="E493" i="2"/>
  <c r="D493" i="2"/>
  <c r="E492" i="2"/>
  <c r="D492" i="2"/>
  <c r="E491" i="2"/>
  <c r="D491" i="2"/>
  <c r="E490" i="2"/>
  <c r="D490" i="2"/>
  <c r="E489" i="2"/>
  <c r="D489" i="2"/>
  <c r="E488" i="2"/>
  <c r="D488" i="2"/>
  <c r="E487" i="2"/>
  <c r="F58" i="41" s="1"/>
  <c r="N58" i="41" s="1"/>
  <c r="D487" i="2"/>
  <c r="E486" i="2"/>
  <c r="D486" i="2"/>
  <c r="E485" i="2"/>
  <c r="D485" i="2"/>
  <c r="E484" i="2"/>
  <c r="D484" i="2"/>
  <c r="E483" i="2"/>
  <c r="D483" i="2"/>
  <c r="D482" i="2"/>
  <c r="D481" i="2"/>
  <c r="D480" i="2"/>
  <c r="D479" i="2"/>
  <c r="D478" i="2"/>
  <c r="D477" i="2"/>
  <c r="D476" i="2"/>
  <c r="H475" i="2"/>
  <c r="E456" i="2"/>
  <c r="E452" i="2"/>
  <c r="E448" i="2"/>
  <c r="E444" i="2"/>
  <c r="E440" i="2"/>
  <c r="E436" i="2"/>
  <c r="E428" i="2"/>
  <c r="E424" i="2"/>
  <c r="E420" i="2"/>
  <c r="E416" i="2"/>
  <c r="E412" i="2"/>
  <c r="E396" i="2"/>
  <c r="E392" i="2"/>
  <c r="E388" i="2"/>
  <c r="E380" i="2"/>
  <c r="H378" i="2"/>
  <c r="H377" i="2"/>
  <c r="H349" i="2"/>
  <c r="H348" i="2"/>
  <c r="H347" i="2"/>
  <c r="H319" i="2"/>
  <c r="H290" i="2"/>
  <c r="H289" i="2"/>
  <c r="E288" i="2"/>
  <c r="E287" i="2"/>
  <c r="E286" i="2"/>
  <c r="E285" i="2"/>
  <c r="E284" i="2"/>
  <c r="E283" i="2"/>
  <c r="E282" i="2"/>
  <c r="E281" i="2"/>
  <c r="E280" i="2"/>
  <c r="E279" i="2"/>
  <c r="E278" i="2"/>
  <c r="E277" i="2"/>
  <c r="E276" i="2"/>
  <c r="E274" i="2"/>
  <c r="E273" i="2"/>
  <c r="E272" i="2"/>
  <c r="E271" i="2"/>
  <c r="H261" i="2"/>
  <c r="H256" i="2"/>
  <c r="H255" i="2"/>
  <c r="H251" i="2"/>
  <c r="H250" i="2"/>
  <c r="H245" i="2"/>
  <c r="H241" i="2"/>
  <c r="H237" i="2"/>
  <c r="H236" i="2"/>
  <c r="H235" i="2"/>
  <c r="E234" i="2"/>
  <c r="E233" i="2"/>
  <c r="H232" i="2"/>
  <c r="E231" i="2"/>
  <c r="E230" i="2"/>
  <c r="E229" i="2"/>
  <c r="H228" i="2"/>
  <c r="H224" i="2"/>
  <c r="H223" i="2"/>
  <c r="H219" i="2"/>
  <c r="H218" i="2"/>
  <c r="H216" i="2"/>
  <c r="H215" i="2"/>
  <c r="E214" i="2"/>
  <c r="E213" i="2"/>
  <c r="E212" i="2"/>
  <c r="E211" i="2"/>
  <c r="E210" i="2"/>
  <c r="E209" i="2"/>
  <c r="H208" i="2"/>
  <c r="E206" i="2"/>
  <c r="D206" i="1" s="1"/>
  <c r="E205" i="2"/>
  <c r="AA51" i="49" s="1"/>
  <c r="E204" i="2"/>
  <c r="D204" i="1" s="1"/>
  <c r="E203" i="2"/>
  <c r="Z52" i="49" s="1"/>
  <c r="E202" i="2"/>
  <c r="D202" i="1" s="1"/>
  <c r="E201" i="2"/>
  <c r="Z50" i="49" s="1"/>
  <c r="E200" i="2"/>
  <c r="Y52" i="49" s="1"/>
  <c r="E199" i="2"/>
  <c r="Y51" i="49" s="1"/>
  <c r="E198" i="2"/>
  <c r="Y50" i="49" s="1"/>
  <c r="E197" i="2"/>
  <c r="H196" i="2"/>
  <c r="H195" i="2"/>
  <c r="H192" i="2"/>
  <c r="H191" i="2"/>
  <c r="E190" i="2"/>
  <c r="D190" i="1" s="1"/>
  <c r="H189" i="2"/>
  <c r="H188" i="2"/>
  <c r="E187" i="2"/>
  <c r="D187" i="1" s="1"/>
  <c r="E186" i="2"/>
  <c r="D186" i="1" s="1"/>
  <c r="H185" i="2"/>
  <c r="H184" i="2"/>
  <c r="H461" i="8"/>
  <c r="G461" i="8"/>
  <c r="F461" i="8"/>
  <c r="E183" i="2"/>
  <c r="E461" i="8" s="1"/>
  <c r="H458" i="8"/>
  <c r="G458" i="8"/>
  <c r="E182" i="2"/>
  <c r="E458" i="8" s="1"/>
  <c r="H455" i="8"/>
  <c r="E181" i="2"/>
  <c r="E455" i="8" s="1"/>
  <c r="E180" i="2"/>
  <c r="E452" i="8" s="1"/>
  <c r="H449" i="8"/>
  <c r="G449" i="8"/>
  <c r="F449" i="8"/>
  <c r="E179" i="2"/>
  <c r="E449" i="8" s="1"/>
  <c r="H178" i="2"/>
  <c r="H177" i="2"/>
  <c r="E176" i="2"/>
  <c r="E175" i="2"/>
  <c r="E174" i="2"/>
  <c r="E173" i="2"/>
  <c r="E172" i="2"/>
  <c r="H171" i="2"/>
  <c r="E169" i="2"/>
  <c r="E168" i="2"/>
  <c r="E167" i="2"/>
  <c r="E166" i="2"/>
  <c r="E165" i="2"/>
  <c r="H164" i="2"/>
  <c r="H156" i="2"/>
  <c r="E154" i="2"/>
  <c r="E43" i="7" s="1"/>
  <c r="E153" i="2"/>
  <c r="E42" i="7" s="1"/>
  <c r="E152" i="2"/>
  <c r="E41" i="7" s="1"/>
  <c r="E151" i="2"/>
  <c r="E40" i="7" s="1"/>
  <c r="E150" i="2"/>
  <c r="E39" i="7" s="1"/>
  <c r="H149" i="2"/>
  <c r="H145" i="2"/>
  <c r="E144" i="2"/>
  <c r="E143" i="2"/>
  <c r="E142" i="2"/>
  <c r="E141" i="2"/>
  <c r="E140" i="2"/>
  <c r="H139" i="2"/>
  <c r="H138" i="2"/>
  <c r="E137" i="2"/>
  <c r="E136" i="2"/>
  <c r="E135" i="2"/>
  <c r="E134" i="2"/>
  <c r="H133" i="2"/>
  <c r="H130" i="2"/>
  <c r="H127" i="2"/>
  <c r="H126" i="2"/>
  <c r="H122" i="2"/>
  <c r="H119" i="2"/>
  <c r="H116" i="2"/>
  <c r="H113" i="2"/>
  <c r="H112" i="2"/>
  <c r="H111" i="2"/>
  <c r="H104" i="2"/>
  <c r="H101" i="2"/>
  <c r="H98" i="2"/>
  <c r="H95" i="2"/>
  <c r="H94" i="2"/>
  <c r="H93" i="2"/>
  <c r="H85" i="2"/>
  <c r="H82" i="2"/>
  <c r="H79" i="2"/>
  <c r="H76" i="2"/>
  <c r="H75" i="2"/>
  <c r="D71" i="1"/>
  <c r="E70" i="2"/>
  <c r="D70" i="1" s="1"/>
  <c r="E69" i="2"/>
  <c r="D69" i="1" s="1"/>
  <c r="H66" i="2"/>
  <c r="H63" i="2"/>
  <c r="H60" i="2"/>
  <c r="E59" i="2"/>
  <c r="D59" i="1" s="1"/>
  <c r="H57" i="2"/>
  <c r="H56" i="2"/>
  <c r="H55" i="2"/>
  <c r="H49" i="2"/>
  <c r="H45" i="2"/>
  <c r="H37" i="2"/>
  <c r="H33" i="2"/>
  <c r="E31" i="2"/>
  <c r="S21" i="14" s="1"/>
  <c r="H29" i="2"/>
  <c r="H28" i="2"/>
  <c r="E26" i="2"/>
  <c r="D26" i="1" s="1"/>
  <c r="E25" i="2"/>
  <c r="S14" i="14" s="1"/>
  <c r="H23" i="2"/>
  <c r="H19" i="2"/>
  <c r="H18" i="2"/>
  <c r="H17" i="2"/>
  <c r="H15" i="2"/>
  <c r="H12" i="2"/>
  <c r="H9" i="2"/>
  <c r="H7" i="2"/>
  <c r="L660" i="1"/>
  <c r="L565" i="1"/>
  <c r="L564" i="1"/>
  <c r="L563" i="1"/>
  <c r="L562" i="1"/>
  <c r="L561" i="1"/>
  <c r="D561" i="1"/>
  <c r="L560" i="1"/>
  <c r="D560" i="1"/>
  <c r="L559" i="1"/>
  <c r="D559" i="1"/>
  <c r="L558" i="1"/>
  <c r="D558" i="1"/>
  <c r="L557" i="1"/>
  <c r="D557" i="1"/>
  <c r="L556" i="1"/>
  <c r="D556" i="1"/>
  <c r="L555" i="1"/>
  <c r="D555" i="1"/>
  <c r="L554" i="1"/>
  <c r="D554" i="1"/>
  <c r="L553" i="1"/>
  <c r="D553" i="1"/>
  <c r="L552" i="1"/>
  <c r="D552" i="1"/>
  <c r="L551" i="1"/>
  <c r="D551" i="1"/>
  <c r="L550" i="1"/>
  <c r="D550" i="1"/>
  <c r="L549" i="1"/>
  <c r="D549" i="1"/>
  <c r="L548" i="1"/>
  <c r="D548" i="1"/>
  <c r="L547" i="1"/>
  <c r="D547" i="1"/>
  <c r="L546" i="1"/>
  <c r="D546" i="1"/>
  <c r="L545" i="1"/>
  <c r="D545" i="1"/>
  <c r="L544" i="1"/>
  <c r="D544" i="1"/>
  <c r="L543" i="1"/>
  <c r="D543" i="1"/>
  <c r="L542" i="1"/>
  <c r="D542" i="1"/>
  <c r="L541" i="1"/>
  <c r="D541" i="1"/>
  <c r="L540" i="1"/>
  <c r="D540" i="1"/>
  <c r="L539" i="1"/>
  <c r="D539" i="1"/>
  <c r="L538" i="1"/>
  <c r="D538" i="1"/>
  <c r="L537" i="1"/>
  <c r="D537" i="1"/>
  <c r="L536" i="1"/>
  <c r="D536" i="1"/>
  <c r="L535" i="1"/>
  <c r="D535" i="1"/>
  <c r="L534" i="1"/>
  <c r="D534" i="1"/>
  <c r="L533" i="1"/>
  <c r="D533" i="1"/>
  <c r="L532" i="1"/>
  <c r="D532" i="1"/>
  <c r="L531" i="1"/>
  <c r="D531" i="1"/>
  <c r="L530" i="1"/>
  <c r="D530" i="1"/>
  <c r="L529" i="1"/>
  <c r="D529" i="1"/>
  <c r="L528" i="1"/>
  <c r="D528" i="1"/>
  <c r="L527" i="1"/>
  <c r="D527" i="1"/>
  <c r="L526" i="1"/>
  <c r="D526" i="1"/>
  <c r="L525" i="1"/>
  <c r="D525" i="1"/>
  <c r="L524" i="1"/>
  <c r="D524" i="1"/>
  <c r="L523" i="1"/>
  <c r="D523" i="1"/>
  <c r="L522" i="1"/>
  <c r="D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D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D176" i="1"/>
  <c r="L175" i="1"/>
  <c r="D175" i="1"/>
  <c r="L174" i="1"/>
  <c r="D174" i="1"/>
  <c r="L173" i="1"/>
  <c r="D173" i="1"/>
  <c r="L172" i="1"/>
  <c r="D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D85" i="1"/>
  <c r="L84" i="1"/>
  <c r="L83" i="1"/>
  <c r="L82" i="1"/>
  <c r="D82" i="1"/>
  <c r="L81" i="1"/>
  <c r="L80" i="1"/>
  <c r="L79" i="1"/>
  <c r="D79" i="1"/>
  <c r="L78" i="1"/>
  <c r="L77" i="1"/>
  <c r="L76" i="1"/>
  <c r="D76" i="1"/>
  <c r="L75" i="1"/>
  <c r="D75" i="1"/>
  <c r="L74" i="1"/>
  <c r="L73" i="1"/>
  <c r="L72" i="1"/>
  <c r="L71" i="1"/>
  <c r="L70" i="1"/>
  <c r="L69" i="1"/>
  <c r="L68" i="1"/>
  <c r="L67" i="1"/>
  <c r="L66" i="1"/>
  <c r="D66" i="1"/>
  <c r="L65" i="1"/>
  <c r="L64" i="1"/>
  <c r="L63" i="1"/>
  <c r="D63" i="1"/>
  <c r="L62" i="1"/>
  <c r="L61" i="1"/>
  <c r="L60" i="1"/>
  <c r="D60" i="1"/>
  <c r="L59" i="1"/>
  <c r="L58" i="1"/>
  <c r="L57" i="1"/>
  <c r="D57" i="1"/>
  <c r="L56" i="1"/>
  <c r="L55" i="1"/>
  <c r="L54" i="1"/>
  <c r="L53" i="1"/>
  <c r="L52" i="1"/>
  <c r="L51" i="1"/>
  <c r="L50" i="1"/>
  <c r="L49" i="1"/>
  <c r="L48" i="1"/>
  <c r="L47" i="1"/>
  <c r="L46" i="1"/>
  <c r="L45" i="1"/>
  <c r="L44" i="1"/>
  <c r="L43" i="1"/>
  <c r="L42" i="1"/>
  <c r="L41" i="1"/>
  <c r="L40" i="1"/>
  <c r="L39" i="1"/>
  <c r="L38" i="1"/>
  <c r="L37" i="1"/>
  <c r="L36" i="1"/>
  <c r="L35" i="1"/>
  <c r="L34" i="1"/>
  <c r="L33" i="1"/>
  <c r="L32" i="1"/>
  <c r="L31" i="1"/>
  <c r="M30" i="1"/>
  <c r="M31" i="1" s="1"/>
  <c r="L30" i="1"/>
  <c r="L29" i="1"/>
  <c r="L28" i="1"/>
  <c r="L27" i="1"/>
  <c r="L26" i="1"/>
  <c r="L25" i="1"/>
  <c r="L24" i="1"/>
  <c r="L23" i="1"/>
  <c r="L22" i="1"/>
  <c r="L21" i="1"/>
  <c r="L20" i="1"/>
  <c r="L19" i="1"/>
  <c r="L18" i="1"/>
  <c r="L17" i="1"/>
  <c r="L16" i="1"/>
  <c r="L15" i="1"/>
  <c r="L14" i="1"/>
  <c r="L13" i="1"/>
  <c r="L12" i="1"/>
  <c r="L11" i="1"/>
  <c r="L10" i="1"/>
  <c r="L9" i="1"/>
  <c r="L8" i="1"/>
  <c r="L7" i="1"/>
  <c r="L6" i="1"/>
  <c r="L5" i="1"/>
  <c r="L4" i="1"/>
  <c r="I99" i="36"/>
  <c r="H99" i="36"/>
  <c r="G99" i="36"/>
  <c r="F99" i="36"/>
  <c r="E99" i="36"/>
  <c r="I98" i="36"/>
  <c r="H98" i="36"/>
  <c r="G98" i="36"/>
  <c r="F98" i="36"/>
  <c r="E98" i="36"/>
  <c r="I97" i="36"/>
  <c r="H97" i="36"/>
  <c r="G97" i="36"/>
  <c r="F97" i="36"/>
  <c r="E97" i="36"/>
  <c r="I96" i="36"/>
  <c r="H96" i="36"/>
  <c r="G96" i="36"/>
  <c r="F96" i="36"/>
  <c r="E96" i="36"/>
  <c r="I94" i="36"/>
  <c r="H94" i="36"/>
  <c r="G94" i="36"/>
  <c r="F94" i="36"/>
  <c r="E94" i="36"/>
  <c r="I93" i="36"/>
  <c r="H93" i="36"/>
  <c r="G93" i="36"/>
  <c r="F93" i="36"/>
  <c r="E93" i="36"/>
  <c r="I92" i="36"/>
  <c r="H92" i="36"/>
  <c r="G92" i="36"/>
  <c r="F92" i="36"/>
  <c r="E92" i="36"/>
  <c r="I91" i="36"/>
  <c r="H91" i="36"/>
  <c r="G91" i="36"/>
  <c r="F91" i="36"/>
  <c r="E91" i="36"/>
  <c r="I89" i="36"/>
  <c r="H89" i="36"/>
  <c r="G89" i="36"/>
  <c r="F89" i="36"/>
  <c r="E89" i="36"/>
  <c r="I88" i="36"/>
  <c r="H88" i="36"/>
  <c r="G88" i="36"/>
  <c r="F88" i="36"/>
  <c r="E88" i="36"/>
  <c r="I87" i="36"/>
  <c r="H87" i="36"/>
  <c r="G87" i="36"/>
  <c r="F87" i="36"/>
  <c r="E87" i="36"/>
  <c r="I86" i="36"/>
  <c r="H86" i="36"/>
  <c r="G86" i="36"/>
  <c r="F86" i="36"/>
  <c r="E86" i="36"/>
  <c r="I5" i="36"/>
  <c r="H5" i="36"/>
  <c r="G5" i="36"/>
  <c r="F5" i="36"/>
  <c r="E5" i="36"/>
  <c r="I4" i="36"/>
  <c r="H4" i="36"/>
  <c r="G4" i="36"/>
  <c r="F4" i="36"/>
  <c r="E4" i="36"/>
  <c r="S3" i="50"/>
  <c r="F68" i="40"/>
  <c r="X68" i="40"/>
  <c r="F65" i="40"/>
  <c r="X65" i="40"/>
  <c r="F62" i="40"/>
  <c r="X62" i="40"/>
  <c r="F57" i="40"/>
  <c r="X57" i="40"/>
  <c r="F54" i="40"/>
  <c r="X54" i="40"/>
  <c r="F51" i="40"/>
  <c r="X51" i="40"/>
  <c r="F46" i="40"/>
  <c r="X46" i="40"/>
  <c r="F43" i="40"/>
  <c r="D17" i="40"/>
  <c r="X40" i="40"/>
  <c r="L28" i="41"/>
  <c r="AF28" i="41" s="1"/>
  <c r="E280" i="3" s="1"/>
  <c r="I28" i="41"/>
  <c r="G28" i="41"/>
  <c r="F28" i="41"/>
  <c r="L26" i="41"/>
  <c r="AF26" i="41" s="1"/>
  <c r="E279" i="3" s="1"/>
  <c r="I26" i="41"/>
  <c r="G26" i="41"/>
  <c r="F26" i="41"/>
  <c r="N24" i="41"/>
  <c r="K24" i="41"/>
  <c r="I24" i="41"/>
  <c r="H24" i="41"/>
  <c r="N22" i="41"/>
  <c r="K22" i="41"/>
  <c r="I22" i="41"/>
  <c r="H22" i="41"/>
  <c r="N20" i="41"/>
  <c r="K20" i="41"/>
  <c r="I20" i="41"/>
  <c r="H20" i="41"/>
  <c r="K18" i="41"/>
  <c r="I18" i="41"/>
  <c r="H18" i="41"/>
  <c r="I16" i="41"/>
  <c r="H16" i="41"/>
  <c r="L307" i="56"/>
  <c r="L303" i="56"/>
  <c r="BF255" i="56"/>
  <c r="BD255" i="56"/>
  <c r="BB255" i="56"/>
  <c r="AZ255" i="56"/>
  <c r="L242" i="56"/>
  <c r="H242" i="56"/>
  <c r="F242" i="56"/>
  <c r="V238" i="56"/>
  <c r="V237" i="56"/>
  <c r="V236" i="56"/>
  <c r="L204" i="56"/>
  <c r="N204" i="56" s="1"/>
  <c r="L38" i="56"/>
  <c r="N24" i="56"/>
  <c r="L24" i="56"/>
  <c r="J24" i="56"/>
  <c r="H24" i="56"/>
  <c r="AO65" i="61"/>
  <c r="AN65" i="61"/>
  <c r="AM65" i="61"/>
  <c r="AL65" i="61"/>
  <c r="AJ65" i="61"/>
  <c r="AI65" i="61"/>
  <c r="AH65" i="61"/>
  <c r="AG65" i="61"/>
  <c r="AE65" i="61"/>
  <c r="AD65" i="61"/>
  <c r="AC65" i="61"/>
  <c r="AB65" i="61"/>
  <c r="F53" i="61"/>
  <c r="D53" i="61"/>
  <c r="L46" i="61"/>
  <c r="J46" i="61"/>
  <c r="H46" i="61"/>
  <c r="L42" i="61"/>
  <c r="J42" i="61"/>
  <c r="H42" i="61"/>
  <c r="L25" i="61"/>
  <c r="AO65" i="60"/>
  <c r="AN65" i="60"/>
  <c r="AM65" i="60"/>
  <c r="AL65" i="60"/>
  <c r="AJ65" i="60"/>
  <c r="AI65" i="60"/>
  <c r="AH65" i="60"/>
  <c r="AG65" i="60"/>
  <c r="AE65" i="60"/>
  <c r="AD65" i="60"/>
  <c r="AC65" i="60"/>
  <c r="AB65" i="60"/>
  <c r="F53" i="60"/>
  <c r="D53" i="60"/>
  <c r="L46" i="60"/>
  <c r="J46" i="60"/>
  <c r="H46" i="60"/>
  <c r="L42" i="60"/>
  <c r="J42" i="60"/>
  <c r="H42" i="60"/>
  <c r="L25" i="60"/>
  <c r="AO238" i="39"/>
  <c r="AN238" i="39"/>
  <c r="AM238" i="39"/>
  <c r="AL238" i="39"/>
  <c r="AJ238" i="39"/>
  <c r="AI238" i="39"/>
  <c r="AH238" i="39"/>
  <c r="AG238" i="39"/>
  <c r="AE238" i="39"/>
  <c r="AD238" i="39"/>
  <c r="AC238" i="39"/>
  <c r="AB238" i="39"/>
  <c r="AO220" i="39"/>
  <c r="AN220" i="39"/>
  <c r="AM220" i="39"/>
  <c r="AL220" i="39"/>
  <c r="AJ220" i="39"/>
  <c r="AI220" i="39"/>
  <c r="AH220" i="39"/>
  <c r="AG220" i="39"/>
  <c r="AE220" i="39"/>
  <c r="AD220" i="39"/>
  <c r="AC220" i="39"/>
  <c r="AB220" i="39"/>
  <c r="F219" i="39"/>
  <c r="F217" i="39"/>
  <c r="F215" i="39"/>
  <c r="AP154" i="39"/>
  <c r="AO154" i="39"/>
  <c r="AN154" i="39"/>
  <c r="AK154" i="39"/>
  <c r="AJ154" i="39"/>
  <c r="AI154" i="39"/>
  <c r="AF154" i="39"/>
  <c r="AE154" i="39"/>
  <c r="AD154" i="39"/>
  <c r="AP153" i="39"/>
  <c r="AO153" i="39"/>
  <c r="AN153" i="39"/>
  <c r="AK153" i="39"/>
  <c r="AJ153" i="39"/>
  <c r="AI153" i="39"/>
  <c r="AF153" i="39"/>
  <c r="AE153" i="39"/>
  <c r="AD153" i="39"/>
  <c r="C141" i="39"/>
  <c r="BF138" i="39"/>
  <c r="C138" i="39"/>
  <c r="R136" i="39"/>
  <c r="N136" i="39"/>
  <c r="L136" i="39"/>
  <c r="BF135" i="39"/>
  <c r="C135" i="39"/>
  <c r="C131" i="39"/>
  <c r="BF128" i="39"/>
  <c r="C128" i="39"/>
  <c r="R126" i="39"/>
  <c r="N126" i="39"/>
  <c r="L126" i="39"/>
  <c r="BF125" i="39"/>
  <c r="C125" i="39"/>
  <c r="C121" i="39"/>
  <c r="R119" i="39"/>
  <c r="N119" i="39"/>
  <c r="L119" i="39"/>
  <c r="BF118" i="39"/>
  <c r="C118" i="39"/>
  <c r="R116" i="39"/>
  <c r="N116" i="39"/>
  <c r="L116" i="39"/>
  <c r="BF115" i="39"/>
  <c r="C115" i="39"/>
  <c r="C93" i="39"/>
  <c r="BF90" i="39"/>
  <c r="C90" i="39"/>
  <c r="R88" i="39"/>
  <c r="N88" i="39"/>
  <c r="L88" i="39"/>
  <c r="BF87" i="39"/>
  <c r="C87" i="39"/>
  <c r="C83" i="39"/>
  <c r="BF80" i="39"/>
  <c r="C80" i="39"/>
  <c r="R78" i="39"/>
  <c r="N78" i="39"/>
  <c r="L78" i="39"/>
  <c r="BF77" i="39"/>
  <c r="C77" i="39"/>
  <c r="C73" i="39"/>
  <c r="BF70" i="39"/>
  <c r="C70" i="39"/>
  <c r="R68" i="39"/>
  <c r="N68" i="39"/>
  <c r="L68" i="39"/>
  <c r="BF67" i="39"/>
  <c r="C67" i="39"/>
  <c r="F53" i="39"/>
  <c r="D53" i="39"/>
  <c r="L46" i="39"/>
  <c r="J46" i="39"/>
  <c r="H46" i="39"/>
  <c r="L42" i="39"/>
  <c r="J42" i="39"/>
  <c r="H42" i="39"/>
  <c r="L17" i="62"/>
  <c r="J17" i="62"/>
  <c r="H17" i="62"/>
  <c r="J71" i="21"/>
  <c r="F71" i="21"/>
  <c r="J63" i="21"/>
  <c r="H63" i="21"/>
  <c r="F63" i="21"/>
  <c r="L61" i="21"/>
  <c r="J61" i="21"/>
  <c r="H61" i="21"/>
  <c r="F61" i="21"/>
  <c r="J59" i="21"/>
  <c r="H59" i="21"/>
  <c r="F59" i="21"/>
  <c r="N57" i="21"/>
  <c r="L57" i="21"/>
  <c r="J57" i="21"/>
  <c r="H57" i="21"/>
  <c r="F57" i="21"/>
  <c r="L55" i="21"/>
  <c r="F55" i="21"/>
  <c r="F48" i="21"/>
  <c r="L45" i="21"/>
  <c r="J45" i="21"/>
  <c r="H45" i="21"/>
  <c r="F45" i="21"/>
  <c r="F38" i="21"/>
  <c r="L35" i="21"/>
  <c r="J35" i="21"/>
  <c r="H35" i="21"/>
  <c r="F35" i="21"/>
  <c r="F28" i="21"/>
  <c r="L25" i="21"/>
  <c r="J25" i="21"/>
  <c r="H25" i="21"/>
  <c r="F25" i="21"/>
  <c r="F18" i="21"/>
  <c r="J13" i="21"/>
  <c r="H13" i="21"/>
  <c r="F13" i="21"/>
  <c r="J11" i="21"/>
  <c r="H11" i="21"/>
  <c r="F11" i="21"/>
  <c r="H9" i="21"/>
  <c r="F9" i="21"/>
  <c r="Q3" i="21"/>
  <c r="S90" i="5"/>
  <c r="V88" i="5"/>
  <c r="R88" i="5"/>
  <c r="O88" i="5"/>
  <c r="N5" i="5"/>
  <c r="N3" i="5"/>
  <c r="I452" i="8" l="1"/>
  <c r="I455" i="8"/>
  <c r="F452" i="8"/>
  <c r="G452" i="8"/>
  <c r="I458" i="8"/>
  <c r="F455" i="8"/>
  <c r="I449" i="8"/>
  <c r="H452" i="8"/>
  <c r="G455" i="8"/>
  <c r="F458" i="8"/>
  <c r="I461" i="8"/>
  <c r="D204" i="4"/>
  <c r="D230" i="1"/>
  <c r="D145" i="7"/>
  <c r="D139" i="4"/>
  <c r="H279" i="3"/>
  <c r="H280" i="3"/>
  <c r="E265" i="2"/>
  <c r="E1810" i="19"/>
  <c r="E1817" i="19"/>
  <c r="D258" i="4"/>
  <c r="D275" i="4"/>
  <c r="D292" i="4"/>
  <c r="N210" i="4"/>
  <c r="E210" i="4" s="1"/>
  <c r="N205" i="4"/>
  <c r="E205" i="4" s="1"/>
  <c r="E695" i="19" s="1"/>
  <c r="N37" i="4"/>
  <c r="E37" i="4" s="1"/>
  <c r="N188" i="4"/>
  <c r="E188" i="4" s="1"/>
  <c r="N183" i="4"/>
  <c r="E183" i="4" s="1"/>
  <c r="E615" i="19" s="1"/>
  <c r="N145" i="4"/>
  <c r="E145" i="4" s="1"/>
  <c r="N140" i="4"/>
  <c r="E140" i="4" s="1"/>
  <c r="E460" i="19" s="1"/>
  <c r="N242" i="4"/>
  <c r="E242" i="4" s="1"/>
  <c r="N58" i="4"/>
  <c r="E58" i="4" s="1"/>
  <c r="N166" i="4"/>
  <c r="E166" i="4" s="1"/>
  <c r="N162" i="4"/>
  <c r="E162" i="4" s="1"/>
  <c r="E535" i="19" s="1"/>
  <c r="N80" i="4"/>
  <c r="E80" i="4" s="1"/>
  <c r="L20" i="41"/>
  <c r="AF20" i="41" s="1"/>
  <c r="E276" i="3" s="1"/>
  <c r="L22" i="41"/>
  <c r="AF22" i="41" s="1"/>
  <c r="E277" i="3" s="1"/>
  <c r="N138" i="4"/>
  <c r="E138" i="4" s="1"/>
  <c r="N240" i="4"/>
  <c r="E240" i="4" s="1"/>
  <c r="L16" i="41"/>
  <c r="AF16" i="41" s="1"/>
  <c r="E274" i="3" s="1"/>
  <c r="L18" i="41"/>
  <c r="AF18" i="41" s="1"/>
  <c r="E275" i="3" s="1"/>
  <c r="E225" i="58"/>
  <c r="E267" i="2"/>
  <c r="E30" i="36"/>
  <c r="C123" i="19"/>
  <c r="C133" i="19"/>
  <c r="AV138" i="39"/>
  <c r="BB138" i="39" s="1"/>
  <c r="AV90" i="39"/>
  <c r="BB90" i="39" s="1"/>
  <c r="C1639" i="19"/>
  <c r="AV135" i="39"/>
  <c r="AZ135" i="39" s="1"/>
  <c r="AV125" i="39"/>
  <c r="BB125" i="39" s="1"/>
  <c r="E27" i="19"/>
  <c r="E13" i="19"/>
  <c r="AH63" i="60"/>
  <c r="B765" i="19"/>
  <c r="AO217" i="39"/>
  <c r="C294" i="19"/>
  <c r="E268" i="2"/>
  <c r="E262" i="2"/>
  <c r="D29" i="36"/>
  <c r="C238" i="19"/>
  <c r="C283" i="19"/>
  <c r="B907" i="19"/>
  <c r="C212" i="8"/>
  <c r="C215" i="19"/>
  <c r="B802" i="19"/>
  <c r="B806" i="19"/>
  <c r="B811" i="19"/>
  <c r="B917" i="19"/>
  <c r="B925" i="19"/>
  <c r="C1620" i="19"/>
  <c r="C1649" i="19"/>
  <c r="C115" i="19"/>
  <c r="C141" i="19"/>
  <c r="C183" i="19"/>
  <c r="C391" i="19"/>
  <c r="B520" i="19"/>
  <c r="B523" i="19"/>
  <c r="B533" i="19"/>
  <c r="B576" i="6"/>
  <c r="B585" i="6"/>
  <c r="B593" i="6"/>
  <c r="C597" i="6"/>
  <c r="AL236" i="39"/>
  <c r="C176" i="19"/>
  <c r="C1590" i="19"/>
  <c r="C514" i="6"/>
  <c r="G264" i="6"/>
  <c r="D212" i="1"/>
  <c r="E323" i="58"/>
  <c r="E326" i="58" s="1"/>
  <c r="AL63" i="60"/>
  <c r="C213" i="19"/>
  <c r="C225" i="19"/>
  <c r="C285" i="19"/>
  <c r="C401" i="19"/>
  <c r="B693" i="19"/>
  <c r="B800" i="19"/>
  <c r="B820" i="19"/>
  <c r="C402" i="6"/>
  <c r="C407" i="6"/>
  <c r="B279" i="8"/>
  <c r="C323" i="6"/>
  <c r="AL63" i="61"/>
  <c r="C168" i="19"/>
  <c r="C178" i="19"/>
  <c r="C185" i="19"/>
  <c r="C393" i="19"/>
  <c r="B909" i="19"/>
  <c r="C1580" i="19"/>
  <c r="C1631" i="19"/>
  <c r="C1640" i="19"/>
  <c r="C566" i="6"/>
  <c r="B456" i="19"/>
  <c r="AB236" i="39"/>
  <c r="AB63" i="60"/>
  <c r="C96" i="19"/>
  <c r="C103" i="19"/>
  <c r="C109" i="19"/>
  <c r="C129" i="19"/>
  <c r="C147" i="19"/>
  <c r="C157" i="19"/>
  <c r="C163" i="19"/>
  <c r="C187" i="19"/>
  <c r="C216" i="19"/>
  <c r="C226" i="19"/>
  <c r="C233" i="19"/>
  <c r="C288" i="19"/>
  <c r="C295" i="19"/>
  <c r="C395" i="19"/>
  <c r="B512" i="19"/>
  <c r="B674" i="19"/>
  <c r="B691" i="19"/>
  <c r="B697" i="19"/>
  <c r="A902" i="19"/>
  <c r="B904" i="19"/>
  <c r="C1665" i="19"/>
  <c r="C1676" i="19"/>
  <c r="C369" i="6"/>
  <c r="B544" i="6"/>
  <c r="B243" i="8"/>
  <c r="B243" i="4"/>
  <c r="B244" i="4"/>
  <c r="B245" i="4"/>
  <c r="B246" i="4"/>
  <c r="B247" i="4"/>
  <c r="AB63" i="61"/>
  <c r="D55" i="36"/>
  <c r="AP155" i="39"/>
  <c r="AL217" i="39"/>
  <c r="AG236" i="39"/>
  <c r="AG63" i="61"/>
  <c r="L62" i="40"/>
  <c r="E154" i="3" s="1"/>
  <c r="D64" i="36"/>
  <c r="C98" i="19"/>
  <c r="C105" i="19"/>
  <c r="C111" i="19"/>
  <c r="C121" i="19"/>
  <c r="C139" i="19"/>
  <c r="C159" i="19"/>
  <c r="C165" i="19"/>
  <c r="C173" i="19"/>
  <c r="C228" i="19"/>
  <c r="C235" i="19"/>
  <c r="B913" i="19"/>
  <c r="C1604" i="19"/>
  <c r="C1629" i="19"/>
  <c r="C1647" i="19"/>
  <c r="C1656" i="19"/>
  <c r="C1667" i="19"/>
  <c r="C318" i="6"/>
  <c r="B66" i="4"/>
  <c r="B67" i="4"/>
  <c r="B68" i="4"/>
  <c r="B69" i="4"/>
  <c r="B70" i="4"/>
  <c r="B71" i="4"/>
  <c r="B72" i="4"/>
  <c r="B73" i="4"/>
  <c r="B74" i="4"/>
  <c r="B75" i="4"/>
  <c r="B76" i="4"/>
  <c r="B77" i="4"/>
  <c r="B78" i="4"/>
  <c r="B79" i="4"/>
  <c r="B80" i="4"/>
  <c r="B241" i="4"/>
  <c r="B462" i="19"/>
  <c r="C449" i="8"/>
  <c r="E102" i="8"/>
  <c r="E109" i="8" s="1"/>
  <c r="G519" i="8"/>
  <c r="G518" i="8"/>
  <c r="H519" i="8" s="1"/>
  <c r="AN155" i="39"/>
  <c r="O30" i="1"/>
  <c r="C35" i="6"/>
  <c r="B6" i="19"/>
  <c r="C215" i="8"/>
  <c r="H666" i="8"/>
  <c r="F670" i="8"/>
  <c r="AO155" i="39"/>
  <c r="E292" i="8"/>
  <c r="C532" i="8"/>
  <c r="C533" i="8" s="1"/>
  <c r="D670" i="8"/>
  <c r="D671" i="8" s="1"/>
  <c r="AK155" i="39"/>
  <c r="E247" i="58"/>
  <c r="C295" i="58"/>
  <c r="C298" i="58" s="1"/>
  <c r="C323" i="58"/>
  <c r="C326" i="58" s="1"/>
  <c r="B241" i="8"/>
  <c r="B137" i="8"/>
  <c r="B283" i="8"/>
  <c r="B23" i="4"/>
  <c r="B24" i="4"/>
  <c r="B25" i="4"/>
  <c r="B26" i="4"/>
  <c r="B27" i="4"/>
  <c r="B28" i="4"/>
  <c r="B29" i="4"/>
  <c r="B30" i="4"/>
  <c r="B31" i="4"/>
  <c r="B32" i="4"/>
  <c r="B33" i="4"/>
  <c r="B34" i="4"/>
  <c r="B35" i="4"/>
  <c r="B36" i="4"/>
  <c r="B37" i="4"/>
  <c r="B205" i="4"/>
  <c r="J242" i="56"/>
  <c r="H43" i="36"/>
  <c r="B107" i="8"/>
  <c r="B92" i="19"/>
  <c r="A224" i="2"/>
  <c r="C146" i="19"/>
  <c r="AH217" i="39"/>
  <c r="B611" i="19"/>
  <c r="C167" i="19"/>
  <c r="C128" i="19"/>
  <c r="E239" i="8"/>
  <c r="F238" i="8"/>
  <c r="F245" i="8" s="1"/>
  <c r="D94" i="36"/>
  <c r="D264" i="58"/>
  <c r="D267" i="58" s="1"/>
  <c r="D295" i="58"/>
  <c r="D298" i="58" s="1"/>
  <c r="C467" i="6"/>
  <c r="A158" i="8"/>
  <c r="C114" i="19"/>
  <c r="AO63" i="60"/>
  <c r="C172" i="19"/>
  <c r="C132" i="19"/>
  <c r="AE63" i="61"/>
  <c r="F160" i="8"/>
  <c r="F162" i="8" s="1"/>
  <c r="E167" i="8"/>
  <c r="D160" i="8"/>
  <c r="C160" i="8" s="1"/>
  <c r="E163" i="8"/>
  <c r="C224" i="19"/>
  <c r="C237" i="19"/>
  <c r="C282" i="19"/>
  <c r="B617" i="19"/>
  <c r="C416" i="6"/>
  <c r="D323" i="58"/>
  <c r="D326" i="58" s="1"/>
  <c r="E161" i="8"/>
  <c r="E220" i="8"/>
  <c r="F210" i="8"/>
  <c r="F220" i="8" s="1"/>
  <c r="E245" i="8"/>
  <c r="AF155" i="39"/>
  <c r="C394" i="19"/>
  <c r="B668" i="19"/>
  <c r="B671" i="19"/>
  <c r="B908" i="19"/>
  <c r="B928" i="19"/>
  <c r="A313" i="6"/>
  <c r="C599" i="6"/>
  <c r="C604" i="6"/>
  <c r="E264" i="58"/>
  <c r="E267" i="58" s="1"/>
  <c r="C280" i="58"/>
  <c r="E33" i="8"/>
  <c r="A183" i="8"/>
  <c r="B287" i="8"/>
  <c r="AJ155" i="39"/>
  <c r="D280" i="58"/>
  <c r="C309" i="58"/>
  <c r="B166" i="4"/>
  <c r="B203" i="4"/>
  <c r="B70" i="8"/>
  <c r="B135" i="8"/>
  <c r="A236" i="8"/>
  <c r="B275" i="8"/>
  <c r="B210" i="4"/>
  <c r="G950" i="19"/>
  <c r="L24" i="41"/>
  <c r="AF24" i="41" s="1"/>
  <c r="E278" i="3" s="1"/>
  <c r="G660" i="6"/>
  <c r="H742" i="6"/>
  <c r="I742" i="6" s="1"/>
  <c r="J742" i="6" s="1"/>
  <c r="K742" i="6" s="1"/>
  <c r="G691" i="6"/>
  <c r="I739" i="6"/>
  <c r="J739" i="6" s="1"/>
  <c r="K739" i="6" s="1"/>
  <c r="I745" i="6"/>
  <c r="J745" i="6" s="1"/>
  <c r="K745" i="6" s="1"/>
  <c r="AV87" i="39"/>
  <c r="AX87" i="39" s="1"/>
  <c r="D309" i="58"/>
  <c r="E309" i="58"/>
  <c r="C247" i="58"/>
  <c r="AV128" i="39"/>
  <c r="AV80" i="39"/>
  <c r="AX80" i="39" s="1"/>
  <c r="E280" i="58"/>
  <c r="AV77" i="39"/>
  <c r="AI155" i="39"/>
  <c r="E295" i="58"/>
  <c r="E298" i="58" s="1"/>
  <c r="F235" i="58"/>
  <c r="H21" i="49"/>
  <c r="D205" i="1"/>
  <c r="AA52" i="49"/>
  <c r="D25" i="1"/>
  <c r="D198" i="1"/>
  <c r="J21" i="49"/>
  <c r="AA50" i="49"/>
  <c r="G593" i="19"/>
  <c r="G996" i="19"/>
  <c r="G1623" i="19"/>
  <c r="E275" i="2"/>
  <c r="L65" i="40"/>
  <c r="E155" i="3" s="1"/>
  <c r="D203" i="1"/>
  <c r="L16" i="49"/>
  <c r="G1098" i="19"/>
  <c r="G1108" i="19"/>
  <c r="G1144" i="19"/>
  <c r="G1153" i="19"/>
  <c r="G1365" i="19"/>
  <c r="G1447" i="19"/>
  <c r="E387" i="19"/>
  <c r="E269" i="2"/>
  <c r="E298" i="2" s="1"/>
  <c r="J53" i="62"/>
  <c r="D210" i="1"/>
  <c r="H380" i="2"/>
  <c r="Z51" i="49"/>
  <c r="D199" i="1"/>
  <c r="G999" i="19"/>
  <c r="L51" i="40"/>
  <c r="E151" i="3" s="1"/>
  <c r="E400" i="8"/>
  <c r="D15" i="40"/>
  <c r="L46" i="40"/>
  <c r="E150" i="3" s="1"/>
  <c r="E438" i="8"/>
  <c r="E493" i="8"/>
  <c r="D201" i="1"/>
  <c r="D211" i="1"/>
  <c r="L18" i="49"/>
  <c r="D214" i="1"/>
  <c r="G803" i="19"/>
  <c r="G1089" i="19"/>
  <c r="G1235" i="19"/>
  <c r="E346" i="19"/>
  <c r="K90" i="52"/>
  <c r="K91" i="52"/>
  <c r="G1329" i="19"/>
  <c r="D200" i="1"/>
  <c r="D213" i="1"/>
  <c r="G853" i="19"/>
  <c r="G960" i="19"/>
  <c r="G997" i="19"/>
  <c r="G1126" i="19"/>
  <c r="G20" i="6"/>
  <c r="K47" i="52"/>
  <c r="E360" i="19"/>
  <c r="G1547" i="19"/>
  <c r="J26" i="41"/>
  <c r="D209" i="1"/>
  <c r="E344" i="19"/>
  <c r="G998" i="19"/>
  <c r="G1135" i="19"/>
  <c r="G1605" i="19"/>
  <c r="G1677" i="19"/>
  <c r="E198" i="6"/>
  <c r="P23" i="50" s="1"/>
  <c r="J28" i="41"/>
  <c r="L14" i="49"/>
  <c r="H186" i="2"/>
  <c r="H190" i="2"/>
  <c r="H197" i="2"/>
  <c r="E1591" i="19"/>
  <c r="E343" i="19"/>
  <c r="G438" i="19"/>
  <c r="G751" i="19"/>
  <c r="G1374" i="19"/>
  <c r="G1465" i="19"/>
  <c r="G1659" i="19"/>
  <c r="G1668" i="19"/>
  <c r="E361" i="19"/>
  <c r="K92" i="52"/>
  <c r="K94" i="52"/>
  <c r="J15" i="14"/>
  <c r="D19" i="40"/>
  <c r="L43" i="40"/>
  <c r="E149" i="3" s="1"/>
  <c r="L57" i="40"/>
  <c r="E153" i="3" s="1"/>
  <c r="L40" i="40"/>
  <c r="E148" i="3" s="1"/>
  <c r="L54" i="40"/>
  <c r="E152" i="3" s="1"/>
  <c r="E342" i="8"/>
  <c r="E363" i="8"/>
  <c r="L68" i="40"/>
  <c r="E156" i="3" s="1"/>
  <c r="H397" i="2"/>
  <c r="E339" i="8"/>
  <c r="E343" i="8"/>
  <c r="E445" i="8"/>
  <c r="F66" i="41"/>
  <c r="N66" i="41" s="1"/>
  <c r="E376" i="8"/>
  <c r="I389" i="8" s="1"/>
  <c r="E394" i="8"/>
  <c r="E396" i="8"/>
  <c r="E467" i="8"/>
  <c r="E469" i="8"/>
  <c r="E473" i="8"/>
  <c r="E476" i="8"/>
  <c r="E489" i="8"/>
  <c r="C291" i="8"/>
  <c r="C102" i="8"/>
  <c r="C109" i="8" s="1"/>
  <c r="A89" i="19"/>
  <c r="B378" i="6"/>
  <c r="B96" i="8"/>
  <c r="H291" i="8"/>
  <c r="E490" i="8"/>
  <c r="D102" i="8"/>
  <c r="D109" i="8" s="1"/>
  <c r="D291" i="8"/>
  <c r="C213" i="8"/>
  <c r="B370" i="4"/>
  <c r="B113" i="8"/>
  <c r="B110" i="8"/>
  <c r="B104" i="8"/>
  <c r="B94" i="8"/>
  <c r="C285" i="6"/>
  <c r="C152" i="6"/>
  <c r="C117" i="6"/>
  <c r="C42" i="6"/>
  <c r="C34" i="6"/>
  <c r="B13" i="4"/>
  <c r="B10" i="4"/>
  <c r="B7" i="4"/>
  <c r="C260" i="6"/>
  <c r="C37" i="6"/>
  <c r="A5" i="19"/>
  <c r="B92" i="8"/>
  <c r="C36" i="6"/>
  <c r="B7" i="19"/>
  <c r="B4" i="4"/>
  <c r="B115" i="8"/>
  <c r="B106" i="8"/>
  <c r="B95" i="8"/>
  <c r="B476" i="6"/>
  <c r="C267" i="6"/>
  <c r="C223" i="6"/>
  <c r="C43" i="6"/>
  <c r="B91" i="19"/>
  <c r="B9" i="19"/>
  <c r="B14" i="4"/>
  <c r="B12" i="4"/>
  <c r="B11" i="4"/>
  <c r="B9" i="4"/>
  <c r="B8" i="4"/>
  <c r="B6" i="4"/>
  <c r="B5" i="4"/>
  <c r="B114" i="8"/>
  <c r="B105" i="8"/>
  <c r="B100" i="8"/>
  <c r="B93" i="8"/>
  <c r="A89" i="8"/>
  <c r="B67" i="8"/>
  <c r="B575" i="6"/>
  <c r="C291" i="6"/>
  <c r="C209" i="6"/>
  <c r="C41" i="6"/>
  <c r="B90" i="19"/>
  <c r="B8" i="19"/>
  <c r="D14" i="36"/>
  <c r="B15" i="4"/>
  <c r="B112" i="8"/>
  <c r="B103" i="8"/>
  <c r="C279" i="6"/>
  <c r="C272" i="6"/>
  <c r="C248" i="6"/>
  <c r="C40" i="6"/>
  <c r="A32" i="6"/>
  <c r="A224" i="1"/>
  <c r="D7" i="36"/>
  <c r="B377" i="4"/>
  <c r="C170" i="8"/>
  <c r="B161" i="8"/>
  <c r="B160" i="8"/>
  <c r="C505" i="6"/>
  <c r="C468" i="6"/>
  <c r="C421" i="6"/>
  <c r="B58" i="4"/>
  <c r="B55" i="4"/>
  <c r="B52" i="4"/>
  <c r="B49" i="4"/>
  <c r="B47" i="4"/>
  <c r="B44" i="4"/>
  <c r="C507" i="6"/>
  <c r="B486" i="6"/>
  <c r="A411" i="6"/>
  <c r="B163" i="8"/>
  <c r="B69" i="8"/>
  <c r="C500" i="6"/>
  <c r="B447" i="6"/>
  <c r="C503" i="6"/>
  <c r="D42" i="36"/>
  <c r="B57" i="4"/>
  <c r="B56" i="4"/>
  <c r="B54" i="4"/>
  <c r="B53" i="4"/>
  <c r="B51" i="4"/>
  <c r="B50" i="4"/>
  <c r="B48" i="4"/>
  <c r="B46" i="4"/>
  <c r="B45" i="4"/>
  <c r="B162" i="8"/>
  <c r="C498" i="6"/>
  <c r="B494" i="6"/>
  <c r="B477" i="6"/>
  <c r="D35" i="36"/>
  <c r="B210" i="8"/>
  <c r="B374" i="4"/>
  <c r="B71" i="8"/>
  <c r="B109" i="4"/>
  <c r="B105" i="4"/>
  <c r="B101" i="4"/>
  <c r="B110" i="4"/>
  <c r="B107" i="4"/>
  <c r="B103" i="4"/>
  <c r="B217" i="8"/>
  <c r="D68" i="36"/>
  <c r="B218" i="8"/>
  <c r="A208" i="8"/>
  <c r="D61" i="36"/>
  <c r="B112" i="4"/>
  <c r="B111" i="4"/>
  <c r="B108" i="4"/>
  <c r="B106" i="4"/>
  <c r="B104" i="4"/>
  <c r="B102" i="4"/>
  <c r="D81" i="52"/>
  <c r="D73" i="52"/>
  <c r="D65" i="52"/>
  <c r="B139" i="4"/>
  <c r="B450" i="19"/>
  <c r="B447" i="19"/>
  <c r="B439" i="19"/>
  <c r="A431" i="19"/>
  <c r="C292" i="19"/>
  <c r="C144" i="19"/>
  <c r="AE63" i="60"/>
  <c r="B262" i="19"/>
  <c r="C138" i="19"/>
  <c r="B151" i="4"/>
  <c r="B150" i="4"/>
  <c r="B149" i="4"/>
  <c r="B148" i="4"/>
  <c r="B147" i="4"/>
  <c r="B146" i="4"/>
  <c r="B143" i="4"/>
  <c r="B142" i="4"/>
  <c r="B141" i="4"/>
  <c r="B144" i="4"/>
  <c r="B138" i="4"/>
  <c r="B137" i="4"/>
  <c r="B145" i="4"/>
  <c r="B140" i="4"/>
  <c r="B286" i="8"/>
  <c r="B278" i="8"/>
  <c r="C1587" i="19"/>
  <c r="B436" i="19"/>
  <c r="B433" i="19"/>
  <c r="C232" i="19"/>
  <c r="C162" i="19"/>
  <c r="C108" i="19"/>
  <c r="C95" i="19"/>
  <c r="AJ63" i="61"/>
  <c r="AJ236" i="39"/>
  <c r="C1578" i="19"/>
  <c r="B458" i="19"/>
  <c r="C222" i="19"/>
  <c r="C126" i="19"/>
  <c r="AO63" i="61"/>
  <c r="AO236" i="39"/>
  <c r="C1569" i="19"/>
  <c r="B442" i="19"/>
  <c r="C212" i="19"/>
  <c r="C182" i="19"/>
  <c r="C156" i="19"/>
  <c r="C120" i="19"/>
  <c r="C102" i="19"/>
  <c r="AJ63" i="60"/>
  <c r="AJ217" i="39"/>
  <c r="D155" i="52"/>
  <c r="D124" i="52"/>
  <c r="D104" i="52"/>
  <c r="D70" i="52"/>
  <c r="C136" i="52"/>
  <c r="D62" i="52"/>
  <c r="D78" i="52"/>
  <c r="D150" i="52"/>
  <c r="D114" i="52"/>
  <c r="B182" i="4"/>
  <c r="B194" i="4"/>
  <c r="B193" i="4"/>
  <c r="B192" i="4"/>
  <c r="B191" i="4"/>
  <c r="B190" i="4"/>
  <c r="B189" i="4"/>
  <c r="B188" i="4"/>
  <c r="B284" i="8"/>
  <c r="C1666" i="19"/>
  <c r="C1630" i="19"/>
  <c r="B597" i="19"/>
  <c r="B591" i="19"/>
  <c r="B588" i="19"/>
  <c r="C455" i="8"/>
  <c r="C1571" i="19"/>
  <c r="C134" i="19"/>
  <c r="AH236" i="39"/>
  <c r="C1675" i="19"/>
  <c r="C1621" i="19"/>
  <c r="C234" i="19"/>
  <c r="B187" i="4"/>
  <c r="B186" i="4"/>
  <c r="B185" i="4"/>
  <c r="B184" i="4"/>
  <c r="B181" i="4"/>
  <c r="B180" i="4"/>
  <c r="C1603" i="19"/>
  <c r="A586" i="19"/>
  <c r="C284" i="19"/>
  <c r="C227" i="19"/>
  <c r="C214" i="19"/>
  <c r="C184" i="19"/>
  <c r="C158" i="19"/>
  <c r="C140" i="19"/>
  <c r="C122" i="19"/>
  <c r="C104" i="19"/>
  <c r="AC63" i="61"/>
  <c r="AM63" i="60"/>
  <c r="AC236" i="39"/>
  <c r="AM217" i="39"/>
  <c r="B183" i="4"/>
  <c r="B276" i="8"/>
  <c r="C1657" i="19"/>
  <c r="B613" i="19"/>
  <c r="B594" i="19"/>
  <c r="C217" i="19"/>
  <c r="C188" i="19"/>
  <c r="C174" i="19"/>
  <c r="C116" i="19"/>
  <c r="AH63" i="61"/>
  <c r="C1648" i="19"/>
  <c r="B605" i="19"/>
  <c r="B602" i="19"/>
  <c r="C402" i="19"/>
  <c r="C397" i="19"/>
  <c r="B269" i="19"/>
  <c r="C177" i="19"/>
  <c r="C164" i="19"/>
  <c r="C110" i="19"/>
  <c r="C97" i="19"/>
  <c r="AM63" i="61"/>
  <c r="AC63" i="60"/>
  <c r="AM236" i="39"/>
  <c r="B232" i="4"/>
  <c r="B231" i="4"/>
  <c r="B230" i="4"/>
  <c r="B229" i="4"/>
  <c r="B228" i="4"/>
  <c r="B227" i="4"/>
  <c r="B226" i="4"/>
  <c r="B225" i="4"/>
  <c r="B224" i="4"/>
  <c r="B223" i="4"/>
  <c r="B269" i="4"/>
  <c r="B268" i="4"/>
  <c r="B267" i="4"/>
  <c r="B266" i="4"/>
  <c r="B265" i="4"/>
  <c r="B264" i="4"/>
  <c r="B263" i="4"/>
  <c r="B262" i="4"/>
  <c r="B261" i="4"/>
  <c r="B260" i="4"/>
  <c r="B259" i="4"/>
  <c r="B258" i="4"/>
  <c r="B257" i="4"/>
  <c r="B256" i="4"/>
  <c r="B759" i="19"/>
  <c r="A746" i="19"/>
  <c r="C287" i="19"/>
  <c r="B754" i="19"/>
  <c r="B748" i="19"/>
  <c r="B768" i="19"/>
  <c r="B763" i="19"/>
  <c r="B750" i="19"/>
  <c r="C297" i="19"/>
  <c r="B757" i="19"/>
  <c r="B752" i="19"/>
  <c r="D126" i="52"/>
  <c r="D80" i="52"/>
  <c r="D64" i="52"/>
  <c r="B296" i="4"/>
  <c r="B295" i="4"/>
  <c r="B294" i="4"/>
  <c r="B293" i="4"/>
  <c r="D116" i="52"/>
  <c r="B292" i="4"/>
  <c r="B291" i="4"/>
  <c r="B290" i="4"/>
  <c r="B872" i="19"/>
  <c r="B867" i="19"/>
  <c r="B858" i="19"/>
  <c r="B854" i="19"/>
  <c r="D106" i="52"/>
  <c r="B856" i="19"/>
  <c r="C399" i="19"/>
  <c r="D72" i="52"/>
  <c r="B869" i="19"/>
  <c r="B863" i="19"/>
  <c r="C392" i="19"/>
  <c r="C289" i="19"/>
  <c r="A850" i="19"/>
  <c r="B852" i="19"/>
  <c r="B321" i="4"/>
  <c r="B320" i="4"/>
  <c r="B319" i="4"/>
  <c r="B318" i="4"/>
  <c r="B317" i="4"/>
  <c r="B316" i="4"/>
  <c r="B315" i="4"/>
  <c r="B10" i="2"/>
  <c r="B10" i="1"/>
  <c r="B372" i="4"/>
  <c r="D73" i="36"/>
  <c r="F291" i="8"/>
  <c r="F102" i="8"/>
  <c r="F109" i="8" s="1"/>
  <c r="B111" i="8"/>
  <c r="B216" i="8"/>
  <c r="G291" i="8"/>
  <c r="G102" i="8"/>
  <c r="G109" i="8" s="1"/>
  <c r="C1612" i="19"/>
  <c r="I291" i="8"/>
  <c r="I102" i="8"/>
  <c r="I109" i="8" s="1"/>
  <c r="J293" i="8"/>
  <c r="J102" i="8"/>
  <c r="J109" i="8" s="1"/>
  <c r="C223" i="8"/>
  <c r="E486" i="8"/>
  <c r="B329" i="4"/>
  <c r="B328" i="4"/>
  <c r="B327" i="4"/>
  <c r="B326" i="4"/>
  <c r="B325" i="4"/>
  <c r="B324" i="4"/>
  <c r="B323" i="4"/>
  <c r="C214" i="8"/>
  <c r="E491" i="8"/>
  <c r="D11" i="31"/>
  <c r="D8" i="31"/>
  <c r="D6" i="31"/>
  <c r="D10" i="31"/>
  <c r="D12" i="31"/>
  <c r="B378" i="4"/>
  <c r="D5" i="31"/>
  <c r="D9" i="31"/>
  <c r="C195" i="8"/>
  <c r="B185" i="8"/>
  <c r="C606" i="6"/>
  <c r="C602" i="6"/>
  <c r="C565" i="6"/>
  <c r="A509" i="6"/>
  <c r="B931" i="19"/>
  <c r="B921" i="19"/>
  <c r="D157" i="52"/>
  <c r="C118" i="52"/>
  <c r="C108" i="52"/>
  <c r="C144" i="52"/>
  <c r="B242" i="4"/>
  <c r="C128" i="52"/>
  <c r="B240" i="4"/>
  <c r="B239" i="4"/>
  <c r="B249" i="4"/>
  <c r="B248" i="4"/>
  <c r="B924" i="19"/>
  <c r="B914" i="19"/>
  <c r="B911" i="19"/>
  <c r="B906" i="19"/>
  <c r="C400" i="19"/>
  <c r="B286" i="4"/>
  <c r="B285" i="4"/>
  <c r="B284" i="4"/>
  <c r="B283" i="4"/>
  <c r="B282" i="4"/>
  <c r="B281" i="4"/>
  <c r="B280" i="4"/>
  <c r="B279" i="4"/>
  <c r="B278" i="4"/>
  <c r="B277" i="4"/>
  <c r="B276" i="4"/>
  <c r="B297" i="4"/>
  <c r="B303" i="4"/>
  <c r="B302" i="4"/>
  <c r="B301" i="4"/>
  <c r="B300" i="4"/>
  <c r="B299" i="4"/>
  <c r="B298" i="4"/>
  <c r="B817" i="19"/>
  <c r="B809" i="19"/>
  <c r="B804" i="19"/>
  <c r="B337" i="4"/>
  <c r="B336" i="4"/>
  <c r="B335" i="4"/>
  <c r="B334" i="4"/>
  <c r="B333" i="4"/>
  <c r="B332" i="4"/>
  <c r="B331" i="4"/>
  <c r="E162" i="8"/>
  <c r="B187" i="8"/>
  <c r="B240" i="8"/>
  <c r="C248" i="8"/>
  <c r="E338" i="8"/>
  <c r="E358" i="8"/>
  <c r="E485" i="8"/>
  <c r="E492" i="8"/>
  <c r="B119" i="4"/>
  <c r="B121" i="4"/>
  <c r="B122" i="4"/>
  <c r="B124" i="4"/>
  <c r="B125" i="4"/>
  <c r="B127" i="4"/>
  <c r="B128" i="4"/>
  <c r="B130" i="4"/>
  <c r="B162" i="4"/>
  <c r="AG217" i="39"/>
  <c r="AG63" i="60"/>
  <c r="D22" i="36"/>
  <c r="D48" i="36"/>
  <c r="C117" i="19"/>
  <c r="C127" i="19"/>
  <c r="C135" i="19"/>
  <c r="C145" i="19"/>
  <c r="C166" i="19"/>
  <c r="C175" i="19"/>
  <c r="C189" i="19"/>
  <c r="C218" i="19"/>
  <c r="C223" i="19"/>
  <c r="C236" i="19"/>
  <c r="B265" i="19"/>
  <c r="B273" i="19"/>
  <c r="C293" i="19"/>
  <c r="C298" i="19"/>
  <c r="C396" i="19"/>
  <c r="C398" i="19"/>
  <c r="B531" i="19"/>
  <c r="B537" i="19"/>
  <c r="B682" i="19"/>
  <c r="B685" i="19"/>
  <c r="B815" i="19"/>
  <c r="B905" i="19"/>
  <c r="B912" i="19"/>
  <c r="B916" i="19"/>
  <c r="B920" i="19"/>
  <c r="C1572" i="19"/>
  <c r="C1579" i="19"/>
  <c r="C1611" i="19"/>
  <c r="C368" i="6"/>
  <c r="C405" i="6"/>
  <c r="C519" i="6"/>
  <c r="M110" i="8"/>
  <c r="B188" i="8"/>
  <c r="E437" i="8"/>
  <c r="C458" i="8"/>
  <c r="E488" i="8"/>
  <c r="E677" i="8"/>
  <c r="B158" i="4"/>
  <c r="B159" i="4"/>
  <c r="B273" i="4"/>
  <c r="B274" i="4"/>
  <c r="B275" i="4"/>
  <c r="D7" i="31"/>
  <c r="D123" i="52"/>
  <c r="D156" i="52"/>
  <c r="B202" i="4"/>
  <c r="E671" i="8"/>
  <c r="D595" i="8"/>
  <c r="B373" i="4"/>
  <c r="C211" i="8"/>
  <c r="B376" i="4"/>
  <c r="C145" i="8"/>
  <c r="A133" i="8"/>
  <c r="B68" i="8"/>
  <c r="C400" i="6"/>
  <c r="B396" i="6"/>
  <c r="B388" i="6"/>
  <c r="B379" i="6"/>
  <c r="B348" i="6"/>
  <c r="B375" i="4"/>
  <c r="B242" i="8"/>
  <c r="B239" i="8"/>
  <c r="B238" i="8"/>
  <c r="B72" i="8"/>
  <c r="D151" i="52"/>
  <c r="D115" i="52"/>
  <c r="D63" i="52"/>
  <c r="D105" i="52"/>
  <c r="D71" i="52"/>
  <c r="D79" i="52"/>
  <c r="B172" i="4"/>
  <c r="B171" i="4"/>
  <c r="B170" i="4"/>
  <c r="B169" i="4"/>
  <c r="B168" i="4"/>
  <c r="B167" i="4"/>
  <c r="D125" i="52"/>
  <c r="B165" i="4"/>
  <c r="B164" i="4"/>
  <c r="B163" i="4"/>
  <c r="B160" i="4"/>
  <c r="C452" i="8"/>
  <c r="B277" i="8"/>
  <c r="C1674" i="19"/>
  <c r="C1638" i="19"/>
  <c r="C1602" i="19"/>
  <c r="C1588" i="19"/>
  <c r="C1570" i="19"/>
  <c r="B515" i="19"/>
  <c r="B509" i="19"/>
  <c r="B506" i="19"/>
  <c r="D149" i="52"/>
  <c r="C132" i="52"/>
  <c r="D113" i="52"/>
  <c r="D77" i="52"/>
  <c r="D103" i="52"/>
  <c r="D69" i="52"/>
  <c r="D61" i="52"/>
  <c r="D154" i="52"/>
  <c r="B209" i="4"/>
  <c r="B208" i="4"/>
  <c r="B207" i="4"/>
  <c r="B206" i="4"/>
  <c r="B216" i="4"/>
  <c r="B215" i="4"/>
  <c r="B214" i="4"/>
  <c r="B213" i="4"/>
  <c r="B212" i="4"/>
  <c r="B211" i="4"/>
  <c r="B204" i="4"/>
  <c r="C1658" i="19"/>
  <c r="C1622" i="19"/>
  <c r="C1581" i="19"/>
  <c r="B677" i="19"/>
  <c r="A666" i="19"/>
  <c r="C403" i="19"/>
  <c r="B313" i="4"/>
  <c r="B312" i="4"/>
  <c r="B311" i="4"/>
  <c r="B310" i="4"/>
  <c r="B309" i="4"/>
  <c r="B308" i="4"/>
  <c r="B307" i="4"/>
  <c r="B138" i="8"/>
  <c r="B285" i="8"/>
  <c r="E336" i="8"/>
  <c r="E361" i="8"/>
  <c r="E487" i="8"/>
  <c r="B120" i="4"/>
  <c r="B123" i="4"/>
  <c r="B126" i="4"/>
  <c r="B129" i="4"/>
  <c r="B161" i="4"/>
  <c r="C140" i="52"/>
  <c r="B371" i="4"/>
  <c r="E377" i="8"/>
  <c r="E381" i="8"/>
  <c r="E383" i="8"/>
  <c r="E440" i="8"/>
  <c r="E442" i="8"/>
  <c r="E444" i="8"/>
  <c r="F671" i="8"/>
  <c r="C210" i="8"/>
  <c r="C220" i="8" s="1"/>
  <c r="D220" i="8"/>
  <c r="B136" i="8"/>
  <c r="C238" i="8"/>
  <c r="D245" i="8"/>
  <c r="D239" i="8"/>
  <c r="E111" i="8"/>
  <c r="E112" i="8"/>
  <c r="M112" i="8" s="1"/>
  <c r="E113" i="8"/>
  <c r="M113" i="8" s="1"/>
  <c r="K141" i="52"/>
  <c r="H229" i="2"/>
  <c r="K53" i="52"/>
  <c r="H231" i="2"/>
  <c r="K41" i="52"/>
  <c r="H230" i="2"/>
  <c r="E263" i="2"/>
  <c r="G177" i="19"/>
  <c r="E1406" i="19"/>
  <c r="N73" i="56"/>
  <c r="AV115" i="39"/>
  <c r="AV70" i="39"/>
  <c r="AV67" i="39"/>
  <c r="AE155" i="39"/>
  <c r="AD155" i="39"/>
  <c r="AV118" i="39"/>
  <c r="D247" i="58"/>
  <c r="C264" i="58"/>
  <c r="C267" i="58" s="1"/>
  <c r="G436" i="19"/>
  <c r="E669" i="6"/>
  <c r="E20" i="52" s="1"/>
  <c r="H74" i="2"/>
  <c r="D74" i="1"/>
  <c r="E1540" i="19"/>
  <c r="E1404" i="19"/>
  <c r="K138" i="52"/>
  <c r="K155" i="52"/>
  <c r="H173" i="2"/>
  <c r="G592" i="19"/>
  <c r="H175" i="2"/>
  <c r="G510" i="19"/>
  <c r="G672" i="19"/>
  <c r="K116" i="52"/>
  <c r="K146" i="52"/>
  <c r="K154" i="52"/>
  <c r="K156" i="52"/>
  <c r="H176" i="2"/>
  <c r="K142" i="52"/>
  <c r="K161" i="52"/>
  <c r="H174" i="2"/>
  <c r="E1679" i="19"/>
  <c r="K113" i="52"/>
  <c r="K118" i="52"/>
  <c r="K134" i="52"/>
  <c r="K157" i="52"/>
  <c r="K160" i="52"/>
  <c r="E403" i="19"/>
  <c r="H172" i="2"/>
  <c r="B215" i="8"/>
  <c r="D66" i="36"/>
  <c r="B214" i="8"/>
  <c r="D63" i="36"/>
  <c r="D89" i="36"/>
  <c r="D104" i="36"/>
  <c r="D65" i="36"/>
  <c r="D72" i="36"/>
  <c r="D99" i="36"/>
  <c r="D88" i="36"/>
  <c r="D98" i="36"/>
  <c r="D103" i="36"/>
  <c r="B213" i="8"/>
  <c r="D71" i="36"/>
  <c r="D93" i="36"/>
  <c r="B212" i="8"/>
  <c r="B211" i="8"/>
  <c r="E1227" i="19"/>
  <c r="E354" i="19"/>
  <c r="E1394" i="19"/>
  <c r="E216" i="19"/>
  <c r="E1369" i="19"/>
  <c r="E1396" i="19"/>
  <c r="E1624" i="19"/>
  <c r="E348" i="19"/>
  <c r="E1606" i="19"/>
  <c r="E1615" i="19"/>
  <c r="E1072" i="19"/>
  <c r="E1264" i="19"/>
  <c r="E1182" i="19"/>
  <c r="E1542" i="19"/>
  <c r="E1551" i="19"/>
  <c r="E1112" i="19"/>
  <c r="E1469" i="19"/>
  <c r="E1212" i="19"/>
  <c r="E1257" i="19"/>
  <c r="E1531" i="19"/>
  <c r="E1642" i="19"/>
  <c r="E1678" i="19"/>
  <c r="E1387" i="19"/>
  <c r="E1039" i="19"/>
  <c r="E1093" i="19"/>
  <c r="E1248" i="19"/>
  <c r="E1266" i="19"/>
  <c r="E1139" i="19"/>
  <c r="E1184" i="19"/>
  <c r="E1430" i="19"/>
  <c r="E1497" i="19"/>
  <c r="E1506" i="19"/>
  <c r="E1348" i="19"/>
  <c r="E1048" i="19"/>
  <c r="E1084" i="19"/>
  <c r="E1102" i="19"/>
  <c r="E1203" i="19"/>
  <c r="E1324" i="19"/>
  <c r="E1560" i="19"/>
  <c r="E324" i="19"/>
  <c r="L292" i="56"/>
  <c r="E1110" i="19"/>
  <c r="E1121" i="19"/>
  <c r="E1166" i="19"/>
  <c r="E1175" i="19"/>
  <c r="E1378" i="19"/>
  <c r="E1460" i="19"/>
  <c r="E1478" i="19"/>
  <c r="E236" i="19"/>
  <c r="E308" i="19"/>
  <c r="E187" i="19"/>
  <c r="E1030" i="19"/>
  <c r="E1054" i="19"/>
  <c r="E1082" i="19"/>
  <c r="E1130" i="19"/>
  <c r="E1194" i="19"/>
  <c r="E1342" i="19"/>
  <c r="E1431" i="19"/>
  <c r="E1449" i="19"/>
  <c r="E1521" i="19"/>
  <c r="E1633" i="19"/>
  <c r="E1651" i="19"/>
  <c r="E1669" i="19"/>
  <c r="E1028" i="19"/>
  <c r="E1192" i="19"/>
  <c r="E1340" i="19"/>
  <c r="E1349" i="19"/>
  <c r="E1660" i="19"/>
  <c r="H15" i="40"/>
  <c r="E384" i="8"/>
  <c r="E368" i="8"/>
  <c r="E367" i="8"/>
  <c r="E395" i="8"/>
  <c r="E397" i="8"/>
  <c r="E399" i="8"/>
  <c r="F40" i="40"/>
  <c r="E340" i="8"/>
  <c r="E359" i="8"/>
  <c r="E441" i="8"/>
  <c r="E474" i="8"/>
  <c r="K137" i="52"/>
  <c r="H396" i="2"/>
  <c r="H400" i="2"/>
  <c r="E335" i="8"/>
  <c r="F351" i="8" s="1"/>
  <c r="E364" i="8"/>
  <c r="E366" i="8"/>
  <c r="E385" i="8"/>
  <c r="E401" i="8"/>
  <c r="E468" i="8"/>
  <c r="E470" i="8"/>
  <c r="E472" i="8"/>
  <c r="E494" i="8"/>
  <c r="E182" i="4"/>
  <c r="K133" i="52"/>
  <c r="E186" i="19"/>
  <c r="E179" i="19"/>
  <c r="E1254" i="19"/>
  <c r="E1384" i="19"/>
  <c r="E1375" i="19"/>
  <c r="E1466" i="19"/>
  <c r="E1393" i="19"/>
  <c r="E35" i="19"/>
  <c r="E40" i="19"/>
  <c r="F50" i="41"/>
  <c r="N50" i="41" s="1"/>
  <c r="H13" i="14"/>
  <c r="D10" i="1"/>
  <c r="G1650" i="19"/>
  <c r="G1641" i="19"/>
  <c r="G1614" i="19"/>
  <c r="G1632" i="19"/>
  <c r="G405" i="19"/>
  <c r="G426" i="19"/>
  <c r="F69" i="36"/>
  <c r="G69" i="36"/>
  <c r="H69" i="36"/>
  <c r="E69" i="36"/>
  <c r="I69" i="36"/>
  <c r="G58" i="36"/>
  <c r="F56" i="36"/>
  <c r="H58" i="36"/>
  <c r="G56" i="36"/>
  <c r="E58" i="36"/>
  <c r="I58" i="36"/>
  <c r="H56" i="36"/>
  <c r="F58" i="36"/>
  <c r="G43" i="36"/>
  <c r="F45" i="36"/>
  <c r="G45" i="36"/>
  <c r="F43" i="36"/>
  <c r="E44" i="36"/>
  <c r="I44" i="36"/>
  <c r="H45" i="36"/>
  <c r="G32" i="36"/>
  <c r="F30" i="36"/>
  <c r="H32" i="36"/>
  <c r="G30" i="36"/>
  <c r="E32" i="36"/>
  <c r="I32" i="36"/>
  <c r="G15" i="36"/>
  <c r="F16" i="36"/>
  <c r="E17" i="36"/>
  <c r="I17" i="36"/>
  <c r="H15" i="36"/>
  <c r="G16" i="36"/>
  <c r="F17" i="36"/>
  <c r="E15" i="36"/>
  <c r="I15" i="36"/>
  <c r="H16" i="36"/>
  <c r="G17" i="36"/>
  <c r="F15" i="36"/>
  <c r="E16" i="36"/>
  <c r="I16" i="36"/>
  <c r="H17" i="36"/>
  <c r="G670" i="19"/>
  <c r="G1035" i="19"/>
  <c r="L53" i="62"/>
  <c r="F303" i="56"/>
  <c r="F54" i="41"/>
  <c r="N54" i="41" s="1"/>
  <c r="F68" i="41"/>
  <c r="N68" i="41" s="1"/>
  <c r="F21" i="49"/>
  <c r="H488" i="2"/>
  <c r="H496" i="2"/>
  <c r="H500" i="2"/>
  <c r="H507" i="2"/>
  <c r="H515" i="2"/>
  <c r="H525" i="2"/>
  <c r="H529" i="2"/>
  <c r="H533" i="2"/>
  <c r="H537" i="2"/>
  <c r="H541" i="2"/>
  <c r="H545" i="2"/>
  <c r="H549" i="2"/>
  <c r="H553" i="2"/>
  <c r="H557" i="2"/>
  <c r="H561" i="2"/>
  <c r="G58" i="19"/>
  <c r="G62" i="19"/>
  <c r="G434" i="19"/>
  <c r="G435" i="19"/>
  <c r="G508" i="19"/>
  <c r="G749" i="19"/>
  <c r="G1053" i="19"/>
  <c r="G1080" i="19"/>
  <c r="G1180" i="19"/>
  <c r="G1190" i="19"/>
  <c r="G1262" i="19"/>
  <c r="G1338" i="19"/>
  <c r="G1411" i="19"/>
  <c r="G1429" i="19"/>
  <c r="G1802" i="19"/>
  <c r="G19" i="6"/>
  <c r="E1488" i="19"/>
  <c r="E1424" i="19"/>
  <c r="E1415" i="19"/>
  <c r="E1333" i="19"/>
  <c r="H53" i="62"/>
  <c r="F52" i="41"/>
  <c r="N52" i="41" s="1"/>
  <c r="F64" i="41"/>
  <c r="N64" i="41" s="1"/>
  <c r="H134" i="2"/>
  <c r="H187" i="2"/>
  <c r="G589" i="19"/>
  <c r="G590" i="19"/>
  <c r="G1071" i="19"/>
  <c r="G1208" i="19"/>
  <c r="G1244" i="19"/>
  <c r="G1253" i="19"/>
  <c r="G1392" i="19"/>
  <c r="G1438" i="19"/>
  <c r="G1511" i="19"/>
  <c r="G1538" i="19"/>
  <c r="E1064" i="19"/>
  <c r="E1385" i="19"/>
  <c r="E22" i="19"/>
  <c r="E48" i="19"/>
  <c r="E401" i="19"/>
  <c r="G1493" i="19"/>
  <c r="G1529" i="19"/>
  <c r="G1556" i="19"/>
  <c r="U12" i="14"/>
  <c r="U17" i="14" s="1"/>
  <c r="G507" i="19"/>
  <c r="G801" i="19"/>
  <c r="G904" i="19"/>
  <c r="G1026" i="19"/>
  <c r="G1062" i="19"/>
  <c r="G1162" i="19"/>
  <c r="G1171" i="19"/>
  <c r="G1199" i="19"/>
  <c r="G1217" i="19"/>
  <c r="G1226" i="19"/>
  <c r="G1383" i="19"/>
  <c r="G1402" i="19"/>
  <c r="G1484" i="19"/>
  <c r="G1502" i="19"/>
  <c r="G1520" i="19"/>
  <c r="G1809" i="19"/>
  <c r="G21" i="6"/>
  <c r="G687" i="6"/>
  <c r="E581" i="8"/>
  <c r="E582" i="8" s="1"/>
  <c r="E80" i="6"/>
  <c r="H179" i="2"/>
  <c r="H181" i="2"/>
  <c r="H183" i="2"/>
  <c r="H194" i="2"/>
  <c r="H199" i="2"/>
  <c r="H201" i="2"/>
  <c r="H203" i="2"/>
  <c r="H205" i="2"/>
  <c r="H233" i="2"/>
  <c r="E367" i="2"/>
  <c r="E300" i="2"/>
  <c r="E308" i="2"/>
  <c r="E312" i="2"/>
  <c r="E316" i="2"/>
  <c r="E375" i="2"/>
  <c r="G340" i="19"/>
  <c r="G397" i="19"/>
  <c r="G85" i="52"/>
  <c r="E86" i="52"/>
  <c r="I86" i="52"/>
  <c r="G87" i="52"/>
  <c r="D229" i="1"/>
  <c r="D231" i="1"/>
  <c r="H25" i="2"/>
  <c r="H31" i="2"/>
  <c r="H59" i="2"/>
  <c r="H71" i="2"/>
  <c r="H135" i="2"/>
  <c r="H137" i="2"/>
  <c r="H140" i="2"/>
  <c r="H85" i="52"/>
  <c r="F86" i="52"/>
  <c r="H142" i="2"/>
  <c r="H87" i="52"/>
  <c r="H144" i="2"/>
  <c r="H150" i="2"/>
  <c r="H152" i="2"/>
  <c r="H154" i="2"/>
  <c r="E170" i="2"/>
  <c r="E390" i="19" s="1"/>
  <c r="H168" i="2"/>
  <c r="H169" i="2"/>
  <c r="H210" i="2"/>
  <c r="H212" i="2"/>
  <c r="H214" i="2"/>
  <c r="E302" i="2"/>
  <c r="E306" i="2"/>
  <c r="E310" i="2"/>
  <c r="E314" i="2"/>
  <c r="E359" i="2"/>
  <c r="E371" i="2"/>
  <c r="G338" i="19"/>
  <c r="G384" i="19"/>
  <c r="G396" i="19"/>
  <c r="E421" i="19"/>
  <c r="G511" i="19"/>
  <c r="G669" i="19"/>
  <c r="G855" i="19"/>
  <c r="G905" i="19"/>
  <c r="G1117" i="19"/>
  <c r="G1320" i="19"/>
  <c r="G1347" i="19"/>
  <c r="G1356" i="19"/>
  <c r="G1420" i="19"/>
  <c r="G1474" i="19"/>
  <c r="E1607" i="19"/>
  <c r="E1616" i="19"/>
  <c r="E1625" i="19"/>
  <c r="E1634" i="19"/>
  <c r="E1643" i="19"/>
  <c r="E1652" i="19"/>
  <c r="E1661" i="19"/>
  <c r="E1670" i="19"/>
  <c r="G1684" i="19"/>
  <c r="G1822" i="19"/>
  <c r="D31" i="1"/>
  <c r="S15" i="14"/>
  <c r="E709" i="6"/>
  <c r="G709" i="6" s="1"/>
  <c r="E402" i="19"/>
  <c r="E85" i="52"/>
  <c r="E1803" i="19"/>
  <c r="I85" i="52"/>
  <c r="G86" i="52"/>
  <c r="E87" i="52"/>
  <c r="I87" i="52"/>
  <c r="E155" i="2"/>
  <c r="H180" i="2"/>
  <c r="H182" i="2"/>
  <c r="H198" i="2"/>
  <c r="H200" i="2"/>
  <c r="H202" i="2"/>
  <c r="H204" i="2"/>
  <c r="H206" i="2"/>
  <c r="E977" i="19"/>
  <c r="H234" i="2"/>
  <c r="G400" i="19"/>
  <c r="G437" i="19"/>
  <c r="G1044" i="19"/>
  <c r="G1456" i="19"/>
  <c r="G1688" i="19"/>
  <c r="G1816" i="19"/>
  <c r="G22" i="6"/>
  <c r="H26" i="2"/>
  <c r="H69" i="2"/>
  <c r="H70" i="2"/>
  <c r="H136" i="2"/>
  <c r="F85" i="52"/>
  <c r="H141" i="2"/>
  <c r="H86" i="52"/>
  <c r="F87" i="52"/>
  <c r="H143" i="2"/>
  <c r="H151" i="2"/>
  <c r="H153" i="2"/>
  <c r="H167" i="2"/>
  <c r="E207" i="2"/>
  <c r="H209" i="2"/>
  <c r="H211" i="2"/>
  <c r="H213" i="2"/>
  <c r="E1573" i="19"/>
  <c r="E1582" i="19"/>
  <c r="G673" i="19"/>
  <c r="E969" i="19"/>
  <c r="G15" i="6"/>
  <c r="E23" i="6"/>
  <c r="G667" i="6"/>
  <c r="H487" i="2"/>
  <c r="H495" i="2"/>
  <c r="H499" i="2"/>
  <c r="H503" i="2"/>
  <c r="H511" i="2"/>
  <c r="H519" i="2"/>
  <c r="H522" i="2"/>
  <c r="H526" i="2"/>
  <c r="H530" i="2"/>
  <c r="H534" i="2"/>
  <c r="H538" i="2"/>
  <c r="H542" i="2"/>
  <c r="H546" i="2"/>
  <c r="H550" i="2"/>
  <c r="H554" i="2"/>
  <c r="H558" i="2"/>
  <c r="E1000" i="19"/>
  <c r="E1281" i="19"/>
  <c r="H489" i="2"/>
  <c r="H497" i="2"/>
  <c r="H501" i="2"/>
  <c r="H512" i="2"/>
  <c r="H518" i="2"/>
  <c r="H520" i="2"/>
  <c r="H524" i="2"/>
  <c r="H528" i="2"/>
  <c r="H532" i="2"/>
  <c r="H536" i="2"/>
  <c r="H540" i="2"/>
  <c r="H544" i="2"/>
  <c r="H548" i="2"/>
  <c r="H552" i="2"/>
  <c r="H556" i="2"/>
  <c r="H560" i="2"/>
  <c r="G339" i="19"/>
  <c r="E342" i="19"/>
  <c r="G399" i="19"/>
  <c r="G958" i="19"/>
  <c r="G1687" i="19"/>
  <c r="G1689" i="19"/>
  <c r="H398" i="2"/>
  <c r="H399" i="2"/>
  <c r="H494" i="2"/>
  <c r="H498" i="2"/>
  <c r="H502" i="2"/>
  <c r="H508" i="2"/>
  <c r="H516" i="2"/>
  <c r="H523" i="2"/>
  <c r="H527" i="2"/>
  <c r="H531" i="2"/>
  <c r="H535" i="2"/>
  <c r="H539" i="2"/>
  <c r="H543" i="2"/>
  <c r="H547" i="2"/>
  <c r="H551" i="2"/>
  <c r="H555" i="2"/>
  <c r="H559" i="2"/>
  <c r="E352" i="19"/>
  <c r="E353" i="19"/>
  <c r="G398" i="19"/>
  <c r="G959" i="19"/>
  <c r="G1683" i="19"/>
  <c r="G1685" i="19"/>
  <c r="G668" i="6"/>
  <c r="E359" i="19"/>
  <c r="E676" i="6"/>
  <c r="E1239" i="19"/>
  <c r="E358" i="19"/>
  <c r="J10" i="14"/>
  <c r="U23" i="14"/>
  <c r="H166" i="2"/>
  <c r="E307" i="2"/>
  <c r="D307" i="1" s="1"/>
  <c r="E315" i="2"/>
  <c r="H280" i="2"/>
  <c r="H286" i="2"/>
  <c r="E352" i="2"/>
  <c r="E368" i="2"/>
  <c r="E372" i="2"/>
  <c r="E376" i="2"/>
  <c r="H412" i="2"/>
  <c r="H491" i="2"/>
  <c r="G286" i="19"/>
  <c r="E303" i="2"/>
  <c r="H272" i="2"/>
  <c r="H278" i="2"/>
  <c r="H284" i="2"/>
  <c r="E360" i="2"/>
  <c r="F56" i="41"/>
  <c r="N56" i="41" s="1"/>
  <c r="F62" i="41"/>
  <c r="N62" i="41" s="1"/>
  <c r="F70" i="41"/>
  <c r="N70" i="41" s="1"/>
  <c r="H165" i="2"/>
  <c r="E293" i="2"/>
  <c r="E301" i="2"/>
  <c r="D301" i="1" s="1"/>
  <c r="E305" i="2"/>
  <c r="E309" i="2"/>
  <c r="D309" i="1" s="1"/>
  <c r="E313" i="2"/>
  <c r="E317" i="2"/>
  <c r="D317" i="1" s="1"/>
  <c r="E361" i="2"/>
  <c r="E365" i="2"/>
  <c r="E369" i="2"/>
  <c r="E373" i="2"/>
  <c r="H486" i="2"/>
  <c r="H490" i="2"/>
  <c r="E341" i="8"/>
  <c r="E360" i="8"/>
  <c r="E378" i="8"/>
  <c r="E386" i="8"/>
  <c r="E393" i="8"/>
  <c r="E402" i="8"/>
  <c r="E443" i="8"/>
  <c r="E446" i="8"/>
  <c r="E475" i="8"/>
  <c r="E295" i="2"/>
  <c r="E299" i="2"/>
  <c r="E311" i="2"/>
  <c r="H484" i="2"/>
  <c r="H492" i="2"/>
  <c r="H270" i="2"/>
  <c r="H282" i="2"/>
  <c r="H288" i="2"/>
  <c r="E364" i="2"/>
  <c r="H483" i="2"/>
  <c r="H513" i="2"/>
  <c r="G288" i="19"/>
  <c r="H271" i="2"/>
  <c r="H273" i="2"/>
  <c r="H277" i="2"/>
  <c r="H279" i="2"/>
  <c r="H281" i="2"/>
  <c r="H283" i="2"/>
  <c r="H285" i="2"/>
  <c r="H287" i="2"/>
  <c r="E354" i="2"/>
  <c r="E358" i="2"/>
  <c r="E362" i="2"/>
  <c r="E366" i="2"/>
  <c r="E370" i="2"/>
  <c r="E374" i="2"/>
  <c r="H485" i="2"/>
  <c r="H493" i="2"/>
  <c r="H506" i="2"/>
  <c r="H509" i="2"/>
  <c r="H517" i="2"/>
  <c r="G78" i="19"/>
  <c r="G1306" i="19"/>
  <c r="G1310" i="19"/>
  <c r="O97" i="8"/>
  <c r="E337" i="8"/>
  <c r="E344" i="8"/>
  <c r="E362" i="8"/>
  <c r="E365" i="8"/>
  <c r="E382" i="8"/>
  <c r="E398" i="8"/>
  <c r="E439" i="8"/>
  <c r="E471" i="8"/>
  <c r="E160" i="4"/>
  <c r="E990" i="19"/>
  <c r="E204" i="4"/>
  <c r="K145" i="52"/>
  <c r="E21" i="19"/>
  <c r="E31" i="19"/>
  <c r="E33" i="19"/>
  <c r="E14" i="19"/>
  <c r="E16" i="19"/>
  <c r="E20" i="19"/>
  <c r="E44" i="19"/>
  <c r="E46" i="19"/>
  <c r="E1055" i="19"/>
  <c r="E1128" i="19"/>
  <c r="E1137" i="19"/>
  <c r="E1155" i="19"/>
  <c r="E1164" i="19"/>
  <c r="E1219" i="19"/>
  <c r="E1237" i="19"/>
  <c r="E1376" i="19"/>
  <c r="E1433" i="19"/>
  <c r="E1476" i="19"/>
  <c r="E1486" i="19"/>
  <c r="E1558" i="19"/>
  <c r="E18" i="19"/>
  <c r="E24" i="19"/>
  <c r="E29" i="19"/>
  <c r="E37" i="19"/>
  <c r="E42" i="19"/>
  <c r="E989" i="19"/>
  <c r="E1046" i="19"/>
  <c r="E1073" i="19"/>
  <c r="E1100" i="19"/>
  <c r="E1210" i="19"/>
  <c r="E1246" i="19"/>
  <c r="E1322" i="19"/>
  <c r="E1367" i="19"/>
  <c r="E1422" i="19"/>
  <c r="E1513" i="19"/>
  <c r="E79" i="6"/>
  <c r="G91" i="6"/>
  <c r="G109" i="6"/>
  <c r="E237" i="19"/>
  <c r="D13" i="1"/>
  <c r="E1136" i="19"/>
  <c r="E1357" i="19"/>
  <c r="E1413" i="19"/>
  <c r="E169" i="19"/>
  <c r="E1063" i="19"/>
  <c r="E1236" i="19"/>
  <c r="E1245" i="19"/>
  <c r="E1283" i="19"/>
  <c r="E1366" i="19"/>
  <c r="E1439" i="19"/>
  <c r="E1448" i="19"/>
  <c r="E1512" i="19"/>
  <c r="E991" i="19"/>
  <c r="H292" i="56"/>
  <c r="E161" i="2"/>
  <c r="H161" i="2" s="1"/>
  <c r="E1057" i="19"/>
  <c r="E1145" i="19"/>
  <c r="E1154" i="19"/>
  <c r="E1218" i="19"/>
  <c r="E1230" i="19"/>
  <c r="E414" i="6"/>
  <c r="E1421" i="19"/>
  <c r="E1494" i="19"/>
  <c r="E1330" i="19"/>
  <c r="E1045" i="19"/>
  <c r="E1027" i="19"/>
  <c r="E1339" i="19"/>
  <c r="E1321" i="19"/>
  <c r="E1127" i="19"/>
  <c r="E1118" i="19"/>
  <c r="E1036" i="19"/>
  <c r="E1503" i="19"/>
  <c r="E1200" i="19"/>
  <c r="E1485" i="19"/>
  <c r="E1209" i="19"/>
  <c r="E1191" i="19"/>
  <c r="E1109" i="19"/>
  <c r="E1403" i="19"/>
  <c r="E1412" i="19"/>
  <c r="E755" i="19"/>
  <c r="E756" i="19" s="1"/>
  <c r="D303" i="56"/>
  <c r="F227" i="56"/>
  <c r="E1457" i="19"/>
  <c r="E1172" i="19"/>
  <c r="E1548" i="19"/>
  <c r="E1163" i="19"/>
  <c r="E1090" i="19"/>
  <c r="E512" i="6"/>
  <c r="E511" i="6"/>
  <c r="E513" i="6"/>
  <c r="E45" i="19"/>
  <c r="E28" i="19"/>
  <c r="E857" i="19"/>
  <c r="E859" i="19" s="1"/>
  <c r="L42" i="56" s="1"/>
  <c r="N292" i="56"/>
  <c r="E1360" i="19"/>
  <c r="E1515" i="19"/>
  <c r="E1066" i="19"/>
  <c r="E36" i="19"/>
  <c r="E47" i="19"/>
  <c r="E49" i="19"/>
  <c r="E167" i="19"/>
  <c r="E188" i="19"/>
  <c r="E347" i="19"/>
  <c r="E1081" i="19"/>
  <c r="E1099" i="19"/>
  <c r="E1157" i="19"/>
  <c r="E1181" i="19"/>
  <c r="E1221" i="19"/>
  <c r="E1263" i="19"/>
  <c r="E1351" i="19"/>
  <c r="E1451" i="19"/>
  <c r="E1524" i="19"/>
  <c r="E1539" i="19"/>
  <c r="E719" i="6"/>
  <c r="E1522" i="19"/>
  <c r="E1495" i="19"/>
  <c r="E1440" i="19"/>
  <c r="E1331" i="19"/>
  <c r="E1549" i="19"/>
  <c r="E1467" i="19"/>
  <c r="E1255" i="19"/>
  <c r="E1228" i="19"/>
  <c r="E1146" i="19"/>
  <c r="E1119" i="19"/>
  <c r="E1091" i="19"/>
  <c r="E1037" i="19"/>
  <c r="E722" i="6"/>
  <c r="E30" i="2"/>
  <c r="S20" i="14" s="1"/>
  <c r="H452" i="2"/>
  <c r="E39" i="19"/>
  <c r="E41" i="19"/>
  <c r="E217" i="19"/>
  <c r="E1075" i="19"/>
  <c r="E1148" i="19"/>
  <c r="E1173" i="19"/>
  <c r="E1201" i="19"/>
  <c r="E1358" i="19"/>
  <c r="E1442" i="19"/>
  <c r="E1475" i="19"/>
  <c r="E1533" i="19"/>
  <c r="E1557" i="19"/>
  <c r="E355" i="19"/>
  <c r="E349" i="19"/>
  <c r="E176" i="19"/>
  <c r="E166" i="19"/>
  <c r="H428" i="2"/>
  <c r="H444" i="2"/>
  <c r="E1298" i="19"/>
  <c r="E1311" i="19"/>
  <c r="G1309" i="19"/>
  <c r="E415" i="6"/>
  <c r="E81" i="6"/>
  <c r="H157" i="2"/>
  <c r="G289" i="19"/>
  <c r="H159" i="2"/>
  <c r="E323" i="19"/>
  <c r="E315" i="19"/>
  <c r="E307" i="19"/>
  <c r="H160" i="2"/>
  <c r="H514" i="2"/>
  <c r="H10" i="2"/>
  <c r="H388" i="2"/>
  <c r="H420" i="2"/>
  <c r="H436" i="2"/>
  <c r="H510" i="2"/>
  <c r="H158" i="2"/>
  <c r="H392" i="2"/>
  <c r="H424" i="2"/>
  <c r="H440" i="2"/>
  <c r="H456" i="2"/>
  <c r="E17" i="19"/>
  <c r="E23" i="19"/>
  <c r="E32" i="19"/>
  <c r="E66" i="19"/>
  <c r="E614" i="2" s="1"/>
  <c r="O192" i="5" s="1"/>
  <c r="G61" i="19"/>
  <c r="G65" i="19"/>
  <c r="G283" i="19"/>
  <c r="G285" i="19"/>
  <c r="G287" i="19"/>
  <c r="G819" i="19"/>
  <c r="G1276" i="19"/>
  <c r="G1279" i="19"/>
  <c r="G1280" i="19"/>
  <c r="E1296" i="19"/>
  <c r="E446" i="2" s="1"/>
  <c r="G1291" i="19"/>
  <c r="G1294" i="19"/>
  <c r="G1295" i="19"/>
  <c r="E317" i="6"/>
  <c r="E315" i="6"/>
  <c r="E34" i="19"/>
  <c r="E30" i="19"/>
  <c r="E26" i="19"/>
  <c r="H416" i="2"/>
  <c r="H448" i="2"/>
  <c r="E15" i="19"/>
  <c r="E43" i="19"/>
  <c r="G59" i="19"/>
  <c r="G63" i="19"/>
  <c r="G1289" i="19"/>
  <c r="G1292" i="19"/>
  <c r="G1293" i="19"/>
  <c r="E1313" i="19"/>
  <c r="G94" i="6"/>
  <c r="G112" i="6"/>
  <c r="G599" i="6"/>
  <c r="H505" i="2"/>
  <c r="G60" i="19"/>
  <c r="G64" i="19"/>
  <c r="G284" i="19"/>
  <c r="G805" i="19"/>
  <c r="G1273" i="19"/>
  <c r="G1274" i="19"/>
  <c r="G1277" i="19"/>
  <c r="G1278" i="19"/>
  <c r="G1304" i="19"/>
  <c r="G1307" i="19"/>
  <c r="G1308" i="19"/>
  <c r="G90" i="6"/>
  <c r="G96" i="6"/>
  <c r="G95" i="6"/>
  <c r="G100" i="6"/>
  <c r="G103" i="6"/>
  <c r="G402" i="6"/>
  <c r="D14" i="1"/>
  <c r="H14" i="14"/>
  <c r="E704" i="6"/>
  <c r="G704" i="6" s="1"/>
  <c r="S10" i="14"/>
  <c r="E697" i="6"/>
  <c r="G57" i="19"/>
  <c r="E11" i="2"/>
  <c r="H13" i="2"/>
  <c r="H21" i="2"/>
  <c r="G753" i="19"/>
  <c r="E807" i="19"/>
  <c r="E1282" i="19"/>
  <c r="E1284" i="19"/>
  <c r="E1297" i="19"/>
  <c r="E1299" i="19"/>
  <c r="E1312" i="19"/>
  <c r="E1314" i="19"/>
  <c r="G818" i="19"/>
  <c r="G1272" i="19"/>
  <c r="G1287" i="19"/>
  <c r="G1302" i="19"/>
  <c r="G1275" i="19"/>
  <c r="G1288" i="19"/>
  <c r="G1290" i="19"/>
  <c r="G1303" i="19"/>
  <c r="G1305" i="19"/>
  <c r="G99" i="6"/>
  <c r="G108" i="6"/>
  <c r="E629" i="6"/>
  <c r="G500" i="6"/>
  <c r="G1771" i="19"/>
  <c r="G1791" i="19"/>
  <c r="G1781" i="19"/>
  <c r="M111" i="8" l="1"/>
  <c r="E116" i="8"/>
  <c r="E139" i="4"/>
  <c r="E353" i="2"/>
  <c r="E275" i="4"/>
  <c r="H518" i="8"/>
  <c r="E292" i="4"/>
  <c r="H153" i="3"/>
  <c r="H149" i="3"/>
  <c r="H151" i="3"/>
  <c r="H148" i="3"/>
  <c r="H150" i="3"/>
  <c r="H275" i="3"/>
  <c r="H277" i="3"/>
  <c r="H156" i="3"/>
  <c r="H155" i="3"/>
  <c r="H152" i="3"/>
  <c r="H278" i="3"/>
  <c r="H154" i="3"/>
  <c r="H274" i="3"/>
  <c r="H276" i="3"/>
  <c r="E294" i="2"/>
  <c r="D294" i="1" s="1"/>
  <c r="E258" i="4"/>
  <c r="G160" i="8"/>
  <c r="G162" i="8" s="1"/>
  <c r="E459" i="19"/>
  <c r="E118" i="6" s="1"/>
  <c r="E614" i="19"/>
  <c r="E766" i="19"/>
  <c r="E767" i="19" s="1"/>
  <c r="E694" i="19"/>
  <c r="AZ138" i="39"/>
  <c r="AX138" i="39"/>
  <c r="D161" i="8"/>
  <c r="E585" i="2"/>
  <c r="K192" i="5" s="1"/>
  <c r="E355" i="2"/>
  <c r="H355" i="2" s="1"/>
  <c r="E296" i="2"/>
  <c r="E192" i="5"/>
  <c r="E482" i="2"/>
  <c r="E481" i="2"/>
  <c r="N18" i="41"/>
  <c r="D162" i="8"/>
  <c r="D163" i="8"/>
  <c r="D167" i="8"/>
  <c r="AX90" i="39"/>
  <c r="E480" i="2"/>
  <c r="L69" i="40"/>
  <c r="E138" i="3" s="1"/>
  <c r="H267" i="2"/>
  <c r="AZ90" i="39"/>
  <c r="BB135" i="39"/>
  <c r="AX135" i="39"/>
  <c r="AZ125" i="39"/>
  <c r="AX125" i="39"/>
  <c r="H266" i="2"/>
  <c r="F161" i="8"/>
  <c r="H459" i="8"/>
  <c r="E447" i="2"/>
  <c r="F450" i="8"/>
  <c r="E356" i="2"/>
  <c r="E297" i="2"/>
  <c r="H268" i="2"/>
  <c r="E291" i="2"/>
  <c r="G210" i="8"/>
  <c r="H210" i="8" s="1"/>
  <c r="F167" i="8"/>
  <c r="G450" i="8"/>
  <c r="E450" i="8"/>
  <c r="E462" i="8"/>
  <c r="E25" i="7" s="1"/>
  <c r="H389" i="8"/>
  <c r="I453" i="8"/>
  <c r="H462" i="8"/>
  <c r="E478" i="2"/>
  <c r="E479" i="2"/>
  <c r="L63" i="40"/>
  <c r="E136" i="3" s="1"/>
  <c r="E477" i="2"/>
  <c r="E476" i="2"/>
  <c r="N16" i="41"/>
  <c r="F459" i="8"/>
  <c r="F163" i="8"/>
  <c r="E531" i="8"/>
  <c r="G459" i="8"/>
  <c r="F111" i="8"/>
  <c r="F113" i="8"/>
  <c r="F112" i="8"/>
  <c r="H265" i="2"/>
  <c r="G479" i="8"/>
  <c r="G480" i="8" s="1"/>
  <c r="G114" i="52"/>
  <c r="I114" i="52"/>
  <c r="I479" i="8"/>
  <c r="I480" i="8" s="1"/>
  <c r="E115" i="52"/>
  <c r="J55" i="21"/>
  <c r="G389" i="8"/>
  <c r="E534" i="19"/>
  <c r="F239" i="8"/>
  <c r="H114" i="52"/>
  <c r="H479" i="8"/>
  <c r="H480" i="8" s="1"/>
  <c r="I115" i="52"/>
  <c r="F389" i="8"/>
  <c r="G238" i="8"/>
  <c r="G239" i="8" s="1"/>
  <c r="F479" i="8"/>
  <c r="F480" i="8" s="1"/>
  <c r="F114" i="52"/>
  <c r="G115" i="52"/>
  <c r="E114" i="52"/>
  <c r="H55" i="21"/>
  <c r="E479" i="8"/>
  <c r="E480" i="8" s="1"/>
  <c r="F115" i="52"/>
  <c r="H115" i="52"/>
  <c r="G198" i="6"/>
  <c r="AZ87" i="39"/>
  <c r="BB87" i="39"/>
  <c r="AX128" i="39"/>
  <c r="BB128" i="39"/>
  <c r="AZ128" i="39"/>
  <c r="AZ77" i="39"/>
  <c r="AX77" i="39"/>
  <c r="BB77" i="39"/>
  <c r="AZ80" i="39"/>
  <c r="BB80" i="39"/>
  <c r="H274" i="2"/>
  <c r="L66" i="40"/>
  <c r="E137" i="3" s="1"/>
  <c r="D232" i="58"/>
  <c r="J35" i="62" s="1"/>
  <c r="E232" i="58"/>
  <c r="L35" i="62" s="1"/>
  <c r="C232" i="58"/>
  <c r="H35" i="62" s="1"/>
  <c r="E357" i="2"/>
  <c r="E304" i="2"/>
  <c r="H352" i="2"/>
  <c r="H264" i="2"/>
  <c r="E363" i="2"/>
  <c r="G342" i="19"/>
  <c r="I352" i="8"/>
  <c r="I351" i="8"/>
  <c r="F352" i="8"/>
  <c r="H275" i="2"/>
  <c r="E389" i="8"/>
  <c r="H354" i="8"/>
  <c r="G352" i="8"/>
  <c r="E459" i="8"/>
  <c r="E24" i="7" s="1"/>
  <c r="H364" i="2"/>
  <c r="H276" i="2"/>
  <c r="I459" i="8"/>
  <c r="L52" i="40"/>
  <c r="E133" i="3" s="1"/>
  <c r="E906" i="19"/>
  <c r="E907" i="19" s="1"/>
  <c r="X91" i="40"/>
  <c r="L58" i="40"/>
  <c r="E135" i="3" s="1"/>
  <c r="L44" i="40"/>
  <c r="E131" i="3" s="1"/>
  <c r="H269" i="2"/>
  <c r="L41" i="40"/>
  <c r="E130" i="3" s="1"/>
  <c r="G344" i="19"/>
  <c r="L55" i="40"/>
  <c r="E134" i="3" s="1"/>
  <c r="R296" i="56"/>
  <c r="G456" i="8"/>
  <c r="I456" i="8"/>
  <c r="H456" i="8"/>
  <c r="G462" i="8"/>
  <c r="E440" i="19"/>
  <c r="W234" i="56" s="1"/>
  <c r="X234" i="56" s="1"/>
  <c r="J209" i="56" s="1"/>
  <c r="F453" i="8"/>
  <c r="E456" i="8"/>
  <c r="E23" i="7" s="1"/>
  <c r="G453" i="8"/>
  <c r="I462" i="8"/>
  <c r="E453" i="8"/>
  <c r="E22" i="7" s="1"/>
  <c r="F462" i="8"/>
  <c r="L47" i="40"/>
  <c r="E132" i="3" s="1"/>
  <c r="E441" i="19"/>
  <c r="E445" i="19" s="1"/>
  <c r="L238" i="56" s="1"/>
  <c r="I450" i="8"/>
  <c r="H453" i="8"/>
  <c r="F456" i="8"/>
  <c r="H450" i="8"/>
  <c r="E445" i="2"/>
  <c r="U25" i="14"/>
  <c r="G653" i="6"/>
  <c r="G343" i="19"/>
  <c r="E351" i="2"/>
  <c r="I212" i="8"/>
  <c r="G353" i="8"/>
  <c r="H352" i="8"/>
  <c r="I353" i="8"/>
  <c r="H351" i="8"/>
  <c r="I293" i="8"/>
  <c r="I292" i="8"/>
  <c r="H292" i="8"/>
  <c r="H293" i="8"/>
  <c r="G293" i="8"/>
  <c r="G292" i="8"/>
  <c r="F293" i="8"/>
  <c r="F292" i="8"/>
  <c r="E351" i="8"/>
  <c r="E1003" i="19" s="1"/>
  <c r="E352" i="8"/>
  <c r="E1004" i="19" s="1"/>
  <c r="E354" i="8"/>
  <c r="E1006" i="19" s="1"/>
  <c r="I354" i="8"/>
  <c r="H353" i="8"/>
  <c r="D292" i="8"/>
  <c r="D293" i="8"/>
  <c r="G354" i="8"/>
  <c r="E353" i="8"/>
  <c r="E1005" i="19" s="1"/>
  <c r="F353" i="8"/>
  <c r="G351" i="8"/>
  <c r="F354" i="8"/>
  <c r="I211" i="8"/>
  <c r="C534" i="8"/>
  <c r="E532" i="8"/>
  <c r="I518" i="8"/>
  <c r="I519" i="8"/>
  <c r="C293" i="8"/>
  <c r="C292" i="8"/>
  <c r="G167" i="8"/>
  <c r="E1732" i="19"/>
  <c r="C245" i="8"/>
  <c r="C239" i="8"/>
  <c r="E1733" i="19"/>
  <c r="C167" i="8"/>
  <c r="C163" i="8"/>
  <c r="C162" i="8"/>
  <c r="C161" i="8"/>
  <c r="H262" i="2"/>
  <c r="E292" i="2"/>
  <c r="G43" i="52"/>
  <c r="F43" i="52"/>
  <c r="F55" i="52"/>
  <c r="I55" i="52"/>
  <c r="F49" i="52"/>
  <c r="H263" i="2"/>
  <c r="H43" i="52"/>
  <c r="E55" i="52"/>
  <c r="I49" i="52"/>
  <c r="G49" i="52"/>
  <c r="E49" i="52"/>
  <c r="E43" i="52"/>
  <c r="D221" i="1"/>
  <c r="H49" i="52"/>
  <c r="I43" i="52"/>
  <c r="H55" i="52"/>
  <c r="H221" i="2"/>
  <c r="G55" i="52"/>
  <c r="H222" i="2"/>
  <c r="H220" i="2"/>
  <c r="G721" i="6"/>
  <c r="G1396" i="19"/>
  <c r="G217" i="19"/>
  <c r="G1542" i="19"/>
  <c r="G316" i="19"/>
  <c r="G1478" i="19"/>
  <c r="G1642" i="19"/>
  <c r="G1166" i="19"/>
  <c r="AZ118" i="39"/>
  <c r="AX118" i="39"/>
  <c r="BB118" i="39"/>
  <c r="AX115" i="39"/>
  <c r="BB115" i="39"/>
  <c r="AZ115" i="39"/>
  <c r="AZ67" i="39"/>
  <c r="AX67" i="39"/>
  <c r="BB67" i="39"/>
  <c r="BB70" i="39"/>
  <c r="AZ70" i="39"/>
  <c r="AX70" i="39"/>
  <c r="G167" i="19"/>
  <c r="G176" i="19"/>
  <c r="G49" i="19"/>
  <c r="G169" i="19"/>
  <c r="G360" i="19"/>
  <c r="P37" i="50"/>
  <c r="G1549" i="19"/>
  <c r="G31" i="19"/>
  <c r="E204" i="6"/>
  <c r="G1469" i="19"/>
  <c r="G188" i="19"/>
  <c r="G991" i="19"/>
  <c r="G1266" i="19"/>
  <c r="G1257" i="19"/>
  <c r="G1551" i="19"/>
  <c r="G1451" i="19"/>
  <c r="G1248" i="19"/>
  <c r="G1678" i="19"/>
  <c r="G19" i="19"/>
  <c r="G1093" i="19"/>
  <c r="G1530" i="19"/>
  <c r="G166" i="19"/>
  <c r="G1066" i="19"/>
  <c r="G1246" i="19"/>
  <c r="G1236" i="19"/>
  <c r="G316" i="6"/>
  <c r="G1127" i="19"/>
  <c r="G237" i="19"/>
  <c r="G1046" i="19"/>
  <c r="G14" i="19"/>
  <c r="G413" i="6"/>
  <c r="G1560" i="19"/>
  <c r="G1084" i="19"/>
  <c r="G1624" i="19"/>
  <c r="G1458" i="19"/>
  <c r="G27" i="19"/>
  <c r="G1201" i="19"/>
  <c r="G1221" i="19"/>
  <c r="G1515" i="19"/>
  <c r="G28" i="19"/>
  <c r="G1230" i="19"/>
  <c r="G22" i="19"/>
  <c r="G1615" i="19"/>
  <c r="G1533" i="19"/>
  <c r="G1119" i="19"/>
  <c r="G1467" i="19"/>
  <c r="G1495" i="19"/>
  <c r="G1524" i="19"/>
  <c r="G1172" i="19"/>
  <c r="G1057" i="19"/>
  <c r="G989" i="19"/>
  <c r="G1237" i="19"/>
  <c r="G1137" i="19"/>
  <c r="G44" i="19"/>
  <c r="G1064" i="19"/>
  <c r="G1254" i="19"/>
  <c r="G1192" i="19"/>
  <c r="G1633" i="19"/>
  <c r="G236" i="19"/>
  <c r="G1175" i="19"/>
  <c r="G50" i="19"/>
  <c r="G349" i="19"/>
  <c r="G1173" i="19"/>
  <c r="G41" i="19"/>
  <c r="G45" i="19"/>
  <c r="G1218" i="19"/>
  <c r="G1136" i="19"/>
  <c r="G1100" i="19"/>
  <c r="G1219" i="19"/>
  <c r="G990" i="19"/>
  <c r="G361" i="19"/>
  <c r="G179" i="19"/>
  <c r="G1660" i="19"/>
  <c r="G1184" i="19"/>
  <c r="G1606" i="19"/>
  <c r="G669" i="6"/>
  <c r="G317" i="6"/>
  <c r="G1148" i="19"/>
  <c r="G1157" i="19"/>
  <c r="H170" i="2"/>
  <c r="G1669" i="19"/>
  <c r="G1102" i="19"/>
  <c r="G1081" i="19"/>
  <c r="G1054" i="19"/>
  <c r="G1146" i="19"/>
  <c r="G1522" i="19"/>
  <c r="G1360" i="19"/>
  <c r="G1090" i="19"/>
  <c r="G1128" i="19"/>
  <c r="G1466" i="19"/>
  <c r="G1028" i="19"/>
  <c r="G1227" i="19"/>
  <c r="H14" i="2"/>
  <c r="G1540" i="19"/>
  <c r="G315" i="19"/>
  <c r="G1442" i="19"/>
  <c r="G1037" i="19"/>
  <c r="G1331" i="19"/>
  <c r="G1351" i="19"/>
  <c r="G36" i="19"/>
  <c r="G1027" i="19"/>
  <c r="G79" i="6"/>
  <c r="G1073" i="19"/>
  <c r="G18" i="19"/>
  <c r="G1433" i="19"/>
  <c r="G1164" i="19"/>
  <c r="G1055" i="19"/>
  <c r="G1415" i="19"/>
  <c r="G35" i="19"/>
  <c r="G186" i="19"/>
  <c r="G1449" i="19"/>
  <c r="G187" i="19"/>
  <c r="G1460" i="19"/>
  <c r="G324" i="19"/>
  <c r="G1506" i="19"/>
  <c r="G1139" i="19"/>
  <c r="G1264" i="19"/>
  <c r="G216" i="19"/>
  <c r="G1430" i="19"/>
  <c r="G354" i="19"/>
  <c r="G1448" i="19"/>
  <c r="G1367" i="19"/>
  <c r="G40" i="19"/>
  <c r="G1348" i="19"/>
  <c r="G1369" i="19"/>
  <c r="G1404" i="19"/>
  <c r="G1075" i="19"/>
  <c r="G1091" i="19"/>
  <c r="G1440" i="19"/>
  <c r="G414" i="6"/>
  <c r="G1145" i="19"/>
  <c r="G1063" i="19"/>
  <c r="G1239" i="19"/>
  <c r="G359" i="19"/>
  <c r="G80" i="6"/>
  <c r="G48" i="19"/>
  <c r="G1340" i="19"/>
  <c r="G1651" i="19"/>
  <c r="G1431" i="19"/>
  <c r="G1082" i="19"/>
  <c r="G308" i="19"/>
  <c r="G1378" i="19"/>
  <c r="G1387" i="19"/>
  <c r="G1394" i="19"/>
  <c r="E367" i="19"/>
  <c r="F27" i="49" s="1"/>
  <c r="G1039" i="19"/>
  <c r="G1112" i="19"/>
  <c r="G1072" i="19"/>
  <c r="G1548" i="19"/>
  <c r="D315" i="1"/>
  <c r="G1457" i="19"/>
  <c r="G1194" i="19"/>
  <c r="G1212" i="19"/>
  <c r="G1030" i="19"/>
  <c r="G1182" i="19"/>
  <c r="G1393" i="19"/>
  <c r="E365" i="19"/>
  <c r="H293" i="2"/>
  <c r="G1118" i="19"/>
  <c r="E332" i="19"/>
  <c r="G1486" i="19"/>
  <c r="G676" i="6"/>
  <c r="G1203" i="19"/>
  <c r="G352" i="19"/>
  <c r="G1521" i="19"/>
  <c r="G1110" i="19"/>
  <c r="H15" i="14"/>
  <c r="E162" i="2"/>
  <c r="H162" i="2" s="1"/>
  <c r="G1121" i="19"/>
  <c r="G1048" i="19"/>
  <c r="G1342" i="19"/>
  <c r="D316" i="1"/>
  <c r="D295" i="1"/>
  <c r="G1311" i="19"/>
  <c r="G1324" i="19"/>
  <c r="G1349" i="19"/>
  <c r="D300" i="1"/>
  <c r="E82" i="6"/>
  <c r="C342" i="58" s="1"/>
  <c r="D305" i="1"/>
  <c r="D298" i="1"/>
  <c r="H375" i="2"/>
  <c r="H366" i="2"/>
  <c r="H312" i="2"/>
  <c r="D308" i="1"/>
  <c r="G39" i="19"/>
  <c r="G387" i="19"/>
  <c r="G21" i="19"/>
  <c r="D293" i="1"/>
  <c r="G1385" i="19"/>
  <c r="G1384" i="19"/>
  <c r="G1424" i="19"/>
  <c r="G1333" i="19"/>
  <c r="G29" i="19"/>
  <c r="H373" i="2"/>
  <c r="H367" i="2"/>
  <c r="G34" i="19"/>
  <c r="G1485" i="19"/>
  <c r="G1403" i="19"/>
  <c r="G26" i="19"/>
  <c r="G15" i="19"/>
  <c r="H311" i="2"/>
  <c r="D220" i="1"/>
  <c r="D222" i="1"/>
  <c r="G1154" i="19"/>
  <c r="G24" i="19"/>
  <c r="H360" i="2"/>
  <c r="G1421" i="19"/>
  <c r="G81" i="6"/>
  <c r="H314" i="2"/>
  <c r="H306" i="2"/>
  <c r="K85" i="52"/>
  <c r="D30" i="1"/>
  <c r="G1181" i="19"/>
  <c r="G1439" i="19"/>
  <c r="G1255" i="19"/>
  <c r="G1228" i="19"/>
  <c r="H372" i="2"/>
  <c r="G13" i="19"/>
  <c r="G348" i="19"/>
  <c r="G512" i="6"/>
  <c r="G1375" i="19"/>
  <c r="G1497" i="19"/>
  <c r="G1366" i="19"/>
  <c r="G1281" i="19"/>
  <c r="G1263" i="19"/>
  <c r="G1099" i="19"/>
  <c r="G1376" i="19"/>
  <c r="P79" i="40"/>
  <c r="D312" i="1"/>
  <c r="H315" i="2"/>
  <c r="H358" i="2"/>
  <c r="H308" i="2"/>
  <c r="D302" i="1"/>
  <c r="D299" i="1"/>
  <c r="G1810" i="19"/>
  <c r="G1679" i="19"/>
  <c r="G1625" i="19"/>
  <c r="G1661" i="19"/>
  <c r="G1643" i="19"/>
  <c r="G1573" i="19"/>
  <c r="G1634" i="19"/>
  <c r="G1670" i="19"/>
  <c r="G1582" i="19"/>
  <c r="G1803" i="19"/>
  <c r="G1607" i="19"/>
  <c r="G402" i="19"/>
  <c r="H376" i="2"/>
  <c r="H299" i="2"/>
  <c r="H371" i="2"/>
  <c r="H368" i="2"/>
  <c r="H300" i="2"/>
  <c r="H302" i="2"/>
  <c r="H361" i="2"/>
  <c r="G1817" i="19"/>
  <c r="G1652" i="19"/>
  <c r="G1616" i="19"/>
  <c r="G401" i="19"/>
  <c r="G1591" i="19"/>
  <c r="G1488" i="19"/>
  <c r="G1210" i="19"/>
  <c r="H374" i="2"/>
  <c r="H369" i="2"/>
  <c r="H365" i="2"/>
  <c r="H317" i="2"/>
  <c r="H370" i="2"/>
  <c r="H316" i="2"/>
  <c r="G23" i="6"/>
  <c r="H207" i="2"/>
  <c r="K87" i="52"/>
  <c r="D314" i="1"/>
  <c r="D306" i="1"/>
  <c r="F20" i="52"/>
  <c r="E18" i="7"/>
  <c r="G1000" i="19"/>
  <c r="E566" i="2"/>
  <c r="F370" i="8"/>
  <c r="F371" i="8" s="1"/>
  <c r="H370" i="8"/>
  <c r="H371" i="8" s="1"/>
  <c r="G421" i="19"/>
  <c r="G346" i="19"/>
  <c r="G1531" i="19"/>
  <c r="H307" i="2"/>
  <c r="H313" i="2"/>
  <c r="H310" i="2"/>
  <c r="G42" i="19"/>
  <c r="G1557" i="19"/>
  <c r="G1358" i="19"/>
  <c r="G1200" i="19"/>
  <c r="G1045" i="19"/>
  <c r="G1512" i="19"/>
  <c r="G1413" i="19"/>
  <c r="G1155" i="19"/>
  <c r="H20" i="52"/>
  <c r="E583" i="8"/>
  <c r="E584" i="8" s="1"/>
  <c r="E585" i="8" s="1"/>
  <c r="E586" i="8" s="1"/>
  <c r="E587" i="8" s="1"/>
  <c r="E588" i="8" s="1"/>
  <c r="E589" i="8" s="1"/>
  <c r="E590" i="8" s="1"/>
  <c r="E591" i="8" s="1"/>
  <c r="E592" i="8" s="1"/>
  <c r="E593" i="8" s="1"/>
  <c r="E370" i="8"/>
  <c r="E371" i="8" s="1"/>
  <c r="E968" i="19" s="1"/>
  <c r="E163" i="2"/>
  <c r="H155" i="2"/>
  <c r="G403" i="19"/>
  <c r="G1314" i="19"/>
  <c r="G1282" i="19"/>
  <c r="H309" i="2"/>
  <c r="G358" i="19"/>
  <c r="G46" i="19"/>
  <c r="G353" i="19"/>
  <c r="G415" i="6"/>
  <c r="G755" i="19"/>
  <c r="G1245" i="19"/>
  <c r="H359" i="2"/>
  <c r="G20" i="52"/>
  <c r="G969" i="19"/>
  <c r="I20" i="52"/>
  <c r="G977" i="19"/>
  <c r="I370" i="8"/>
  <c r="I371" i="8" s="1"/>
  <c r="D310" i="1"/>
  <c r="K86" i="52"/>
  <c r="G370" i="8"/>
  <c r="G371" i="8" s="1"/>
  <c r="G1539" i="19"/>
  <c r="G43" i="19"/>
  <c r="G1406" i="19"/>
  <c r="G37" i="19"/>
  <c r="G1503" i="19"/>
  <c r="G1321" i="19"/>
  <c r="G1422" i="19"/>
  <c r="G1558" i="19"/>
  <c r="G32" i="19"/>
  <c r="G23" i="19"/>
  <c r="H301" i="2"/>
  <c r="G16" i="19"/>
  <c r="G1475" i="19"/>
  <c r="G347" i="19"/>
  <c r="D313" i="1"/>
  <c r="G513" i="6"/>
  <c r="G1209" i="19"/>
  <c r="G1036" i="19"/>
  <c r="D311" i="1"/>
  <c r="G1504" i="19"/>
  <c r="G1313" i="19"/>
  <c r="G66" i="19"/>
  <c r="G17" i="19"/>
  <c r="G47" i="19"/>
  <c r="G719" i="6"/>
  <c r="G1322" i="19"/>
  <c r="G20" i="19"/>
  <c r="D303" i="1"/>
  <c r="G390" i="19"/>
  <c r="G1476" i="19"/>
  <c r="G1513" i="19"/>
  <c r="E761" i="19"/>
  <c r="G1357" i="19"/>
  <c r="E366" i="19"/>
  <c r="H27" i="49" s="1"/>
  <c r="E368" i="19"/>
  <c r="D27" i="49" s="1"/>
  <c r="G1191" i="19"/>
  <c r="G1412" i="19"/>
  <c r="G1330" i="19"/>
  <c r="G1494" i="19"/>
  <c r="G1283" i="19"/>
  <c r="E331" i="19"/>
  <c r="L40" i="56"/>
  <c r="J227" i="56"/>
  <c r="W233" i="56"/>
  <c r="X233" i="56" s="1"/>
  <c r="H209" i="56" s="1"/>
  <c r="E416" i="6"/>
  <c r="G857" i="19"/>
  <c r="G355" i="19"/>
  <c r="G1339" i="19"/>
  <c r="E514" i="6"/>
  <c r="F229" i="56"/>
  <c r="Y223" i="56" s="1"/>
  <c r="E297" i="19"/>
  <c r="E88" i="2"/>
  <c r="D305" i="56"/>
  <c r="G1163" i="19"/>
  <c r="G1109" i="19"/>
  <c r="E52" i="19"/>
  <c r="G1298" i="19"/>
  <c r="G30" i="19"/>
  <c r="E318" i="6"/>
  <c r="G315" i="6"/>
  <c r="G722" i="6"/>
  <c r="G33" i="19"/>
  <c r="G1284" i="19"/>
  <c r="G629" i="6"/>
  <c r="G323" i="19"/>
  <c r="G307" i="19"/>
  <c r="G1130" i="19"/>
  <c r="G511" i="6"/>
  <c r="G1297" i="19"/>
  <c r="G1312" i="19"/>
  <c r="E781" i="19"/>
  <c r="E779" i="19"/>
  <c r="E777" i="19"/>
  <c r="E775" i="19"/>
  <c r="E773" i="19"/>
  <c r="E778" i="19"/>
  <c r="E776" i="19"/>
  <c r="E774" i="19"/>
  <c r="E703" i="6"/>
  <c r="D11" i="1"/>
  <c r="H11" i="2"/>
  <c r="G1299" i="19"/>
  <c r="G1296" i="19"/>
  <c r="H14" i="15"/>
  <c r="G697" i="6"/>
  <c r="E813" i="19"/>
  <c r="E808" i="19"/>
  <c r="G807" i="19"/>
  <c r="E298" i="19"/>
  <c r="E89" i="2"/>
  <c r="H229" i="56"/>
  <c r="Z223" i="56" s="1"/>
  <c r="F305" i="56"/>
  <c r="F116" i="8" l="1"/>
  <c r="H160" i="8"/>
  <c r="E224" i="7"/>
  <c r="E218" i="7"/>
  <c r="E223" i="7"/>
  <c r="E217" i="7"/>
  <c r="E221" i="7"/>
  <c r="E215" i="7"/>
  <c r="E220" i="7"/>
  <c r="E214" i="7"/>
  <c r="E212" i="7"/>
  <c r="E208" i="7"/>
  <c r="E203" i="7"/>
  <c r="E211" i="7"/>
  <c r="E209" i="7"/>
  <c r="E205" i="7"/>
  <c r="E206" i="7"/>
  <c r="E202" i="7"/>
  <c r="H353" i="2"/>
  <c r="G111" i="8"/>
  <c r="E90" i="19"/>
  <c r="G163" i="8"/>
  <c r="E192" i="7"/>
  <c r="G112" i="8"/>
  <c r="H112" i="8" s="1"/>
  <c r="E91" i="19"/>
  <c r="G113" i="8"/>
  <c r="H113" i="8" s="1"/>
  <c r="E92" i="19"/>
  <c r="E70" i="19" s="1"/>
  <c r="G220" i="8"/>
  <c r="G161" i="8"/>
  <c r="H295" i="2"/>
  <c r="H132" i="3"/>
  <c r="H130" i="3"/>
  <c r="H135" i="3"/>
  <c r="H134" i="3"/>
  <c r="H133" i="3"/>
  <c r="H137" i="3"/>
  <c r="H136" i="3"/>
  <c r="H138" i="3"/>
  <c r="H131" i="3"/>
  <c r="E145" i="7"/>
  <c r="E143" i="7"/>
  <c r="E142" i="7"/>
  <c r="E141" i="7"/>
  <c r="E461" i="19"/>
  <c r="G535" i="19"/>
  <c r="G118" i="6"/>
  <c r="G615" i="19"/>
  <c r="G767" i="19"/>
  <c r="G695" i="19"/>
  <c r="G460" i="19"/>
  <c r="G459" i="19"/>
  <c r="G766" i="19"/>
  <c r="H238" i="8"/>
  <c r="I238" i="8" s="1"/>
  <c r="H585" i="2"/>
  <c r="H614" i="2"/>
  <c r="D296" i="1"/>
  <c r="N17" i="4"/>
  <c r="E17" i="4" s="1"/>
  <c r="H296" i="2"/>
  <c r="G245" i="8"/>
  <c r="H362" i="2"/>
  <c r="H354" i="2"/>
  <c r="H298" i="2"/>
  <c r="E85" i="7"/>
  <c r="N371" i="4" s="1"/>
  <c r="E249" i="7"/>
  <c r="N399" i="4" s="1"/>
  <c r="H447" i="2"/>
  <c r="E1734" i="19"/>
  <c r="E1754" i="19" s="1"/>
  <c r="E58" i="2"/>
  <c r="E61" i="2"/>
  <c r="D297" i="1"/>
  <c r="D602" i="8"/>
  <c r="H294" i="2"/>
  <c r="H356" i="2"/>
  <c r="E21" i="7"/>
  <c r="E388" i="19"/>
  <c r="H297" i="2"/>
  <c r="D291" i="1"/>
  <c r="E230" i="7"/>
  <c r="E226" i="7"/>
  <c r="E236" i="7"/>
  <c r="E238" i="7"/>
  <c r="E237" i="7"/>
  <c r="E229" i="7"/>
  <c r="E186" i="7"/>
  <c r="E187" i="7"/>
  <c r="E274" i="7"/>
  <c r="E275" i="7"/>
  <c r="E269" i="7"/>
  <c r="E268" i="7"/>
  <c r="F81" i="21"/>
  <c r="J81" i="21" s="1"/>
  <c r="E267" i="7"/>
  <c r="E266" i="7"/>
  <c r="F85" i="21"/>
  <c r="J85" i="21" s="1"/>
  <c r="F79" i="21"/>
  <c r="J79" i="21" s="1"/>
  <c r="F83" i="21"/>
  <c r="J83" i="21" s="1"/>
  <c r="F39" i="41"/>
  <c r="N39" i="41" s="1"/>
  <c r="H477" i="2"/>
  <c r="F45" i="41"/>
  <c r="N45" i="41" s="1"/>
  <c r="H480" i="2"/>
  <c r="H478" i="2"/>
  <c r="F41" i="41"/>
  <c r="N41" i="41" s="1"/>
  <c r="F43" i="41"/>
  <c r="N43" i="41" s="1"/>
  <c r="H479" i="2"/>
  <c r="F37" i="41"/>
  <c r="N37" i="41" s="1"/>
  <c r="H476" i="2"/>
  <c r="E194" i="7"/>
  <c r="N414" i="4" s="1"/>
  <c r="E185" i="7"/>
  <c r="E179" i="7"/>
  <c r="E125" i="7"/>
  <c r="E127" i="7"/>
  <c r="N383" i="4" s="1"/>
  <c r="E124" i="7"/>
  <c r="N143" i="4" s="1"/>
  <c r="E126" i="7"/>
  <c r="H566" i="2"/>
  <c r="E138" i="7"/>
  <c r="E182" i="7"/>
  <c r="E137" i="7"/>
  <c r="E86" i="7"/>
  <c r="N372" i="4" s="1"/>
  <c r="E241" i="7"/>
  <c r="E183" i="7"/>
  <c r="E146" i="7"/>
  <c r="E259" i="7"/>
  <c r="E121" i="7"/>
  <c r="E234" i="7"/>
  <c r="E163" i="7"/>
  <c r="E112" i="7"/>
  <c r="N370" i="4" s="1"/>
  <c r="E250" i="7"/>
  <c r="N400" i="4" s="1"/>
  <c r="E147" i="7"/>
  <c r="E117" i="7"/>
  <c r="E153" i="7"/>
  <c r="E129" i="7"/>
  <c r="E180" i="7"/>
  <c r="E240" i="7"/>
  <c r="E122" i="7"/>
  <c r="E116" i="7"/>
  <c r="E174" i="7"/>
  <c r="E193" i="7"/>
  <c r="E96" i="7"/>
  <c r="E195" i="7"/>
  <c r="H482" i="2"/>
  <c r="E198" i="7"/>
  <c r="E253" i="7"/>
  <c r="E247" i="7"/>
  <c r="E171" i="7"/>
  <c r="E119" i="7"/>
  <c r="E99" i="7"/>
  <c r="E94" i="7"/>
  <c r="E87" i="7"/>
  <c r="E152" i="7"/>
  <c r="E227" i="7"/>
  <c r="E188" i="7"/>
  <c r="E151" i="7"/>
  <c r="E160" i="7"/>
  <c r="E120" i="7"/>
  <c r="E261" i="7"/>
  <c r="E157" i="7"/>
  <c r="N181" i="4" s="1"/>
  <c r="E176" i="7"/>
  <c r="E104" i="7"/>
  <c r="E130" i="7"/>
  <c r="N374" i="4" s="1"/>
  <c r="E139" i="7"/>
  <c r="E113" i="7"/>
  <c r="E101" i="7"/>
  <c r="E106" i="7"/>
  <c r="E162" i="7"/>
  <c r="E135" i="7"/>
  <c r="E107" i="7"/>
  <c r="E252" i="7"/>
  <c r="E255" i="7"/>
  <c r="E165" i="7"/>
  <c r="E118" i="7"/>
  <c r="E172" i="7"/>
  <c r="E110" i="7"/>
  <c r="E95" i="7"/>
  <c r="E233" i="7"/>
  <c r="E159" i="7"/>
  <c r="E108" i="7"/>
  <c r="E260" i="7"/>
  <c r="E158" i="7"/>
  <c r="N203" i="4" s="1"/>
  <c r="E175" i="7"/>
  <c r="E144" i="7"/>
  <c r="E150" i="7"/>
  <c r="E100" i="7"/>
  <c r="E244" i="7"/>
  <c r="E105" i="7"/>
  <c r="E181" i="7"/>
  <c r="E131" i="7"/>
  <c r="E246" i="7"/>
  <c r="E161" i="7"/>
  <c r="E257" i="7"/>
  <c r="E133" i="7"/>
  <c r="E98" i="7"/>
  <c r="E256" i="7"/>
  <c r="E89" i="7"/>
  <c r="E115" i="7"/>
  <c r="E243" i="7"/>
  <c r="E136" i="7"/>
  <c r="E90" i="7"/>
  <c r="E166" i="7"/>
  <c r="E197" i="7"/>
  <c r="E251" i="7"/>
  <c r="E156" i="7"/>
  <c r="E168" i="7"/>
  <c r="E231" i="7"/>
  <c r="E132" i="7"/>
  <c r="E88" i="7"/>
  <c r="N241" i="4" s="1"/>
  <c r="E93" i="7"/>
  <c r="N247" i="4" s="1"/>
  <c r="E177" i="7"/>
  <c r="E148" i="7"/>
  <c r="E91" i="7"/>
  <c r="E103" i="7"/>
  <c r="E154" i="7"/>
  <c r="E97" i="7"/>
  <c r="E169" i="7"/>
  <c r="N297" i="4" s="1"/>
  <c r="E109" i="7"/>
  <c r="E167" i="7"/>
  <c r="E189" i="7"/>
  <c r="E170" i="7"/>
  <c r="E190" i="7"/>
  <c r="K114" i="52"/>
  <c r="K115" i="52"/>
  <c r="E591" i="19"/>
  <c r="H481" i="2"/>
  <c r="E509" i="19"/>
  <c r="E196" i="7"/>
  <c r="H303" i="2"/>
  <c r="H357" i="2"/>
  <c r="D304" i="1"/>
  <c r="H305" i="2"/>
  <c r="H363" i="2"/>
  <c r="H304" i="2"/>
  <c r="G1006" i="19"/>
  <c r="D605" i="8"/>
  <c r="D609" i="8"/>
  <c r="D601" i="8"/>
  <c r="D600" i="8"/>
  <c r="G1004" i="19"/>
  <c r="J246" i="56"/>
  <c r="H303" i="56"/>
  <c r="G440" i="19"/>
  <c r="H445" i="2"/>
  <c r="N26" i="56"/>
  <c r="G441" i="19"/>
  <c r="G906" i="19"/>
  <c r="H291" i="2"/>
  <c r="E454" i="19"/>
  <c r="E464" i="19" s="1"/>
  <c r="G907" i="19"/>
  <c r="G445" i="19"/>
  <c r="E78" i="2"/>
  <c r="E304" i="6" s="1"/>
  <c r="L227" i="56"/>
  <c r="L236" i="56"/>
  <c r="E443" i="19"/>
  <c r="G443" i="19" s="1"/>
  <c r="D604" i="8"/>
  <c r="D633" i="8"/>
  <c r="D650" i="8"/>
  <c r="D630" i="8"/>
  <c r="D647" i="8"/>
  <c r="G1005" i="19"/>
  <c r="D639" i="8"/>
  <c r="E318" i="2"/>
  <c r="G1003" i="19"/>
  <c r="D292" i="1"/>
  <c r="I215" i="8"/>
  <c r="J212" i="8"/>
  <c r="E1007" i="19"/>
  <c r="E13" i="7" s="1"/>
  <c r="C535" i="8"/>
  <c r="E533" i="8"/>
  <c r="J211" i="8"/>
  <c r="I214" i="8"/>
  <c r="I213" i="8"/>
  <c r="H220" i="8"/>
  <c r="I210" i="8"/>
  <c r="E1760" i="19"/>
  <c r="E1752" i="19"/>
  <c r="G1732" i="19"/>
  <c r="E1744" i="19"/>
  <c r="E1745" i="19"/>
  <c r="E1753" i="19"/>
  <c r="E1761" i="19"/>
  <c r="E68" i="19"/>
  <c r="C200" i="58"/>
  <c r="H167" i="8"/>
  <c r="H163" i="8"/>
  <c r="H162" i="8"/>
  <c r="H161" i="8"/>
  <c r="I160" i="8"/>
  <c r="H351" i="2"/>
  <c r="K49" i="52"/>
  <c r="K55" i="52"/>
  <c r="K43" i="52"/>
  <c r="H292" i="2"/>
  <c r="H30" i="2"/>
  <c r="G761" i="19"/>
  <c r="G756" i="19"/>
  <c r="E976" i="19"/>
  <c r="G82" i="6"/>
  <c r="G204" i="6"/>
  <c r="J27" i="49"/>
  <c r="G416" i="6"/>
  <c r="G298" i="19"/>
  <c r="K20" i="52"/>
  <c r="G367" i="19"/>
  <c r="G332" i="19"/>
  <c r="E91" i="2"/>
  <c r="E643" i="6"/>
  <c r="G643" i="6" s="1"/>
  <c r="C222" i="58"/>
  <c r="C225" i="58" s="1"/>
  <c r="E299" i="19"/>
  <c r="G299" i="19" s="1"/>
  <c r="E763" i="19"/>
  <c r="G763" i="19" s="1"/>
  <c r="G365" i="19"/>
  <c r="E76" i="19"/>
  <c r="G297" i="19"/>
  <c r="E296" i="19"/>
  <c r="N28" i="56"/>
  <c r="H88" i="2"/>
  <c r="G514" i="6"/>
  <c r="D636" i="8"/>
  <c r="D627" i="8"/>
  <c r="D618" i="8"/>
  <c r="D622" i="8"/>
  <c r="D629" i="8"/>
  <c r="D632" i="8"/>
  <c r="D607" i="8"/>
  <c r="D621" i="8"/>
  <c r="D619" i="8"/>
  <c r="D637" i="8"/>
  <c r="D608" i="8"/>
  <c r="D620" i="8"/>
  <c r="D611" i="8"/>
  <c r="D624" i="8"/>
  <c r="D645" i="8"/>
  <c r="D616" i="8"/>
  <c r="D646" i="8"/>
  <c r="D649" i="8"/>
  <c r="D628" i="8"/>
  <c r="D603" i="8"/>
  <c r="D653" i="8"/>
  <c r="D615" i="8"/>
  <c r="D612" i="8"/>
  <c r="D642" i="8"/>
  <c r="D641" i="8"/>
  <c r="D652" i="8"/>
  <c r="D643" i="8"/>
  <c r="D634" i="8"/>
  <c r="D654" i="8"/>
  <c r="D648" i="8"/>
  <c r="D623" i="8"/>
  <c r="D614" i="8"/>
  <c r="D625" i="8"/>
  <c r="D651" i="8"/>
  <c r="D610" i="8"/>
  <c r="D613" i="8"/>
  <c r="D631" i="8"/>
  <c r="D617" i="8"/>
  <c r="H446" i="2"/>
  <c r="E389" i="19"/>
  <c r="H163" i="2"/>
  <c r="D638" i="8"/>
  <c r="D644" i="8"/>
  <c r="D635" i="8"/>
  <c r="D626" i="8"/>
  <c r="D640" i="8"/>
  <c r="D606" i="8"/>
  <c r="G859" i="19"/>
  <c r="G368" i="19"/>
  <c r="L246" i="56"/>
  <c r="D222" i="58"/>
  <c r="D225" i="58" s="1"/>
  <c r="G366" i="19"/>
  <c r="J229" i="56"/>
  <c r="AA223" i="56" s="1"/>
  <c r="E865" i="19"/>
  <c r="E867" i="19" s="1"/>
  <c r="G867" i="19" s="1"/>
  <c r="E610" i="6"/>
  <c r="E90" i="2"/>
  <c r="E268" i="19" s="1"/>
  <c r="E860" i="19"/>
  <c r="E880" i="19" s="1"/>
  <c r="D88" i="1"/>
  <c r="H294" i="56"/>
  <c r="E276" i="19"/>
  <c r="E226" i="19"/>
  <c r="G52" i="19"/>
  <c r="G331" i="19"/>
  <c r="G318" i="6"/>
  <c r="E122" i="6"/>
  <c r="G122" i="6" s="1"/>
  <c r="E871" i="19"/>
  <c r="G870" i="19"/>
  <c r="E790" i="19"/>
  <c r="E789" i="19"/>
  <c r="E792" i="19"/>
  <c r="E791" i="19"/>
  <c r="E815" i="19"/>
  <c r="E821" i="19"/>
  <c r="G813" i="19"/>
  <c r="E793" i="19"/>
  <c r="G808" i="19"/>
  <c r="E830" i="19"/>
  <c r="E828" i="19"/>
  <c r="E826" i="19"/>
  <c r="E833" i="19"/>
  <c r="E831" i="19"/>
  <c r="E829" i="19"/>
  <c r="E827" i="19"/>
  <c r="E825" i="19"/>
  <c r="E272" i="19"/>
  <c r="D89" i="1"/>
  <c r="E227" i="19"/>
  <c r="H89" i="2"/>
  <c r="L294" i="56"/>
  <c r="E706" i="6"/>
  <c r="G703" i="6"/>
  <c r="E788" i="19"/>
  <c r="E787" i="19"/>
  <c r="E795" i="19"/>
  <c r="G116" i="8" l="1"/>
  <c r="H111" i="8"/>
  <c r="H116" i="8" s="1"/>
  <c r="G91" i="19"/>
  <c r="E69" i="19"/>
  <c r="G69" i="19" s="1"/>
  <c r="C201" i="58"/>
  <c r="G90" i="19"/>
  <c r="N412" i="4"/>
  <c r="E412" i="4" s="1"/>
  <c r="E1812" i="19" s="1"/>
  <c r="H245" i="8"/>
  <c r="N373" i="4"/>
  <c r="E373" i="4" s="1"/>
  <c r="N401" i="4"/>
  <c r="E401" i="4" s="1"/>
  <c r="E196" i="19" s="1"/>
  <c r="E200" i="19" s="1"/>
  <c r="E1829" i="19" s="1"/>
  <c r="N413" i="4"/>
  <c r="E413" i="4" s="1"/>
  <c r="E1819" i="19" s="1"/>
  <c r="H239" i="8"/>
  <c r="G461" i="19"/>
  <c r="N411" i="4"/>
  <c r="E411" i="4" s="1"/>
  <c r="E1805" i="19" s="1"/>
  <c r="N409" i="4"/>
  <c r="E409" i="4" s="1"/>
  <c r="N384" i="4"/>
  <c r="E384" i="4" s="1"/>
  <c r="N362" i="4"/>
  <c r="E362" i="4" s="1"/>
  <c r="E275" i="6" s="1"/>
  <c r="N33" i="50" s="1"/>
  <c r="N159" i="4"/>
  <c r="E159" i="4" s="1"/>
  <c r="N359" i="4"/>
  <c r="E359" i="4" s="1"/>
  <c r="E404" i="19" s="1"/>
  <c r="E884" i="19"/>
  <c r="N410" i="4"/>
  <c r="E410" i="4" s="1"/>
  <c r="N361" i="4"/>
  <c r="E361" i="4" s="1"/>
  <c r="E274" i="6" s="1"/>
  <c r="L33" i="50" s="1"/>
  <c r="N16" i="4"/>
  <c r="E16" i="4" s="1"/>
  <c r="N14" i="4"/>
  <c r="E14" i="4" s="1"/>
  <c r="N360" i="4"/>
  <c r="E360" i="4" s="1"/>
  <c r="E273" i="6" s="1"/>
  <c r="N390" i="4"/>
  <c r="E390" i="4" s="1"/>
  <c r="E908" i="19" s="1"/>
  <c r="N385" i="4"/>
  <c r="E385" i="4" s="1"/>
  <c r="E374" i="4"/>
  <c r="E399" i="4"/>
  <c r="E194" i="19" s="1"/>
  <c r="E247" i="4"/>
  <c r="E297" i="4"/>
  <c r="E241" i="4"/>
  <c r="E203" i="4"/>
  <c r="E400" i="4"/>
  <c r="E195" i="19" s="1"/>
  <c r="E199" i="19" s="1"/>
  <c r="E1828" i="19" s="1"/>
  <c r="E181" i="4"/>
  <c r="E370" i="4"/>
  <c r="E414" i="4"/>
  <c r="E193" i="2" s="1"/>
  <c r="E1746" i="19"/>
  <c r="E1747" i="19" s="1"/>
  <c r="D338" i="58"/>
  <c r="E1762" i="19"/>
  <c r="E1763" i="19" s="1"/>
  <c r="C202" i="58"/>
  <c r="G92" i="19"/>
  <c r="E64" i="2"/>
  <c r="E72" i="2"/>
  <c r="E67" i="2"/>
  <c r="E432" i="2"/>
  <c r="E435" i="2"/>
  <c r="E431" i="2"/>
  <c r="E372" i="4"/>
  <c r="E383" i="4"/>
  <c r="E143" i="4"/>
  <c r="C671" i="8" s="1"/>
  <c r="E371" i="4"/>
  <c r="G509" i="19"/>
  <c r="G591" i="19"/>
  <c r="G304" i="6"/>
  <c r="G76" i="19"/>
  <c r="L229" i="56"/>
  <c r="X223" i="56" s="1"/>
  <c r="E434" i="2"/>
  <c r="D78" i="1"/>
  <c r="G296" i="19"/>
  <c r="H78" i="2"/>
  <c r="X93" i="40"/>
  <c r="E453" i="19"/>
  <c r="E456" i="19" s="1"/>
  <c r="H305" i="56"/>
  <c r="E264" i="19"/>
  <c r="G264" i="19" s="1"/>
  <c r="G464" i="19"/>
  <c r="G454" i="19"/>
  <c r="G388" i="19"/>
  <c r="E292" i="19"/>
  <c r="G292" i="19" s="1"/>
  <c r="E77" i="2"/>
  <c r="R298" i="56" s="1"/>
  <c r="E433" i="2"/>
  <c r="H318" i="2"/>
  <c r="G1007" i="19"/>
  <c r="C536" i="8"/>
  <c r="E534" i="8"/>
  <c r="J215" i="8"/>
  <c r="J213" i="8"/>
  <c r="G1761" i="19"/>
  <c r="J214" i="8"/>
  <c r="I220" i="8"/>
  <c r="J210" i="8"/>
  <c r="J220" i="8" s="1"/>
  <c r="G1760" i="19"/>
  <c r="I245" i="8"/>
  <c r="I239" i="8"/>
  <c r="J238" i="8"/>
  <c r="I162" i="8"/>
  <c r="I161" i="8"/>
  <c r="J160" i="8"/>
  <c r="I163" i="8"/>
  <c r="I167" i="8"/>
  <c r="E71" i="19"/>
  <c r="G68" i="19"/>
  <c r="E1755" i="19"/>
  <c r="G777" i="19"/>
  <c r="G791" i="19"/>
  <c r="G778" i="19"/>
  <c r="G815" i="19"/>
  <c r="G779" i="19"/>
  <c r="G793" i="19"/>
  <c r="G792" i="19"/>
  <c r="G790" i="19"/>
  <c r="G776" i="19"/>
  <c r="G788" i="19"/>
  <c r="G795" i="19"/>
  <c r="G976" i="19"/>
  <c r="G775" i="19"/>
  <c r="G789" i="19"/>
  <c r="G773" i="19"/>
  <c r="G787" i="19"/>
  <c r="G871" i="19"/>
  <c r="G968" i="19"/>
  <c r="G774" i="19"/>
  <c r="G781" i="19"/>
  <c r="H91" i="2"/>
  <c r="D91" i="1"/>
  <c r="E277" i="19"/>
  <c r="E883" i="19"/>
  <c r="G883" i="19" s="1"/>
  <c r="G860" i="19"/>
  <c r="E882" i="19"/>
  <c r="G882" i="19" s="1"/>
  <c r="E878" i="19"/>
  <c r="E892" i="19" s="1"/>
  <c r="E879" i="19"/>
  <c r="G879" i="19" s="1"/>
  <c r="E864" i="19"/>
  <c r="G106" i="52" s="1"/>
  <c r="E429" i="2"/>
  <c r="G227" i="19"/>
  <c r="E55" i="19"/>
  <c r="G226" i="19"/>
  <c r="G389" i="19"/>
  <c r="E939" i="19"/>
  <c r="N294" i="56"/>
  <c r="H90" i="2"/>
  <c r="G865" i="19"/>
  <c r="E877" i="19"/>
  <c r="G877" i="19" s="1"/>
  <c r="E885" i="19"/>
  <c r="G885" i="19" s="1"/>
  <c r="E430" i="2"/>
  <c r="E881" i="19"/>
  <c r="G881" i="19" s="1"/>
  <c r="E1695" i="19"/>
  <c r="G1695" i="19" s="1"/>
  <c r="D90" i="1"/>
  <c r="E240" i="6"/>
  <c r="G240" i="6" s="1"/>
  <c r="E39" i="2"/>
  <c r="E760" i="19"/>
  <c r="E617" i="2" s="1"/>
  <c r="O198" i="5" s="1"/>
  <c r="G276" i="19"/>
  <c r="E780" i="19"/>
  <c r="G610" i="6"/>
  <c r="G825" i="19"/>
  <c r="E839" i="19"/>
  <c r="G839" i="19" s="1"/>
  <c r="G833" i="19"/>
  <c r="E847" i="19"/>
  <c r="G847" i="19" s="1"/>
  <c r="G268" i="19"/>
  <c r="E832" i="19"/>
  <c r="E812" i="19"/>
  <c r="E618" i="2" s="1"/>
  <c r="O199" i="5" s="1"/>
  <c r="G272" i="19"/>
  <c r="G827" i="19"/>
  <c r="E841" i="19"/>
  <c r="G841" i="19" s="1"/>
  <c r="G826" i="19"/>
  <c r="E840" i="19"/>
  <c r="G840" i="19" s="1"/>
  <c r="H20" i="15"/>
  <c r="I22" i="15" s="1"/>
  <c r="G706" i="6"/>
  <c r="G829" i="19"/>
  <c r="E843" i="19"/>
  <c r="G843" i="19" s="1"/>
  <c r="G828" i="19"/>
  <c r="E842" i="19"/>
  <c r="G842" i="19" s="1"/>
  <c r="G821" i="19"/>
  <c r="E822" i="19"/>
  <c r="G822" i="19" s="1"/>
  <c r="E450" i="2"/>
  <c r="G831" i="19"/>
  <c r="E845" i="19"/>
  <c r="G845" i="19" s="1"/>
  <c r="G830" i="19"/>
  <c r="E844" i="19"/>
  <c r="G844" i="19" s="1"/>
  <c r="E894" i="19"/>
  <c r="G894" i="19" s="1"/>
  <c r="G880" i="19"/>
  <c r="F106" i="52" l="1"/>
  <c r="H106" i="52"/>
  <c r="I106" i="52"/>
  <c r="E425" i="19"/>
  <c r="G425" i="19" s="1"/>
  <c r="G71" i="19"/>
  <c r="G70" i="19"/>
  <c r="G1829" i="19"/>
  <c r="E624" i="2"/>
  <c r="O207" i="5" s="1"/>
  <c r="E619" i="2"/>
  <c r="O200" i="5" s="1"/>
  <c r="E590" i="2"/>
  <c r="E595" i="2"/>
  <c r="E589" i="2"/>
  <c r="K199" i="5" s="1"/>
  <c r="E588" i="2"/>
  <c r="K198" i="5" s="1"/>
  <c r="E198" i="5"/>
  <c r="E207" i="5"/>
  <c r="E199" i="5"/>
  <c r="E963" i="19"/>
  <c r="E74" i="52"/>
  <c r="E1596" i="19"/>
  <c r="F64" i="52"/>
  <c r="H74" i="52"/>
  <c r="E596" i="19"/>
  <c r="H236" i="56" s="1"/>
  <c r="T91" i="40"/>
  <c r="E218" i="19"/>
  <c r="E178" i="19"/>
  <c r="E1723" i="19" s="1"/>
  <c r="E168" i="19"/>
  <c r="E1722" i="19" s="1"/>
  <c r="E238" i="19"/>
  <c r="E228" i="19"/>
  <c r="E189" i="19"/>
  <c r="E1724" i="19" s="1"/>
  <c r="G74" i="52"/>
  <c r="H73" i="56"/>
  <c r="I66" i="52"/>
  <c r="E916" i="19"/>
  <c r="E911" i="19"/>
  <c r="E913" i="19" s="1"/>
  <c r="E925" i="19" s="1"/>
  <c r="E928" i="19"/>
  <c r="G928" i="19" s="1"/>
  <c r="E9" i="6"/>
  <c r="E161" i="6" s="1"/>
  <c r="E198" i="19"/>
  <c r="E1827" i="19" s="1"/>
  <c r="H66" i="52" s="1"/>
  <c r="G194" i="19"/>
  <c r="F66" i="52"/>
  <c r="G66" i="52"/>
  <c r="G1828" i="19"/>
  <c r="G195" i="19"/>
  <c r="G72" i="52"/>
  <c r="G64" i="52"/>
  <c r="I74" i="52"/>
  <c r="R91" i="40"/>
  <c r="H282" i="56"/>
  <c r="E675" i="19"/>
  <c r="E678" i="19" s="1"/>
  <c r="E676" i="19"/>
  <c r="F236" i="56" s="1"/>
  <c r="H193" i="2"/>
  <c r="E909" i="19"/>
  <c r="K7" i="3" s="1"/>
  <c r="L282" i="56"/>
  <c r="E595" i="19"/>
  <c r="E598" i="19" s="1"/>
  <c r="E472" i="2"/>
  <c r="H472" i="2" s="1"/>
  <c r="E200" i="5"/>
  <c r="G1762" i="19"/>
  <c r="H435" i="2"/>
  <c r="H431" i="2"/>
  <c r="E451" i="2"/>
  <c r="H432" i="2"/>
  <c r="V91" i="40"/>
  <c r="E471" i="2"/>
  <c r="H471" i="2" s="1"/>
  <c r="N64" i="58"/>
  <c r="E513" i="19"/>
  <c r="E516" i="19" s="1"/>
  <c r="E517" i="19" s="1"/>
  <c r="E547" i="19" s="1"/>
  <c r="N282" i="56"/>
  <c r="E514" i="19"/>
  <c r="J236" i="56" s="1"/>
  <c r="F82" i="52"/>
  <c r="G908" i="19"/>
  <c r="G200" i="19"/>
  <c r="E444" i="19"/>
  <c r="E471" i="19" s="1"/>
  <c r="E491" i="19" s="1"/>
  <c r="E446" i="19"/>
  <c r="E481" i="19" s="1"/>
  <c r="E501" i="19" s="1"/>
  <c r="E988" i="19"/>
  <c r="E992" i="19" s="1"/>
  <c r="E1550" i="19" s="1"/>
  <c r="G196" i="19"/>
  <c r="G275" i="6"/>
  <c r="E276" i="6"/>
  <c r="E663" i="6" s="1"/>
  <c r="P33" i="50" s="1"/>
  <c r="G273" i="6"/>
  <c r="J33" i="50"/>
  <c r="G404" i="19"/>
  <c r="G274" i="6"/>
  <c r="E106" i="52"/>
  <c r="K106" i="52" s="1"/>
  <c r="E82" i="52"/>
  <c r="E1597" i="19"/>
  <c r="E964" i="19"/>
  <c r="H430" i="2"/>
  <c r="H434" i="2"/>
  <c r="G456" i="19"/>
  <c r="G453" i="19"/>
  <c r="E156" i="19"/>
  <c r="E95" i="19" s="1"/>
  <c r="E102" i="19" s="1"/>
  <c r="E948" i="19"/>
  <c r="E452" i="19"/>
  <c r="E612" i="2" s="1"/>
  <c r="O189" i="5" s="1"/>
  <c r="E463" i="19"/>
  <c r="E465" i="19" s="1"/>
  <c r="G465" i="19" s="1"/>
  <c r="E263" i="19"/>
  <c r="D77" i="1"/>
  <c r="G277" i="19"/>
  <c r="H77" i="2"/>
  <c r="E1696" i="19"/>
  <c r="G1696" i="19" s="1"/>
  <c r="H433" i="2"/>
  <c r="E73" i="19"/>
  <c r="E75" i="19" s="1"/>
  <c r="E535" i="8"/>
  <c r="C537" i="8"/>
  <c r="I113" i="8"/>
  <c r="G1763" i="19"/>
  <c r="I111" i="8"/>
  <c r="I112" i="8"/>
  <c r="J245" i="8"/>
  <c r="J239" i="8"/>
  <c r="J161" i="8"/>
  <c r="J167" i="8"/>
  <c r="J163" i="8"/>
  <c r="J162" i="8"/>
  <c r="E897" i="19"/>
  <c r="G897" i="19" s="1"/>
  <c r="E899" i="19"/>
  <c r="G899" i="19" s="1"/>
  <c r="N68" i="58"/>
  <c r="E893" i="19"/>
  <c r="E69" i="6" s="1"/>
  <c r="G69" i="6" s="1"/>
  <c r="N78" i="58"/>
  <c r="N77" i="58"/>
  <c r="G878" i="19"/>
  <c r="E891" i="19"/>
  <c r="E51" i="6" s="1"/>
  <c r="G51" i="6" s="1"/>
  <c r="N67" i="58"/>
  <c r="N96" i="58"/>
  <c r="N93" i="58"/>
  <c r="N71" i="58"/>
  <c r="N94" i="58"/>
  <c r="E896" i="19"/>
  <c r="G896" i="19" s="1"/>
  <c r="E886" i="19"/>
  <c r="E900" i="19" s="1"/>
  <c r="N92" i="58"/>
  <c r="N88" i="58"/>
  <c r="N90" i="58"/>
  <c r="N89" i="58"/>
  <c r="N91" i="58"/>
  <c r="N95" i="58"/>
  <c r="N74" i="58"/>
  <c r="N73" i="58"/>
  <c r="E110" i="2"/>
  <c r="H110" i="2" s="1"/>
  <c r="N75" i="58"/>
  <c r="N76" i="58"/>
  <c r="N79" i="58"/>
  <c r="N72" i="58"/>
  <c r="N66" i="58"/>
  <c r="N82" i="58"/>
  <c r="N65" i="58"/>
  <c r="N81" i="58"/>
  <c r="G864" i="19"/>
  <c r="N83" i="58"/>
  <c r="N84" i="58"/>
  <c r="N87" i="58"/>
  <c r="N80" i="58"/>
  <c r="N70" i="58"/>
  <c r="N86" i="58"/>
  <c r="N69" i="58"/>
  <c r="N85" i="58"/>
  <c r="E895" i="19"/>
  <c r="G895" i="19" s="1"/>
  <c r="G939" i="19"/>
  <c r="H429" i="2"/>
  <c r="G55" i="19"/>
  <c r="R61" i="62"/>
  <c r="D39" i="1"/>
  <c r="H39" i="2"/>
  <c r="F83" i="58"/>
  <c r="F67" i="58"/>
  <c r="F84" i="58"/>
  <c r="F68" i="58"/>
  <c r="F78" i="58"/>
  <c r="F77" i="58"/>
  <c r="F74" i="58"/>
  <c r="F73" i="58"/>
  <c r="E108" i="2"/>
  <c r="F95" i="58"/>
  <c r="F96" i="58"/>
  <c r="F70" i="58"/>
  <c r="F66" i="58"/>
  <c r="F91" i="58"/>
  <c r="F75" i="58"/>
  <c r="F92" i="58"/>
  <c r="F76" i="58"/>
  <c r="F94" i="58"/>
  <c r="F93" i="58"/>
  <c r="F90" i="58"/>
  <c r="F89" i="58"/>
  <c r="E782" i="19"/>
  <c r="F87" i="58"/>
  <c r="F71" i="58"/>
  <c r="F88" i="58"/>
  <c r="F72" i="58"/>
  <c r="F86" i="58"/>
  <c r="F85" i="58"/>
  <c r="F82" i="58"/>
  <c r="F81" i="58"/>
  <c r="G760" i="19"/>
  <c r="F79" i="58"/>
  <c r="F80" i="58"/>
  <c r="F64" i="58"/>
  <c r="F69" i="58"/>
  <c r="F65" i="58"/>
  <c r="G780" i="19"/>
  <c r="E794" i="19"/>
  <c r="G794" i="19" s="1"/>
  <c r="E120" i="6"/>
  <c r="G120" i="6" s="1"/>
  <c r="G614" i="19"/>
  <c r="E616" i="19"/>
  <c r="G616" i="19" s="1"/>
  <c r="E119" i="6"/>
  <c r="G534" i="19"/>
  <c r="E536" i="19"/>
  <c r="G536" i="19" s="1"/>
  <c r="E121" i="6"/>
  <c r="E696" i="19"/>
  <c r="G694" i="19"/>
  <c r="E60" i="6"/>
  <c r="G60" i="6" s="1"/>
  <c r="G892" i="19"/>
  <c r="J96" i="58"/>
  <c r="J92" i="58"/>
  <c r="J88" i="58"/>
  <c r="J84" i="58"/>
  <c r="J80" i="58"/>
  <c r="J76" i="58"/>
  <c r="J72" i="58"/>
  <c r="J68" i="58"/>
  <c r="J64" i="58"/>
  <c r="J93" i="58"/>
  <c r="J89" i="58"/>
  <c r="J85" i="58"/>
  <c r="J81" i="58"/>
  <c r="J77" i="58"/>
  <c r="J73" i="58"/>
  <c r="J69" i="58"/>
  <c r="J65" i="58"/>
  <c r="J91" i="58"/>
  <c r="J83" i="58"/>
  <c r="J75" i="58"/>
  <c r="J67" i="58"/>
  <c r="J90" i="58"/>
  <c r="J82" i="58"/>
  <c r="J74" i="58"/>
  <c r="J66" i="58"/>
  <c r="J95" i="58"/>
  <c r="J87" i="58"/>
  <c r="J79" i="58"/>
  <c r="J71" i="58"/>
  <c r="J94" i="58"/>
  <c r="J86" i="58"/>
  <c r="J78" i="58"/>
  <c r="J70" i="58"/>
  <c r="E834" i="19"/>
  <c r="G812" i="19"/>
  <c r="E109" i="2"/>
  <c r="E898" i="19"/>
  <c r="G884" i="19"/>
  <c r="H82" i="52"/>
  <c r="G82" i="52"/>
  <c r="G832" i="19"/>
  <c r="E846" i="19"/>
  <c r="G846" i="19" s="1"/>
  <c r="H72" i="52" l="1"/>
  <c r="E1804" i="19"/>
  <c r="G1827" i="19"/>
  <c r="E1693" i="19"/>
  <c r="E1595" i="19"/>
  <c r="H624" i="2"/>
  <c r="H619" i="2"/>
  <c r="E625" i="2"/>
  <c r="O208" i="5" s="1"/>
  <c r="E615" i="2"/>
  <c r="O194" i="5" s="1"/>
  <c r="H595" i="2"/>
  <c r="K207" i="5"/>
  <c r="H590" i="2"/>
  <c r="K200" i="5"/>
  <c r="H617" i="2"/>
  <c r="I108" i="52"/>
  <c r="E586" i="2"/>
  <c r="K194" i="5" s="1"/>
  <c r="E596" i="2"/>
  <c r="K208" i="5" s="1"/>
  <c r="H588" i="2"/>
  <c r="H589" i="2"/>
  <c r="E583" i="2"/>
  <c r="K189" i="5" s="1"/>
  <c r="H618" i="2"/>
  <c r="E8" i="6"/>
  <c r="E177" i="6" s="1"/>
  <c r="E13" i="6"/>
  <c r="E175" i="6" s="1"/>
  <c r="G198" i="19"/>
  <c r="H80" i="52"/>
  <c r="E80" i="52"/>
  <c r="H28" i="56"/>
  <c r="D283" i="58"/>
  <c r="I64" i="52"/>
  <c r="E86" i="2"/>
  <c r="E686" i="19" s="1"/>
  <c r="N48" i="58" s="1"/>
  <c r="E679" i="19"/>
  <c r="E708" i="19" s="1"/>
  <c r="L21" i="60"/>
  <c r="E208" i="5"/>
  <c r="H220" i="56"/>
  <c r="V227" i="56" s="1"/>
  <c r="F174" i="58"/>
  <c r="E72" i="52"/>
  <c r="E688" i="19"/>
  <c r="E873" i="19" s="1"/>
  <c r="E253" i="6" s="1"/>
  <c r="L21" i="61"/>
  <c r="D312" i="58"/>
  <c r="F187" i="58"/>
  <c r="J26" i="56"/>
  <c r="E917" i="19"/>
  <c r="E931" i="19" s="1"/>
  <c r="H218" i="56"/>
  <c r="F167" i="58"/>
  <c r="F177" i="58"/>
  <c r="F179" i="58"/>
  <c r="G913" i="19"/>
  <c r="G108" i="52"/>
  <c r="G80" i="52"/>
  <c r="F180" i="58"/>
  <c r="F80" i="52"/>
  <c r="G218" i="19"/>
  <c r="G9" i="6"/>
  <c r="H108" i="52"/>
  <c r="F188" i="58"/>
  <c r="F168" i="58"/>
  <c r="F160" i="58"/>
  <c r="F191" i="58"/>
  <c r="I72" i="52"/>
  <c r="D250" i="58"/>
  <c r="G911" i="19"/>
  <c r="E174" i="6"/>
  <c r="F220" i="56"/>
  <c r="U227" i="56" s="1"/>
  <c r="E608" i="19"/>
  <c r="E618" i="19" s="1"/>
  <c r="E599" i="19"/>
  <c r="E626" i="19" s="1"/>
  <c r="E187" i="6"/>
  <c r="F218" i="56"/>
  <c r="E83" i="2"/>
  <c r="D83" i="1" s="1"/>
  <c r="J28" i="56"/>
  <c r="G238" i="19"/>
  <c r="G1724" i="19"/>
  <c r="G678" i="19"/>
  <c r="E1725" i="19"/>
  <c r="E1769" i="19" s="1"/>
  <c r="G228" i="19"/>
  <c r="G676" i="19"/>
  <c r="G189" i="19"/>
  <c r="E600" i="19"/>
  <c r="G600" i="19" s="1"/>
  <c r="H26" i="56"/>
  <c r="G675" i="19"/>
  <c r="G598" i="19"/>
  <c r="E194" i="5"/>
  <c r="G596" i="19"/>
  <c r="G178" i="19"/>
  <c r="I80" i="52"/>
  <c r="F172" i="58"/>
  <c r="F159" i="58"/>
  <c r="F181" i="58"/>
  <c r="F173" i="58"/>
  <c r="F175" i="58"/>
  <c r="F189" i="58"/>
  <c r="E107" i="2"/>
  <c r="E395" i="19" s="1"/>
  <c r="F170" i="58"/>
  <c r="G595" i="19"/>
  <c r="F72" i="52"/>
  <c r="L21" i="39"/>
  <c r="G168" i="19"/>
  <c r="F186" i="58"/>
  <c r="F183" i="58"/>
  <c r="F190" i="58"/>
  <c r="F162" i="58"/>
  <c r="F185" i="58"/>
  <c r="F176" i="58"/>
  <c r="F182" i="58"/>
  <c r="F178" i="58"/>
  <c r="F166" i="58"/>
  <c r="H64" i="52"/>
  <c r="E914" i="19"/>
  <c r="E64" i="52"/>
  <c r="F165" i="58"/>
  <c r="F171" i="58"/>
  <c r="F184" i="58"/>
  <c r="F169" i="58"/>
  <c r="E910" i="19"/>
  <c r="E10" i="7" s="1"/>
  <c r="E108" i="52"/>
  <c r="F163" i="58"/>
  <c r="F164" i="58"/>
  <c r="F161" i="58"/>
  <c r="E680" i="19"/>
  <c r="E689" i="19" s="1"/>
  <c r="E699" i="19" s="1"/>
  <c r="E449" i="2"/>
  <c r="E11" i="6"/>
  <c r="G916" i="19"/>
  <c r="G199" i="19"/>
  <c r="R115" i="58"/>
  <c r="E189" i="5"/>
  <c r="G964" i="19"/>
  <c r="E1818" i="19"/>
  <c r="E1820" i="19" s="1"/>
  <c r="I82" i="52"/>
  <c r="K82" i="52" s="1"/>
  <c r="E243" i="19"/>
  <c r="E244" i="19"/>
  <c r="E245" i="19"/>
  <c r="H450" i="2"/>
  <c r="E466" i="2"/>
  <c r="E80" i="2"/>
  <c r="E518" i="19"/>
  <c r="E519" i="19" s="1"/>
  <c r="E560" i="19" s="1"/>
  <c r="W232" i="56"/>
  <c r="X232" i="56" s="1"/>
  <c r="F209" i="56" s="1"/>
  <c r="J220" i="56"/>
  <c r="W223" i="56" s="1"/>
  <c r="J218" i="56"/>
  <c r="L28" i="56"/>
  <c r="D339" i="58"/>
  <c r="L26" i="56"/>
  <c r="E952" i="19"/>
  <c r="E83" i="36" s="1"/>
  <c r="F83" i="36"/>
  <c r="E549" i="19"/>
  <c r="E546" i="19"/>
  <c r="E551" i="19"/>
  <c r="E543" i="19"/>
  <c r="E545" i="19"/>
  <c r="E527" i="19" s="1"/>
  <c r="E528" i="19" s="1"/>
  <c r="E538" i="19" s="1"/>
  <c r="E250" i="6" s="1"/>
  <c r="E548" i="19"/>
  <c r="E544" i="19"/>
  <c r="E472" i="19"/>
  <c r="E492" i="19" s="1"/>
  <c r="E469" i="19"/>
  <c r="E489" i="19" s="1"/>
  <c r="E65" i="6" s="1"/>
  <c r="F108" i="52"/>
  <c r="E473" i="19"/>
  <c r="E493" i="19" s="1"/>
  <c r="E470" i="19"/>
  <c r="E490" i="19" s="1"/>
  <c r="G948" i="19"/>
  <c r="E475" i="19"/>
  <c r="E495" i="19" s="1"/>
  <c r="E474" i="19"/>
  <c r="E494" i="19" s="1"/>
  <c r="E211" i="6" s="1"/>
  <c r="E468" i="19"/>
  <c r="E488" i="19" s="1"/>
  <c r="E56" i="6" s="1"/>
  <c r="G909" i="19"/>
  <c r="G446" i="19"/>
  <c r="E478" i="19"/>
  <c r="E498" i="19" s="1"/>
  <c r="G444" i="19"/>
  <c r="E480" i="19"/>
  <c r="E500" i="19" s="1"/>
  <c r="E479" i="19"/>
  <c r="E499" i="19" s="1"/>
  <c r="E427" i="6" s="1"/>
  <c r="E1532" i="19"/>
  <c r="E1323" i="19"/>
  <c r="E1029" i="19"/>
  <c r="E1138" i="19"/>
  <c r="E1083" i="19"/>
  <c r="E1074" i="19"/>
  <c r="E1101" i="19"/>
  <c r="E1423" i="19"/>
  <c r="G663" i="6"/>
  <c r="E1156" i="19"/>
  <c r="E978" i="19"/>
  <c r="E1147" i="19"/>
  <c r="G988" i="19"/>
  <c r="E1559" i="19"/>
  <c r="E217" i="2"/>
  <c r="D217" i="1" s="1"/>
  <c r="E1541" i="19"/>
  <c r="E1414" i="19"/>
  <c r="E1359" i="19"/>
  <c r="E1459" i="19"/>
  <c r="E1065" i="19"/>
  <c r="E1174" i="19"/>
  <c r="E1405" i="19"/>
  <c r="E1350" i="19"/>
  <c r="E1183" i="19"/>
  <c r="G992" i="19"/>
  <c r="E1193" i="19"/>
  <c r="E1220" i="19"/>
  <c r="E1523" i="19"/>
  <c r="E1514" i="19"/>
  <c r="E1047" i="19"/>
  <c r="E1247" i="19"/>
  <c r="E1120" i="19"/>
  <c r="E1496" i="19"/>
  <c r="E1341" i="19"/>
  <c r="E1505" i="19"/>
  <c r="E1038" i="19"/>
  <c r="E1238" i="19"/>
  <c r="E1111" i="19"/>
  <c r="E1377" i="19"/>
  <c r="E1487" i="19"/>
  <c r="E1092" i="19"/>
  <c r="E1368" i="19"/>
  <c r="E1332" i="19"/>
  <c r="E1056" i="19"/>
  <c r="E1450" i="19"/>
  <c r="E1395" i="19"/>
  <c r="E1211" i="19"/>
  <c r="E1432" i="19"/>
  <c r="E1229" i="19"/>
  <c r="E1441" i="19"/>
  <c r="E1386" i="19"/>
  <c r="E1202" i="19"/>
  <c r="E1265" i="19"/>
  <c r="E1468" i="19"/>
  <c r="E1165" i="19"/>
  <c r="E1477" i="19"/>
  <c r="E1129" i="19"/>
  <c r="E1256" i="19"/>
  <c r="H83" i="36"/>
  <c r="G276" i="6"/>
  <c r="G514" i="19"/>
  <c r="G513" i="19"/>
  <c r="R124" i="58"/>
  <c r="R126" i="58"/>
  <c r="R138" i="58"/>
  <c r="E132" i="2"/>
  <c r="G463" i="19"/>
  <c r="E114" i="19"/>
  <c r="R119" i="58"/>
  <c r="R117" i="58"/>
  <c r="G73" i="19"/>
  <c r="G263" i="19"/>
  <c r="E975" i="19"/>
  <c r="R129" i="58"/>
  <c r="R141" i="58"/>
  <c r="E97" i="2"/>
  <c r="R134" i="58"/>
  <c r="R116" i="58"/>
  <c r="R131" i="58"/>
  <c r="R143" i="58"/>
  <c r="R128" i="58"/>
  <c r="R118" i="58"/>
  <c r="R113" i="58"/>
  <c r="R114" i="58"/>
  <c r="R132" i="58"/>
  <c r="R139" i="58"/>
  <c r="E108" i="19"/>
  <c r="R142" i="58"/>
  <c r="R140" i="58"/>
  <c r="R125" i="58"/>
  <c r="R135" i="58"/>
  <c r="G156" i="19"/>
  <c r="R137" i="58"/>
  <c r="E482" i="19"/>
  <c r="E502" i="19" s="1"/>
  <c r="G95" i="19"/>
  <c r="R127" i="58"/>
  <c r="R133" i="58"/>
  <c r="R130" i="58"/>
  <c r="R144" i="58"/>
  <c r="R136" i="58"/>
  <c r="R123" i="58"/>
  <c r="R122" i="58"/>
  <c r="R112" i="58"/>
  <c r="R120" i="58"/>
  <c r="R121" i="58"/>
  <c r="G452" i="19"/>
  <c r="E120" i="19"/>
  <c r="C538" i="8"/>
  <c r="E536" i="8"/>
  <c r="J111" i="8"/>
  <c r="J112" i="8"/>
  <c r="J113" i="8"/>
  <c r="H109" i="2"/>
  <c r="G893" i="19"/>
  <c r="G891" i="19"/>
  <c r="G886" i="19"/>
  <c r="E392" i="19"/>
  <c r="H108" i="2"/>
  <c r="E796" i="19"/>
  <c r="G796" i="19" s="1"/>
  <c r="G782" i="19"/>
  <c r="G75" i="19"/>
  <c r="G121" i="6"/>
  <c r="G119" i="6"/>
  <c r="E125" i="6"/>
  <c r="E215" i="6"/>
  <c r="G215" i="6" s="1"/>
  <c r="G898" i="19"/>
  <c r="G834" i="19"/>
  <c r="E848" i="19"/>
  <c r="G848" i="19" s="1"/>
  <c r="E228" i="6"/>
  <c r="G228" i="6" s="1"/>
  <c r="G900" i="19"/>
  <c r="G696" i="19"/>
  <c r="I83" i="36" l="1"/>
  <c r="G1693" i="19"/>
  <c r="H451" i="2"/>
  <c r="E25" i="6"/>
  <c r="E162" i="6"/>
  <c r="E182" i="5"/>
  <c r="E621" i="2"/>
  <c r="O204" i="5" s="1"/>
  <c r="E606" i="2"/>
  <c r="N19" i="58"/>
  <c r="N33" i="58"/>
  <c r="E465" i="2"/>
  <c r="N34" i="58"/>
  <c r="N43" i="58"/>
  <c r="N21" i="58"/>
  <c r="N17" i="58"/>
  <c r="N30" i="58"/>
  <c r="N29" i="58"/>
  <c r="N32" i="58"/>
  <c r="E874" i="19"/>
  <c r="E105" i="2"/>
  <c r="E394" i="19" s="1"/>
  <c r="N35" i="58"/>
  <c r="N47" i="58"/>
  <c r="N40" i="58"/>
  <c r="N46" i="58"/>
  <c r="N25" i="58"/>
  <c r="N38" i="58"/>
  <c r="N24" i="58"/>
  <c r="E103" i="52"/>
  <c r="H284" i="56"/>
  <c r="E159" i="19"/>
  <c r="E98" i="19" s="1"/>
  <c r="E105" i="19" s="1"/>
  <c r="E698" i="19"/>
  <c r="E252" i="6" s="1"/>
  <c r="G174" i="6"/>
  <c r="E704" i="19"/>
  <c r="E727" i="19" s="1"/>
  <c r="E59" i="6" s="1"/>
  <c r="E190" i="6"/>
  <c r="E703" i="19"/>
  <c r="E726" i="19" s="1"/>
  <c r="E50" i="6" s="1"/>
  <c r="H612" i="2"/>
  <c r="H596" i="2"/>
  <c r="E164" i="6"/>
  <c r="E709" i="19"/>
  <c r="E732" i="19" s="1"/>
  <c r="E93" i="6" s="1"/>
  <c r="E577" i="2"/>
  <c r="K182" i="5" s="1"/>
  <c r="E592" i="2"/>
  <c r="K204" i="5" s="1"/>
  <c r="H615" i="2"/>
  <c r="H625" i="2"/>
  <c r="H583" i="2"/>
  <c r="H586" i="2"/>
  <c r="E712" i="19"/>
  <c r="E735" i="19" s="1"/>
  <c r="N26" i="58"/>
  <c r="N37" i="58"/>
  <c r="N27" i="58"/>
  <c r="N22" i="58"/>
  <c r="N45" i="58"/>
  <c r="N18" i="58"/>
  <c r="N28" i="58"/>
  <c r="N44" i="58"/>
  <c r="E188" i="6"/>
  <c r="E274" i="19"/>
  <c r="E710" i="19" s="1"/>
  <c r="E733" i="19" s="1"/>
  <c r="E769" i="19"/>
  <c r="E770" i="19" s="1"/>
  <c r="K6" i="3"/>
  <c r="N39" i="58"/>
  <c r="N23" i="58"/>
  <c r="N42" i="58"/>
  <c r="N41" i="58"/>
  <c r="N31" i="58"/>
  <c r="N16" i="58"/>
  <c r="N20" i="58"/>
  <c r="N36" i="58"/>
  <c r="D86" i="1"/>
  <c r="E239" i="6"/>
  <c r="E705" i="19"/>
  <c r="E728" i="19" s="1"/>
  <c r="E68" i="6" s="1"/>
  <c r="E706" i="19"/>
  <c r="E729" i="19" s="1"/>
  <c r="E270" i="19"/>
  <c r="E630" i="19" s="1"/>
  <c r="E653" i="19" s="1"/>
  <c r="E606" i="19"/>
  <c r="E467" i="2" s="1"/>
  <c r="E731" i="19"/>
  <c r="G13" i="6"/>
  <c r="E707" i="19"/>
  <c r="E730" i="19" s="1"/>
  <c r="G925" i="19"/>
  <c r="E711" i="19"/>
  <c r="E734" i="19" s="1"/>
  <c r="G679" i="19"/>
  <c r="E962" i="19"/>
  <c r="G962" i="19" s="1"/>
  <c r="E204" i="5"/>
  <c r="E9" i="7"/>
  <c r="E238" i="6"/>
  <c r="L284" i="56"/>
  <c r="G175" i="6"/>
  <c r="E1806" i="19"/>
  <c r="E943" i="19"/>
  <c r="G943" i="19" s="1"/>
  <c r="E938" i="19"/>
  <c r="E8" i="7"/>
  <c r="E66" i="52"/>
  <c r="K66" i="52" s="1"/>
  <c r="E467" i="19"/>
  <c r="E487" i="19" s="1"/>
  <c r="E451" i="19"/>
  <c r="E7" i="7"/>
  <c r="E158" i="19"/>
  <c r="E97" i="19" s="1"/>
  <c r="E122" i="19" s="1"/>
  <c r="H86" i="2"/>
  <c r="E1774" i="19"/>
  <c r="E1777" i="19" s="1"/>
  <c r="E1794" i="19"/>
  <c r="E1797" i="19" s="1"/>
  <c r="G1723" i="19"/>
  <c r="E1784" i="19"/>
  <c r="E1787" i="19" s="1"/>
  <c r="K80" i="52"/>
  <c r="G688" i="19"/>
  <c r="G161" i="6"/>
  <c r="G8" i="6"/>
  <c r="G917" i="19"/>
  <c r="G1722" i="19"/>
  <c r="G931" i="19"/>
  <c r="K72" i="52"/>
  <c r="G608" i="19"/>
  <c r="E625" i="19"/>
  <c r="E648" i="19" s="1"/>
  <c r="E67" i="6" s="1"/>
  <c r="G187" i="6"/>
  <c r="G914" i="19"/>
  <c r="E652" i="6"/>
  <c r="P22" i="50" s="1"/>
  <c r="E649" i="19"/>
  <c r="E675" i="8"/>
  <c r="E295" i="19"/>
  <c r="G295" i="19" s="1"/>
  <c r="E624" i="19"/>
  <c r="E647" i="19" s="1"/>
  <c r="E58" i="6" s="1"/>
  <c r="E87" i="2"/>
  <c r="R93" i="40" s="1"/>
  <c r="E628" i="19"/>
  <c r="E651" i="19" s="1"/>
  <c r="E629" i="19"/>
  <c r="E652" i="19" s="1"/>
  <c r="E92" i="6" s="1"/>
  <c r="H449" i="2"/>
  <c r="G689" i="19"/>
  <c r="E681" i="19"/>
  <c r="E720" i="19" s="1"/>
  <c r="E743" i="19" s="1"/>
  <c r="E623" i="19"/>
  <c r="E646" i="19" s="1"/>
  <c r="E49" i="6" s="1"/>
  <c r="E627" i="19"/>
  <c r="E691" i="19"/>
  <c r="G680" i="19"/>
  <c r="E631" i="19"/>
  <c r="E654" i="19" s="1"/>
  <c r="F238" i="56"/>
  <c r="K64" i="52"/>
  <c r="H83" i="2"/>
  <c r="H238" i="56"/>
  <c r="E601" i="19"/>
  <c r="E84" i="2"/>
  <c r="G599" i="19"/>
  <c r="E294" i="19"/>
  <c r="G294" i="19" s="1"/>
  <c r="E609" i="19"/>
  <c r="E619" i="19" s="1"/>
  <c r="E620" i="19" s="1"/>
  <c r="G56" i="6"/>
  <c r="K108" i="52"/>
  <c r="E1811" i="19"/>
  <c r="F74" i="52"/>
  <c r="K74" i="52" s="1"/>
  <c r="G963" i="19"/>
  <c r="E189" i="6"/>
  <c r="G189" i="6" s="1"/>
  <c r="E163" i="6"/>
  <c r="G163" i="6" s="1"/>
  <c r="G11" i="6"/>
  <c r="E176" i="6"/>
  <c r="G176" i="6" s="1"/>
  <c r="G618" i="19"/>
  <c r="E115" i="2"/>
  <c r="E125" i="2"/>
  <c r="G102" i="19"/>
  <c r="I101" i="36"/>
  <c r="E416" i="19"/>
  <c r="G1597" i="19"/>
  <c r="G1818" i="19"/>
  <c r="G244" i="19"/>
  <c r="G245" i="19"/>
  <c r="G243" i="19"/>
  <c r="E246" i="19"/>
  <c r="E427" i="2"/>
  <c r="H427" i="2" s="1"/>
  <c r="E468" i="2"/>
  <c r="H468" i="2" s="1"/>
  <c r="E1694" i="19"/>
  <c r="N284" i="56"/>
  <c r="E524" i="19"/>
  <c r="D80" i="1"/>
  <c r="E937" i="19"/>
  <c r="E237" i="6"/>
  <c r="E266" i="19"/>
  <c r="E550" i="19" s="1"/>
  <c r="E573" i="19" s="1"/>
  <c r="E157" i="19"/>
  <c r="E96" i="19" s="1"/>
  <c r="E103" i="19" s="1"/>
  <c r="E251" i="6"/>
  <c r="E529" i="19"/>
  <c r="E539" i="19" s="1"/>
  <c r="E540" i="19" s="1"/>
  <c r="E557" i="19"/>
  <c r="J238" i="56"/>
  <c r="E555" i="19"/>
  <c r="E554" i="19"/>
  <c r="E81" i="2"/>
  <c r="E305" i="6" s="1"/>
  <c r="E293" i="19"/>
  <c r="E556" i="19"/>
  <c r="E558" i="19"/>
  <c r="G1826" i="19"/>
  <c r="G427" i="6"/>
  <c r="G498" i="19"/>
  <c r="G501" i="19"/>
  <c r="H105" i="52"/>
  <c r="F499" i="8"/>
  <c r="F500" i="8" s="1"/>
  <c r="G491" i="19"/>
  <c r="I497" i="8"/>
  <c r="I498" i="8" s="1"/>
  <c r="E571" i="19"/>
  <c r="E569" i="19"/>
  <c r="E568" i="19"/>
  <c r="E66" i="6" s="1"/>
  <c r="E570" i="19"/>
  <c r="E567" i="19"/>
  <c r="E57" i="6" s="1"/>
  <c r="E574" i="19"/>
  <c r="E572" i="19"/>
  <c r="E566" i="19"/>
  <c r="E48" i="6" s="1"/>
  <c r="G1332" i="19"/>
  <c r="G1377" i="19"/>
  <c r="G500" i="19"/>
  <c r="G492" i="19"/>
  <c r="E524" i="6"/>
  <c r="G475" i="19"/>
  <c r="I103" i="52"/>
  <c r="G481" i="19"/>
  <c r="G1432" i="19"/>
  <c r="G471" i="19"/>
  <c r="G1165" i="19"/>
  <c r="G1029" i="19"/>
  <c r="G478" i="19"/>
  <c r="E328" i="6"/>
  <c r="G1468" i="19"/>
  <c r="G211" i="6"/>
  <c r="G493" i="19"/>
  <c r="G1174" i="19"/>
  <c r="G1129" i="19"/>
  <c r="G1395" i="19"/>
  <c r="G1038" i="19"/>
  <c r="G1101" i="19"/>
  <c r="H132" i="2"/>
  <c r="G495" i="19"/>
  <c r="G473" i="19"/>
  <c r="G1450" i="19"/>
  <c r="G1183" i="19"/>
  <c r="G1065" i="19"/>
  <c r="G1074" i="19"/>
  <c r="G474" i="19"/>
  <c r="G1056" i="19"/>
  <c r="G1083" i="19"/>
  <c r="G1368" i="19"/>
  <c r="G490" i="19"/>
  <c r="G494" i="19"/>
  <c r="G975" i="19"/>
  <c r="G499" i="19"/>
  <c r="G910" i="19"/>
  <c r="G395" i="19"/>
  <c r="G479" i="19"/>
  <c r="H107" i="2"/>
  <c r="G1459" i="19"/>
  <c r="G1550" i="19"/>
  <c r="G470" i="19"/>
  <c r="G1359" i="19"/>
  <c r="G469" i="19"/>
  <c r="G1532" i="19"/>
  <c r="G1505" i="19"/>
  <c r="G480" i="19"/>
  <c r="G1323" i="19"/>
  <c r="G978" i="19"/>
  <c r="G1477" i="19"/>
  <c r="G1341" i="19"/>
  <c r="G1523" i="19"/>
  <c r="G1202" i="19"/>
  <c r="G489" i="19"/>
  <c r="G1487" i="19"/>
  <c r="G1111" i="19"/>
  <c r="G502" i="19"/>
  <c r="G1092" i="19"/>
  <c r="G1423" i="19"/>
  <c r="G1193" i="19"/>
  <c r="G1496" i="19"/>
  <c r="G472" i="19"/>
  <c r="G1541" i="19"/>
  <c r="G1156" i="19"/>
  <c r="G1047" i="19"/>
  <c r="G1350" i="19"/>
  <c r="H217" i="2"/>
  <c r="G1147" i="19"/>
  <c r="G1138" i="19"/>
  <c r="G1120" i="19"/>
  <c r="G1229" i="19"/>
  <c r="G1220" i="19"/>
  <c r="G1386" i="19"/>
  <c r="G1405" i="19"/>
  <c r="G1265" i="19"/>
  <c r="G1559" i="19"/>
  <c r="G1247" i="19"/>
  <c r="G1441" i="19"/>
  <c r="G1414" i="19"/>
  <c r="G1256" i="19"/>
  <c r="G1211" i="19"/>
  <c r="G1514" i="19"/>
  <c r="G1238" i="19"/>
  <c r="H499" i="8"/>
  <c r="H500" i="8" s="1"/>
  <c r="G83" i="36"/>
  <c r="G952" i="19"/>
  <c r="G516" i="19"/>
  <c r="G518" i="19"/>
  <c r="E426" i="2"/>
  <c r="H426" i="2" s="1"/>
  <c r="H97" i="2"/>
  <c r="G482" i="19"/>
  <c r="B6" i="49"/>
  <c r="E537" i="8"/>
  <c r="C539" i="8"/>
  <c r="E414" i="19"/>
  <c r="G1595" i="19"/>
  <c r="G392" i="19"/>
  <c r="E148" i="2"/>
  <c r="G1820" i="19"/>
  <c r="G65" i="6"/>
  <c r="E644" i="6"/>
  <c r="G125" i="6"/>
  <c r="I499" i="8" l="1"/>
  <c r="I500" i="8" s="1"/>
  <c r="F497" i="8"/>
  <c r="F498" i="8" s="1"/>
  <c r="E620" i="2"/>
  <c r="O201" i="5" s="1"/>
  <c r="G101" i="36"/>
  <c r="H101" i="36"/>
  <c r="H497" i="8"/>
  <c r="H498" i="8" s="1"/>
  <c r="G25" i="6"/>
  <c r="H103" i="52"/>
  <c r="E425" i="2"/>
  <c r="H425" i="2" s="1"/>
  <c r="O182" i="5"/>
  <c r="J16" i="58"/>
  <c r="E607" i="2"/>
  <c r="O183" i="5" s="1"/>
  <c r="E622" i="2"/>
  <c r="O205" i="5" s="1"/>
  <c r="E608" i="2"/>
  <c r="O184" i="5" s="1"/>
  <c r="E623" i="2"/>
  <c r="O206" i="5" s="1"/>
  <c r="E700" i="19"/>
  <c r="E123" i="19"/>
  <c r="E104" i="19"/>
  <c r="E110" i="19"/>
  <c r="J22" i="58"/>
  <c r="G1787" i="19"/>
  <c r="G104" i="52"/>
  <c r="E117" i="19"/>
  <c r="E111" i="19"/>
  <c r="E111" i="6"/>
  <c r="G188" i="6"/>
  <c r="N61" i="62"/>
  <c r="J20" i="58"/>
  <c r="J29" i="58"/>
  <c r="G162" i="6"/>
  <c r="G770" i="19"/>
  <c r="E632" i="19"/>
  <c r="E655" i="19" s="1"/>
  <c r="E226" i="6" s="1"/>
  <c r="J18" i="58"/>
  <c r="E116" i="19"/>
  <c r="J43" i="58"/>
  <c r="E104" i="52"/>
  <c r="J17" i="58"/>
  <c r="J46" i="58"/>
  <c r="J48" i="58"/>
  <c r="E102" i="6"/>
  <c r="E594" i="2"/>
  <c r="K206" i="5" s="1"/>
  <c r="E579" i="2"/>
  <c r="K184" i="5" s="1"/>
  <c r="F103" i="52"/>
  <c r="E591" i="2"/>
  <c r="K201" i="5" s="1"/>
  <c r="E205" i="5"/>
  <c r="E578" i="2"/>
  <c r="K183" i="5" s="1"/>
  <c r="E593" i="2"/>
  <c r="K205" i="5" s="1"/>
  <c r="E967" i="19"/>
  <c r="G967" i="19" s="1"/>
  <c r="E129" i="2"/>
  <c r="H129" i="2" s="1"/>
  <c r="E243" i="6"/>
  <c r="E658" i="6" s="1"/>
  <c r="P30" i="50" s="1"/>
  <c r="J33" i="58"/>
  <c r="J31" i="58"/>
  <c r="J36" i="58"/>
  <c r="K5" i="3"/>
  <c r="F961" i="19"/>
  <c r="E714" i="19"/>
  <c r="E737" i="19" s="1"/>
  <c r="E366" i="6" s="1"/>
  <c r="G366" i="6" s="1"/>
  <c r="J41" i="58"/>
  <c r="J26" i="58"/>
  <c r="J39" i="58"/>
  <c r="E102" i="2"/>
  <c r="G707" i="19"/>
  <c r="J45" i="58"/>
  <c r="J30" i="58"/>
  <c r="J23" i="58"/>
  <c r="J34" i="58"/>
  <c r="J21" i="58"/>
  <c r="J19" i="58"/>
  <c r="J32" i="58"/>
  <c r="J25" i="58"/>
  <c r="J24" i="58"/>
  <c r="J44" i="58"/>
  <c r="G98" i="19"/>
  <c r="J27" i="58"/>
  <c r="J28" i="58"/>
  <c r="J38" i="58"/>
  <c r="J37" i="58"/>
  <c r="J42" i="58"/>
  <c r="J47" i="58"/>
  <c r="J40" i="58"/>
  <c r="J35" i="58"/>
  <c r="E183" i="5"/>
  <c r="G731" i="19"/>
  <c r="G734" i="19"/>
  <c r="G239" i="6"/>
  <c r="E201" i="5"/>
  <c r="E206" i="5"/>
  <c r="G728" i="19"/>
  <c r="E178" i="6"/>
  <c r="G68" i="6"/>
  <c r="E101" i="36"/>
  <c r="E476" i="19"/>
  <c r="E496" i="19" s="1"/>
  <c r="F32" i="60"/>
  <c r="G732" i="19"/>
  <c r="H87" i="2"/>
  <c r="D87" i="1"/>
  <c r="G467" i="19"/>
  <c r="G938" i="19"/>
  <c r="E27" i="7"/>
  <c r="N144" i="4" s="1"/>
  <c r="E144" i="4" s="1"/>
  <c r="E1578" i="19" s="1"/>
  <c r="E1823" i="19"/>
  <c r="R77" i="58" s="1"/>
  <c r="K3" i="3"/>
  <c r="G1804" i="19"/>
  <c r="F32" i="39"/>
  <c r="E96" i="2"/>
  <c r="G1725" i="19"/>
  <c r="F32" i="61"/>
  <c r="G164" i="6"/>
  <c r="E674" i="8"/>
  <c r="F675" i="8" s="1"/>
  <c r="E715" i="19"/>
  <c r="E738" i="19" s="1"/>
  <c r="E465" i="6" s="1"/>
  <c r="G465" i="6" s="1"/>
  <c r="E716" i="19"/>
  <c r="E739" i="19" s="1"/>
  <c r="G739" i="19" s="1"/>
  <c r="G686" i="19"/>
  <c r="G648" i="19"/>
  <c r="G1769" i="19"/>
  <c r="G698" i="19"/>
  <c r="G177" i="6"/>
  <c r="G769" i="19"/>
  <c r="G709" i="19"/>
  <c r="G708" i="19"/>
  <c r="G190" i="6"/>
  <c r="G625" i="19"/>
  <c r="G67" i="6"/>
  <c r="F104" i="52"/>
  <c r="G873" i="19"/>
  <c r="G720" i="19"/>
  <c r="G652" i="6"/>
  <c r="E718" i="19"/>
  <c r="G718" i="19" s="1"/>
  <c r="E275" i="19"/>
  <c r="E687" i="19" s="1"/>
  <c r="E609" i="2" s="1"/>
  <c r="O186" i="5" s="1"/>
  <c r="E717" i="19"/>
  <c r="E740" i="19" s="1"/>
  <c r="G740" i="19" s="1"/>
  <c r="G681" i="19"/>
  <c r="G451" i="19"/>
  <c r="E307" i="6"/>
  <c r="G307" i="6" s="1"/>
  <c r="G705" i="19"/>
  <c r="G729" i="19"/>
  <c r="G691" i="19"/>
  <c r="G730" i="19"/>
  <c r="E110" i="6"/>
  <c r="G706" i="19"/>
  <c r="G628" i="19"/>
  <c r="G59" i="6"/>
  <c r="E165" i="6"/>
  <c r="J22" i="50" s="1"/>
  <c r="G468" i="19"/>
  <c r="F101" i="36"/>
  <c r="G651" i="19"/>
  <c r="G158" i="19"/>
  <c r="G743" i="19"/>
  <c r="G627" i="19"/>
  <c r="G710" i="19"/>
  <c r="G630" i="19"/>
  <c r="G274" i="19"/>
  <c r="E650" i="19"/>
  <c r="G650" i="19" s="1"/>
  <c r="G629" i="19"/>
  <c r="G159" i="19"/>
  <c r="G270" i="19"/>
  <c r="G606" i="19"/>
  <c r="E300" i="19"/>
  <c r="E616" i="2" s="1"/>
  <c r="O196" i="5" s="1"/>
  <c r="E611" i="19"/>
  <c r="G611" i="19" s="1"/>
  <c r="G609" i="19"/>
  <c r="G623" i="19"/>
  <c r="E101" i="6"/>
  <c r="G704" i="19"/>
  <c r="G727" i="19"/>
  <c r="G488" i="19"/>
  <c r="G49" i="6"/>
  <c r="G50" i="6"/>
  <c r="G649" i="19"/>
  <c r="G652" i="19"/>
  <c r="E306" i="6"/>
  <c r="G306" i="6" s="1"/>
  <c r="D84" i="1"/>
  <c r="H84" i="2"/>
  <c r="T93" i="40"/>
  <c r="E271" i="19"/>
  <c r="E636" i="19"/>
  <c r="E640" i="19"/>
  <c r="E663" i="19" s="1"/>
  <c r="G663" i="19" s="1"/>
  <c r="G601" i="19"/>
  <c r="E638" i="19"/>
  <c r="E635" i="19"/>
  <c r="E634" i="19"/>
  <c r="E637" i="19"/>
  <c r="E191" i="6"/>
  <c r="G626" i="19"/>
  <c r="G703" i="19"/>
  <c r="G654" i="19"/>
  <c r="G238" i="6"/>
  <c r="G711" i="19"/>
  <c r="G647" i="19"/>
  <c r="G58" i="6"/>
  <c r="G624" i="19"/>
  <c r="G619" i="19"/>
  <c r="H104" i="52"/>
  <c r="G1811" i="19"/>
  <c r="E1813" i="19"/>
  <c r="G97" i="19"/>
  <c r="G251" i="6"/>
  <c r="G631" i="19"/>
  <c r="I104" i="52"/>
  <c r="G699" i="19"/>
  <c r="E415" i="19"/>
  <c r="G1596" i="19"/>
  <c r="G103" i="52"/>
  <c r="G252" i="6"/>
  <c r="E184" i="5"/>
  <c r="G416" i="19"/>
  <c r="G246" i="19"/>
  <c r="E580" i="19"/>
  <c r="H466" i="2"/>
  <c r="E577" i="19"/>
  <c r="E364" i="6" s="1"/>
  <c r="E470" i="2"/>
  <c r="F24" i="58"/>
  <c r="F29" i="58"/>
  <c r="E552" i="19"/>
  <c r="E575" i="19" s="1"/>
  <c r="E225" i="6" s="1"/>
  <c r="E499" i="8"/>
  <c r="E500" i="8" s="1"/>
  <c r="E77" i="19" s="1"/>
  <c r="E79" i="19" s="1"/>
  <c r="E82" i="19" s="1"/>
  <c r="F248" i="56" s="1"/>
  <c r="F22" i="58"/>
  <c r="F30" i="58"/>
  <c r="E115" i="19"/>
  <c r="E531" i="19"/>
  <c r="F42" i="58"/>
  <c r="F45" i="58"/>
  <c r="F33" i="58"/>
  <c r="F23" i="58"/>
  <c r="F35" i="58"/>
  <c r="F16" i="58"/>
  <c r="F47" i="58"/>
  <c r="F43" i="58"/>
  <c r="F38" i="58"/>
  <c r="F19" i="58"/>
  <c r="E99" i="2"/>
  <c r="B5" i="49"/>
  <c r="F21" i="58"/>
  <c r="F41" i="58"/>
  <c r="E942" i="19"/>
  <c r="F17" i="58"/>
  <c r="F20" i="58"/>
  <c r="F37" i="58"/>
  <c r="L61" i="62"/>
  <c r="F26" i="58"/>
  <c r="F25" i="58"/>
  <c r="F28" i="58"/>
  <c r="F48" i="58"/>
  <c r="F34" i="58"/>
  <c r="F39" i="58"/>
  <c r="K4" i="3"/>
  <c r="F46" i="58"/>
  <c r="F32" i="58"/>
  <c r="F18" i="58"/>
  <c r="E105" i="52"/>
  <c r="F40" i="58"/>
  <c r="F36" i="58"/>
  <c r="F44" i="58"/>
  <c r="F27" i="58"/>
  <c r="F31" i="58"/>
  <c r="E469" i="2"/>
  <c r="E99" i="19"/>
  <c r="E109" i="19"/>
  <c r="E121" i="19"/>
  <c r="E581" i="19"/>
  <c r="E428" i="6" s="1"/>
  <c r="E256" i="6"/>
  <c r="E659" i="6" s="1"/>
  <c r="E497" i="8"/>
  <c r="E498" i="8" s="1"/>
  <c r="E583" i="19"/>
  <c r="E579" i="19"/>
  <c r="E561" i="6" s="1"/>
  <c r="E578" i="19"/>
  <c r="E463" i="6" s="1"/>
  <c r="E92" i="2"/>
  <c r="E267" i="19"/>
  <c r="E559" i="19" s="1"/>
  <c r="E582" i="19" s="1"/>
  <c r="V93" i="40"/>
  <c r="D81" i="1"/>
  <c r="F105" i="52"/>
  <c r="I105" i="52"/>
  <c r="G328" i="6"/>
  <c r="G524" i="6"/>
  <c r="G726" i="19"/>
  <c r="H125" i="2"/>
  <c r="G646" i="19"/>
  <c r="G519" i="19"/>
  <c r="G293" i="19"/>
  <c r="G539" i="19"/>
  <c r="G529" i="19"/>
  <c r="G517" i="19"/>
  <c r="H81" i="2"/>
  <c r="G1694" i="19"/>
  <c r="G497" i="8"/>
  <c r="G498" i="8" s="1"/>
  <c r="H80" i="2"/>
  <c r="G499" i="8"/>
  <c r="G500" i="8" s="1"/>
  <c r="H115" i="2"/>
  <c r="E538" i="8"/>
  <c r="C540" i="8"/>
  <c r="E146" i="2"/>
  <c r="G1806" i="19"/>
  <c r="G487" i="19"/>
  <c r="E47" i="6"/>
  <c r="G47" i="6" s="1"/>
  <c r="G414" i="19"/>
  <c r="E76" i="6"/>
  <c r="E1013" i="19"/>
  <c r="E1012" i="19"/>
  <c r="E75" i="6"/>
  <c r="G644" i="6"/>
  <c r="E97" i="6"/>
  <c r="E227" i="6"/>
  <c r="E213" i="6"/>
  <c r="G213" i="6" s="1"/>
  <c r="G653" i="19"/>
  <c r="E214" i="6"/>
  <c r="G214" i="6" s="1"/>
  <c r="G733" i="19"/>
  <c r="H148" i="2"/>
  <c r="E419" i="19"/>
  <c r="E212" i="6"/>
  <c r="G1797" i="19" l="1"/>
  <c r="G105" i="19"/>
  <c r="E115" i="6"/>
  <c r="N12" i="50" s="1"/>
  <c r="H606" i="2"/>
  <c r="H621" i="2"/>
  <c r="K103" i="52"/>
  <c r="G874" i="19"/>
  <c r="H623" i="2"/>
  <c r="H608" i="2"/>
  <c r="G104" i="36"/>
  <c r="G1784" i="19"/>
  <c r="E112" i="19"/>
  <c r="G715" i="19"/>
  <c r="G1774" i="19"/>
  <c r="E106" i="6"/>
  <c r="L12" i="50" s="1"/>
  <c r="H592" i="2"/>
  <c r="H578" i="2"/>
  <c r="H577" i="2"/>
  <c r="H591" i="2"/>
  <c r="H622" i="2"/>
  <c r="H607" i="2"/>
  <c r="H593" i="2"/>
  <c r="H620" i="2"/>
  <c r="E580" i="2"/>
  <c r="K186" i="5" s="1"/>
  <c r="H579" i="2"/>
  <c r="H594" i="2"/>
  <c r="E587" i="2"/>
  <c r="L22" i="50"/>
  <c r="G737" i="19"/>
  <c r="G714" i="19"/>
  <c r="E393" i="19"/>
  <c r="G178" i="6"/>
  <c r="R84" i="58"/>
  <c r="G496" i="19"/>
  <c r="R88" i="58"/>
  <c r="E196" i="5"/>
  <c r="R81" i="58"/>
  <c r="R71" i="58"/>
  <c r="R83" i="58"/>
  <c r="R92" i="58"/>
  <c r="R67" i="58"/>
  <c r="R90" i="58"/>
  <c r="R86" i="58"/>
  <c r="K1" i="3"/>
  <c r="R95" i="58"/>
  <c r="R68" i="58"/>
  <c r="R79" i="58"/>
  <c r="R65" i="58"/>
  <c r="R85" i="58"/>
  <c r="R75" i="58"/>
  <c r="R80" i="58"/>
  <c r="R87" i="58"/>
  <c r="R66" i="58"/>
  <c r="R91" i="58"/>
  <c r="R73" i="58"/>
  <c r="R78" i="58"/>
  <c r="R64" i="58"/>
  <c r="R70" i="58"/>
  <c r="R93" i="58"/>
  <c r="R69" i="58"/>
  <c r="R72" i="58"/>
  <c r="R94" i="58"/>
  <c r="R82" i="58"/>
  <c r="R89" i="58"/>
  <c r="R76" i="58"/>
  <c r="R96" i="58"/>
  <c r="R74" i="58"/>
  <c r="E563" i="6"/>
  <c r="G563" i="6" s="1"/>
  <c r="G253" i="6"/>
  <c r="G165" i="6"/>
  <c r="G300" i="19"/>
  <c r="G716" i="19"/>
  <c r="G1794" i="19"/>
  <c r="G123" i="19"/>
  <c r="G735" i="19"/>
  <c r="G116" i="19"/>
  <c r="N22" i="50"/>
  <c r="G117" i="19"/>
  <c r="G111" i="19"/>
  <c r="H96" i="2"/>
  <c r="E114" i="2"/>
  <c r="G476" i="19"/>
  <c r="G717" i="19"/>
  <c r="E719" i="19"/>
  <c r="E742" i="19" s="1"/>
  <c r="G742" i="19" s="1"/>
  <c r="G275" i="19"/>
  <c r="G110" i="6"/>
  <c r="G110" i="19"/>
  <c r="E162" i="19"/>
  <c r="I65" i="52" s="1"/>
  <c r="C178" i="6"/>
  <c r="G191" i="6"/>
  <c r="G712" i="19"/>
  <c r="G122" i="19"/>
  <c r="E741" i="19"/>
  <c r="G741" i="19" s="1"/>
  <c r="G226" i="6"/>
  <c r="E222" i="19"/>
  <c r="E308" i="6"/>
  <c r="G640" i="19"/>
  <c r="G700" i="19"/>
  <c r="E658" i="19"/>
  <c r="G635" i="19"/>
  <c r="E659" i="19"/>
  <c r="G636" i="19"/>
  <c r="E661" i="19"/>
  <c r="G638" i="19"/>
  <c r="E607" i="19"/>
  <c r="F103" i="36" s="1"/>
  <c r="E639" i="19"/>
  <c r="E662" i="19" s="1"/>
  <c r="G662" i="19" s="1"/>
  <c r="G271" i="19"/>
  <c r="E660" i="19"/>
  <c r="G660" i="19" s="1"/>
  <c r="G637" i="19"/>
  <c r="E657" i="19"/>
  <c r="G634" i="19"/>
  <c r="G101" i="6"/>
  <c r="G1823" i="19"/>
  <c r="G93" i="6"/>
  <c r="H465" i="2"/>
  <c r="G620" i="19"/>
  <c r="E182" i="19"/>
  <c r="C312" i="58" s="1"/>
  <c r="G111" i="6"/>
  <c r="G104" i="19"/>
  <c r="K104" i="52"/>
  <c r="E172" i="19"/>
  <c r="C283" i="58" s="1"/>
  <c r="F104" i="36"/>
  <c r="H467" i="2"/>
  <c r="H104" i="36"/>
  <c r="E212" i="19"/>
  <c r="E1587" i="19"/>
  <c r="G102" i="6"/>
  <c r="G415" i="19"/>
  <c r="I104" i="36"/>
  <c r="G632" i="19"/>
  <c r="G227" i="6"/>
  <c r="H105" i="2"/>
  <c r="H102" i="2"/>
  <c r="E120" i="2"/>
  <c r="G92" i="6"/>
  <c r="E413" i="19"/>
  <c r="E232" i="19"/>
  <c r="E1569" i="19"/>
  <c r="E123" i="2"/>
  <c r="E147" i="2"/>
  <c r="G1813" i="19"/>
  <c r="E391" i="19"/>
  <c r="L1" i="3"/>
  <c r="E421" i="2"/>
  <c r="E30" i="7"/>
  <c r="N209" i="4" s="1"/>
  <c r="E186" i="5"/>
  <c r="J12" i="50"/>
  <c r="E118" i="19"/>
  <c r="E124" i="19"/>
  <c r="E423" i="2"/>
  <c r="E329" i="6"/>
  <c r="E422" i="2"/>
  <c r="H470" i="2"/>
  <c r="E966" i="19"/>
  <c r="E128" i="2"/>
  <c r="E525" i="6"/>
  <c r="D92" i="1"/>
  <c r="E951" i="19"/>
  <c r="E525" i="19"/>
  <c r="E947" i="19"/>
  <c r="E974" i="19" s="1"/>
  <c r="E979" i="19" s="1"/>
  <c r="E278" i="19"/>
  <c r="G527" i="19"/>
  <c r="G572" i="19"/>
  <c r="G655" i="19"/>
  <c r="N126" i="58"/>
  <c r="N121" i="58"/>
  <c r="N137" i="58"/>
  <c r="E104" i="36"/>
  <c r="N127" i="58"/>
  <c r="E106" i="2"/>
  <c r="N123" i="58"/>
  <c r="N144" i="58"/>
  <c r="N141" i="58"/>
  <c r="N124" i="58"/>
  <c r="N143" i="58"/>
  <c r="G687" i="19"/>
  <c r="N142" i="58"/>
  <c r="E721" i="19"/>
  <c r="E744" i="19" s="1"/>
  <c r="N120" i="58"/>
  <c r="N117" i="58"/>
  <c r="N122" i="58"/>
  <c r="N140" i="58"/>
  <c r="N139" i="58"/>
  <c r="N138" i="58"/>
  <c r="N115" i="58"/>
  <c r="N129" i="58"/>
  <c r="N135" i="58"/>
  <c r="N134" i="58"/>
  <c r="N136" i="58"/>
  <c r="N116" i="58"/>
  <c r="N132" i="58"/>
  <c r="N119" i="58"/>
  <c r="N118" i="58"/>
  <c r="N133" i="58"/>
  <c r="N131" i="58"/>
  <c r="N112" i="58"/>
  <c r="N130" i="58"/>
  <c r="N114" i="58"/>
  <c r="N128" i="58"/>
  <c r="N125" i="58"/>
  <c r="N113" i="58"/>
  <c r="G738" i="19"/>
  <c r="H102" i="36"/>
  <c r="H81" i="52"/>
  <c r="H73" i="52"/>
  <c r="G103" i="19"/>
  <c r="G157" i="19"/>
  <c r="H92" i="2"/>
  <c r="G543" i="19"/>
  <c r="G551" i="19"/>
  <c r="G556" i="19"/>
  <c r="G937" i="19"/>
  <c r="G546" i="19"/>
  <c r="G547" i="19"/>
  <c r="G555" i="19"/>
  <c r="G237" i="6"/>
  <c r="G266" i="19"/>
  <c r="G305" i="6"/>
  <c r="G545" i="19"/>
  <c r="G544" i="19"/>
  <c r="G558" i="19"/>
  <c r="G554" i="19"/>
  <c r="G77" i="19"/>
  <c r="G105" i="52"/>
  <c r="K105" i="52" s="1"/>
  <c r="G524" i="19"/>
  <c r="G267" i="19"/>
  <c r="G548" i="19"/>
  <c r="G549" i="19"/>
  <c r="G583" i="19"/>
  <c r="G560" i="19"/>
  <c r="G580" i="19"/>
  <c r="G557" i="19"/>
  <c r="E74" i="6"/>
  <c r="E84" i="6" s="1"/>
  <c r="E539" i="8"/>
  <c r="C541" i="8"/>
  <c r="E1011" i="19"/>
  <c r="H146" i="2"/>
  <c r="E417" i="19"/>
  <c r="E72" i="6"/>
  <c r="N11" i="50" s="1"/>
  <c r="E86" i="6"/>
  <c r="E85" i="6"/>
  <c r="E63" i="6"/>
  <c r="G419" i="19"/>
  <c r="G114" i="19"/>
  <c r="E218" i="6"/>
  <c r="P31" i="50"/>
  <c r="G108" i="19"/>
  <c r="E231" i="6"/>
  <c r="G120" i="19"/>
  <c r="G65" i="52" l="1"/>
  <c r="H65" i="52"/>
  <c r="G73" i="52"/>
  <c r="E610" i="2"/>
  <c r="O187" i="5" s="1"/>
  <c r="I103" i="36"/>
  <c r="H103" i="36"/>
  <c r="G103" i="36"/>
  <c r="E611" i="2"/>
  <c r="O188" i="5" s="1"/>
  <c r="I102" i="36"/>
  <c r="F102" i="36"/>
  <c r="F81" i="52"/>
  <c r="H587" i="2"/>
  <c r="K196" i="5"/>
  <c r="H223" i="58"/>
  <c r="L46" i="62"/>
  <c r="P12" i="50"/>
  <c r="E646" i="6"/>
  <c r="G115" i="6"/>
  <c r="H616" i="2"/>
  <c r="H609" i="2"/>
  <c r="E582" i="2"/>
  <c r="K188" i="5" s="1"/>
  <c r="E581" i="2"/>
  <c r="H580" i="2"/>
  <c r="G97" i="6"/>
  <c r="G106" i="6"/>
  <c r="E65" i="52"/>
  <c r="E430" i="6"/>
  <c r="G430" i="6" s="1"/>
  <c r="G1578" i="19"/>
  <c r="C250" i="58"/>
  <c r="E1710" i="19"/>
  <c r="F65" i="52"/>
  <c r="G719" i="19"/>
  <c r="E527" i="6"/>
  <c r="G527" i="6" s="1"/>
  <c r="E331" i="6"/>
  <c r="G331" i="6" s="1"/>
  <c r="G222" i="19"/>
  <c r="G162" i="19"/>
  <c r="E73" i="52"/>
  <c r="G232" i="19"/>
  <c r="H114" i="2"/>
  <c r="G308" i="6"/>
  <c r="G81" i="52"/>
  <c r="G1569" i="19"/>
  <c r="F73" i="52"/>
  <c r="E1711" i="19"/>
  <c r="G393" i="19"/>
  <c r="I73" i="52"/>
  <c r="G639" i="19"/>
  <c r="E187" i="5"/>
  <c r="J144" i="58"/>
  <c r="J128" i="58"/>
  <c r="J115" i="58"/>
  <c r="J133" i="58"/>
  <c r="J117" i="58"/>
  <c r="J123" i="58"/>
  <c r="J143" i="58"/>
  <c r="J142" i="58"/>
  <c r="E641" i="19"/>
  <c r="J124" i="58"/>
  <c r="J129" i="58"/>
  <c r="J135" i="58"/>
  <c r="E103" i="2"/>
  <c r="J113" i="58"/>
  <c r="J132" i="58"/>
  <c r="J137" i="58"/>
  <c r="J131" i="58"/>
  <c r="J119" i="58"/>
  <c r="E29" i="7"/>
  <c r="N187" i="4" s="1"/>
  <c r="J140" i="58"/>
  <c r="J112" i="58"/>
  <c r="J114" i="58"/>
  <c r="J138" i="58"/>
  <c r="J134" i="58"/>
  <c r="E103" i="36"/>
  <c r="J116" i="58"/>
  <c r="J121" i="58"/>
  <c r="J122" i="58"/>
  <c r="J118" i="58"/>
  <c r="J136" i="58"/>
  <c r="J120" i="58"/>
  <c r="J141" i="58"/>
  <c r="J125" i="58"/>
  <c r="J139" i="58"/>
  <c r="J130" i="58"/>
  <c r="J127" i="58"/>
  <c r="J126" i="58"/>
  <c r="G607" i="19"/>
  <c r="G659" i="19"/>
  <c r="E562" i="6"/>
  <c r="G562" i="6" s="1"/>
  <c r="G657" i="19"/>
  <c r="E365" i="6"/>
  <c r="G365" i="6" s="1"/>
  <c r="E429" i="6"/>
  <c r="G429" i="6" s="1"/>
  <c r="G661" i="19"/>
  <c r="E526" i="6"/>
  <c r="G526" i="6" s="1"/>
  <c r="E330" i="6"/>
  <c r="G330" i="6" s="1"/>
  <c r="E464" i="6"/>
  <c r="G464" i="6" s="1"/>
  <c r="G658" i="19"/>
  <c r="G212" i="19"/>
  <c r="H120" i="2"/>
  <c r="G1587" i="19"/>
  <c r="G744" i="19"/>
  <c r="I81" i="52"/>
  <c r="H123" i="2"/>
  <c r="G182" i="19"/>
  <c r="E1712" i="19"/>
  <c r="E81" i="52"/>
  <c r="G394" i="19"/>
  <c r="H147" i="2"/>
  <c r="E418" i="19"/>
  <c r="G413" i="19"/>
  <c r="G172" i="19"/>
  <c r="E209" i="4"/>
  <c r="E117" i="2"/>
  <c r="E124" i="2"/>
  <c r="E128" i="19"/>
  <c r="E127" i="19"/>
  <c r="E126" i="19"/>
  <c r="E129" i="19"/>
  <c r="E141" i="19" s="1"/>
  <c r="E28" i="7"/>
  <c r="N165" i="4" s="1"/>
  <c r="E188" i="5"/>
  <c r="E87" i="6"/>
  <c r="E603" i="2" s="1"/>
  <c r="F120" i="58"/>
  <c r="F135" i="58"/>
  <c r="F128" i="58"/>
  <c r="H469" i="2"/>
  <c r="F138" i="58"/>
  <c r="F116" i="58"/>
  <c r="H422" i="2"/>
  <c r="H423" i="2"/>
  <c r="G951" i="19"/>
  <c r="B4" i="49"/>
  <c r="F133" i="58"/>
  <c r="F112" i="58"/>
  <c r="F127" i="58"/>
  <c r="F134" i="58"/>
  <c r="F113" i="58"/>
  <c r="F131" i="58"/>
  <c r="F132" i="58"/>
  <c r="F122" i="58"/>
  <c r="F137" i="58"/>
  <c r="F141" i="58"/>
  <c r="F136" i="58"/>
  <c r="F143" i="58"/>
  <c r="F123" i="58"/>
  <c r="F125" i="58"/>
  <c r="F129" i="58"/>
  <c r="F119" i="58"/>
  <c r="F114" i="58"/>
  <c r="F142" i="58"/>
  <c r="F140" i="58"/>
  <c r="E100" i="2"/>
  <c r="F139" i="58"/>
  <c r="F121" i="58"/>
  <c r="F130" i="58"/>
  <c r="F126" i="58"/>
  <c r="F115" i="58"/>
  <c r="E561" i="19"/>
  <c r="E584" i="19" s="1"/>
  <c r="F144" i="58"/>
  <c r="F117" i="58"/>
  <c r="E102" i="36"/>
  <c r="F124" i="58"/>
  <c r="F118" i="58"/>
  <c r="E131" i="2"/>
  <c r="G278" i="19"/>
  <c r="G568" i="19"/>
  <c r="G571" i="19"/>
  <c r="G570" i="19"/>
  <c r="G567" i="19"/>
  <c r="G569" i="19"/>
  <c r="G574" i="19"/>
  <c r="G531" i="19"/>
  <c r="G528" i="19"/>
  <c r="H106" i="2"/>
  <c r="G721" i="19"/>
  <c r="G947" i="19"/>
  <c r="G552" i="19"/>
  <c r="H99" i="2"/>
  <c r="G364" i="6"/>
  <c r="G577" i="19"/>
  <c r="G550" i="19"/>
  <c r="G243" i="6"/>
  <c r="G582" i="19"/>
  <c r="G559" i="19"/>
  <c r="G561" i="6"/>
  <c r="G579" i="19"/>
  <c r="G581" i="19"/>
  <c r="H128" i="2"/>
  <c r="H421" i="2"/>
  <c r="G942" i="19"/>
  <c r="G966" i="19"/>
  <c r="G463" i="6"/>
  <c r="G578" i="19"/>
  <c r="G99" i="19"/>
  <c r="G96" i="19"/>
  <c r="G102" i="36"/>
  <c r="G525" i="19"/>
  <c r="G82" i="19"/>
  <c r="G79" i="19"/>
  <c r="E17" i="7"/>
  <c r="N92" i="4" s="1"/>
  <c r="E77" i="6"/>
  <c r="E1020" i="19"/>
  <c r="E54" i="6"/>
  <c r="E1019" i="19"/>
  <c r="E1018" i="19"/>
  <c r="E1014" i="19"/>
  <c r="C542" i="8"/>
  <c r="E540" i="8"/>
  <c r="G417" i="19"/>
  <c r="L15" i="50"/>
  <c r="N15" i="50"/>
  <c r="L11" i="50"/>
  <c r="J15" i="50"/>
  <c r="E657" i="6"/>
  <c r="P28" i="50"/>
  <c r="E662" i="6"/>
  <c r="E654" i="6"/>
  <c r="H16" i="52" l="1"/>
  <c r="G16" i="52"/>
  <c r="F16" i="52"/>
  <c r="I16" i="52"/>
  <c r="H610" i="2"/>
  <c r="K81" i="52"/>
  <c r="O178" i="5"/>
  <c r="H581" i="2"/>
  <c r="K187" i="5"/>
  <c r="G646" i="6"/>
  <c r="H611" i="2"/>
  <c r="E574" i="2"/>
  <c r="K178" i="5" s="1"/>
  <c r="H582" i="2"/>
  <c r="K73" i="52"/>
  <c r="G1710" i="19"/>
  <c r="K65" i="52"/>
  <c r="E178" i="5"/>
  <c r="G1712" i="19"/>
  <c r="E528" i="6"/>
  <c r="G1711" i="19"/>
  <c r="E1713" i="19"/>
  <c r="E1767" i="19" s="1"/>
  <c r="E1772" i="19" s="1"/>
  <c r="F69" i="52"/>
  <c r="E187" i="4"/>
  <c r="F416" i="8" s="1"/>
  <c r="F417" i="8" s="1"/>
  <c r="E332" i="6"/>
  <c r="E431" i="6"/>
  <c r="H103" i="2"/>
  <c r="E664" i="19"/>
  <c r="G664" i="19" s="1"/>
  <c r="G641" i="19"/>
  <c r="E121" i="2"/>
  <c r="G418" i="19"/>
  <c r="E175" i="19"/>
  <c r="G283" i="58" s="1"/>
  <c r="E235" i="19"/>
  <c r="E1658" i="19"/>
  <c r="E185" i="19"/>
  <c r="E1676" i="19"/>
  <c r="E1581" i="19"/>
  <c r="E1631" i="19"/>
  <c r="E1667" i="19"/>
  <c r="E1622" i="19"/>
  <c r="E1613" i="19"/>
  <c r="E1640" i="19"/>
  <c r="E1572" i="19"/>
  <c r="E225" i="19"/>
  <c r="E1604" i="19"/>
  <c r="E1590" i="19"/>
  <c r="E165" i="19"/>
  <c r="E215" i="19"/>
  <c r="E1649" i="19"/>
  <c r="G410" i="8"/>
  <c r="G411" i="8" s="1"/>
  <c r="G431" i="8"/>
  <c r="G432" i="8" s="1"/>
  <c r="G422" i="8"/>
  <c r="G423" i="8" s="1"/>
  <c r="G407" i="8"/>
  <c r="G408" i="8" s="1"/>
  <c r="E92" i="4"/>
  <c r="H425" i="8"/>
  <c r="H426" i="8" s="1"/>
  <c r="H422" i="8"/>
  <c r="H423" i="8" s="1"/>
  <c r="H410" i="8"/>
  <c r="H411" i="8" s="1"/>
  <c r="E165" i="4"/>
  <c r="F410" i="8" s="1"/>
  <c r="F411" i="8" s="1"/>
  <c r="E118" i="2"/>
  <c r="E140" i="19"/>
  <c r="E146" i="19"/>
  <c r="E139" i="19"/>
  <c r="E147" i="19"/>
  <c r="E138" i="19"/>
  <c r="E132" i="19"/>
  <c r="E144" i="19"/>
  <c r="E133" i="19"/>
  <c r="C339" i="58"/>
  <c r="F339" i="58" s="1"/>
  <c r="E134" i="19"/>
  <c r="E145" i="19"/>
  <c r="P15" i="50"/>
  <c r="E135" i="19"/>
  <c r="E1516" i="19"/>
  <c r="E1222" i="19"/>
  <c r="E1543" i="19"/>
  <c r="E1249" i="19"/>
  <c r="E1507" i="19"/>
  <c r="E1213" i="19"/>
  <c r="E1561" i="19"/>
  <c r="E1267" i="19"/>
  <c r="E1534" i="19"/>
  <c r="E1240" i="19"/>
  <c r="E1489" i="19"/>
  <c r="E1195" i="19"/>
  <c r="E1498" i="19"/>
  <c r="E1204" i="19"/>
  <c r="E1525" i="19"/>
  <c r="E1231" i="19"/>
  <c r="E1552" i="19"/>
  <c r="E1258" i="19"/>
  <c r="E1407" i="19"/>
  <c r="E1113" i="19"/>
  <c r="E1122" i="19"/>
  <c r="E1416" i="19"/>
  <c r="E1443" i="19"/>
  <c r="E1149" i="19"/>
  <c r="E1185" i="19"/>
  <c r="E1479" i="19"/>
  <c r="E1470" i="19"/>
  <c r="E1176" i="19"/>
  <c r="E1158" i="19"/>
  <c r="E1452" i="19"/>
  <c r="E1140" i="19"/>
  <c r="E1434" i="19"/>
  <c r="E1461" i="19"/>
  <c r="E1167" i="19"/>
  <c r="E1425" i="19"/>
  <c r="E1131" i="19"/>
  <c r="H131" i="2"/>
  <c r="G566" i="19"/>
  <c r="G540" i="19"/>
  <c r="G538" i="19"/>
  <c r="H124" i="2"/>
  <c r="H117" i="2"/>
  <c r="G658" i="6"/>
  <c r="G575" i="19"/>
  <c r="G329" i="6"/>
  <c r="G974" i="19"/>
  <c r="G525" i="6"/>
  <c r="G391" i="19"/>
  <c r="G584" i="19"/>
  <c r="G561" i="19"/>
  <c r="H100" i="2"/>
  <c r="G428" i="6"/>
  <c r="G48" i="6"/>
  <c r="G573" i="19"/>
  <c r="E641" i="6"/>
  <c r="E642" i="6" s="1"/>
  <c r="J11" i="50"/>
  <c r="P11" i="50" s="1"/>
  <c r="E1021" i="19"/>
  <c r="L67" i="62"/>
  <c r="C543" i="8"/>
  <c r="E541" i="8"/>
  <c r="E454" i="2"/>
  <c r="G126" i="19"/>
  <c r="P29" i="50"/>
  <c r="E16" i="52"/>
  <c r="K16" i="52" s="1"/>
  <c r="G654" i="6"/>
  <c r="P24" i="50"/>
  <c r="E647" i="6"/>
  <c r="H17" i="39" l="1"/>
  <c r="G61" i="52"/>
  <c r="E77" i="52"/>
  <c r="G77" i="52"/>
  <c r="F77" i="52"/>
  <c r="H61" i="52"/>
  <c r="I419" i="8"/>
  <c r="I420" i="8" s="1"/>
  <c r="I61" i="52"/>
  <c r="F419" i="8"/>
  <c r="F420" i="8" s="1"/>
  <c r="F413" i="8"/>
  <c r="F414" i="8" s="1"/>
  <c r="H419" i="8"/>
  <c r="H420" i="8" s="1"/>
  <c r="H431" i="8"/>
  <c r="H432" i="8" s="1"/>
  <c r="G416" i="8"/>
  <c r="G417" i="8" s="1"/>
  <c r="G413" i="8"/>
  <c r="G414" i="8" s="1"/>
  <c r="G428" i="8"/>
  <c r="G429" i="8" s="1"/>
  <c r="H407" i="8"/>
  <c r="H408" i="8" s="1"/>
  <c r="I428" i="8"/>
  <c r="I429" i="8" s="1"/>
  <c r="I413" i="8"/>
  <c r="I414" i="8" s="1"/>
  <c r="I407" i="8"/>
  <c r="I408" i="8" s="1"/>
  <c r="F428" i="8"/>
  <c r="F429" i="8" s="1"/>
  <c r="F422" i="8"/>
  <c r="F423" i="8" s="1"/>
  <c r="H416" i="8"/>
  <c r="H417" i="8" s="1"/>
  <c r="H428" i="8"/>
  <c r="H429" i="8" s="1"/>
  <c r="G425" i="8"/>
  <c r="G426" i="8" s="1"/>
  <c r="G419" i="8"/>
  <c r="G420" i="8" s="1"/>
  <c r="H413" i="8"/>
  <c r="H414" i="8" s="1"/>
  <c r="H69" i="52"/>
  <c r="I425" i="8"/>
  <c r="I426" i="8" s="1"/>
  <c r="I416" i="8"/>
  <c r="I417" i="8" s="1"/>
  <c r="I431" i="8"/>
  <c r="I432" i="8" s="1"/>
  <c r="F425" i="8"/>
  <c r="F426" i="8" s="1"/>
  <c r="F407" i="8"/>
  <c r="F408" i="8" s="1"/>
  <c r="G69" i="52"/>
  <c r="H77" i="52"/>
  <c r="I422" i="8"/>
  <c r="I423" i="8" s="1"/>
  <c r="I410" i="8"/>
  <c r="I411" i="8" s="1"/>
  <c r="F431" i="8"/>
  <c r="F432" i="8" s="1"/>
  <c r="G1713" i="19"/>
  <c r="F78" i="52"/>
  <c r="G1590" i="19"/>
  <c r="G1631" i="19"/>
  <c r="E613" i="6"/>
  <c r="F61" i="52"/>
  <c r="G1622" i="19"/>
  <c r="G1676" i="19"/>
  <c r="G1649" i="19"/>
  <c r="G1604" i="19"/>
  <c r="G1613" i="19"/>
  <c r="G1581" i="19"/>
  <c r="G235" i="19"/>
  <c r="G215" i="19"/>
  <c r="G225" i="19"/>
  <c r="G1572" i="19"/>
  <c r="G1667" i="19"/>
  <c r="H121" i="2"/>
  <c r="G1640" i="19"/>
  <c r="G1658" i="19"/>
  <c r="F62" i="52"/>
  <c r="E214" i="19"/>
  <c r="G214" i="19" s="1"/>
  <c r="E1657" i="19"/>
  <c r="G1657" i="19" s="1"/>
  <c r="E1648" i="19"/>
  <c r="G1648" i="19" s="1"/>
  <c r="E184" i="19"/>
  <c r="E1675" i="19"/>
  <c r="G1675" i="19" s="1"/>
  <c r="E1612" i="19"/>
  <c r="G1612" i="19" s="1"/>
  <c r="E224" i="19"/>
  <c r="G224" i="19" s="1"/>
  <c r="E1580" i="19"/>
  <c r="G1580" i="19" s="1"/>
  <c r="E174" i="19"/>
  <c r="E164" i="19"/>
  <c r="E234" i="19"/>
  <c r="G234" i="19" s="1"/>
  <c r="E1630" i="19"/>
  <c r="G1630" i="19" s="1"/>
  <c r="E1603" i="19"/>
  <c r="G1603" i="19" s="1"/>
  <c r="E1571" i="19"/>
  <c r="G1571" i="19" s="1"/>
  <c r="E1621" i="19"/>
  <c r="G1621" i="19" s="1"/>
  <c r="E1666" i="19"/>
  <c r="G1666" i="19" s="1"/>
  <c r="E1589" i="19"/>
  <c r="G1589" i="19" s="1"/>
  <c r="E1639" i="19"/>
  <c r="G1639" i="19" s="1"/>
  <c r="I69" i="52"/>
  <c r="I77" i="52"/>
  <c r="H17" i="60"/>
  <c r="G175" i="19"/>
  <c r="E69" i="52"/>
  <c r="G79" i="52"/>
  <c r="G250" i="58"/>
  <c r="B270" i="58"/>
  <c r="H17" i="61"/>
  <c r="E1665" i="19"/>
  <c r="E1674" i="19"/>
  <c r="E431" i="8"/>
  <c r="E432" i="8" s="1"/>
  <c r="E1103" i="19" s="1"/>
  <c r="E1105" i="19" s="1"/>
  <c r="E328" i="2" s="1"/>
  <c r="E306" i="8" s="1"/>
  <c r="E233" i="19"/>
  <c r="E407" i="8"/>
  <c r="E408" i="8" s="1"/>
  <c r="E1325" i="19" s="1"/>
  <c r="E1327" i="19" s="1"/>
  <c r="D1327" i="19" s="1"/>
  <c r="E419" i="8"/>
  <c r="E420" i="8" s="1"/>
  <c r="E1361" i="19" s="1"/>
  <c r="E1363" i="19" s="1"/>
  <c r="E416" i="8"/>
  <c r="E417" i="8" s="1"/>
  <c r="E1058" i="19" s="1"/>
  <c r="E1060" i="19" s="1"/>
  <c r="E323" i="2" s="1"/>
  <c r="E301" i="8" s="1"/>
  <c r="E422" i="8"/>
  <c r="E423" i="8" s="1"/>
  <c r="E1370" i="19" s="1"/>
  <c r="E1372" i="19" s="1"/>
  <c r="E213" i="19"/>
  <c r="G213" i="19" s="1"/>
  <c r="E428" i="8"/>
  <c r="E429" i="8" s="1"/>
  <c r="E1094" i="19" s="1"/>
  <c r="E1096" i="19" s="1"/>
  <c r="E327" i="2" s="1"/>
  <c r="E305" i="8" s="1"/>
  <c r="E173" i="19"/>
  <c r="G71" i="52" s="1"/>
  <c r="E1656" i="19"/>
  <c r="E1602" i="19"/>
  <c r="E1611" i="19"/>
  <c r="E425" i="8"/>
  <c r="E426" i="8" s="1"/>
  <c r="E1379" i="19" s="1"/>
  <c r="E1381" i="19" s="1"/>
  <c r="E1570" i="19"/>
  <c r="E1647" i="19"/>
  <c r="E1629" i="19"/>
  <c r="G1629" i="19" s="1"/>
  <c r="E1588" i="19"/>
  <c r="E163" i="19"/>
  <c r="E1579" i="19"/>
  <c r="E183" i="19"/>
  <c r="E1620" i="19"/>
  <c r="E413" i="8"/>
  <c r="E414" i="8" s="1"/>
  <c r="E1343" i="19" s="1"/>
  <c r="E1345" i="19" s="1"/>
  <c r="E223" i="19"/>
  <c r="E1638" i="19"/>
  <c r="E410" i="8"/>
  <c r="E411" i="8" s="1"/>
  <c r="E1040" i="19" s="1"/>
  <c r="E1042" i="19" s="1"/>
  <c r="E321" i="2" s="1"/>
  <c r="E299" i="8" s="1"/>
  <c r="G165" i="19"/>
  <c r="G312" i="58"/>
  <c r="E61" i="52"/>
  <c r="G185" i="19"/>
  <c r="E142" i="19"/>
  <c r="E136" i="19"/>
  <c r="E148" i="19"/>
  <c r="G1552" i="19"/>
  <c r="E1554" i="19"/>
  <c r="G1554" i="19" s="1"/>
  <c r="G1204" i="19"/>
  <c r="E1206" i="19"/>
  <c r="E455" i="2"/>
  <c r="G1240" i="19"/>
  <c r="E1242" i="19"/>
  <c r="G1213" i="19"/>
  <c r="E1215" i="19"/>
  <c r="G1222" i="19"/>
  <c r="E1224" i="19"/>
  <c r="G1498" i="19"/>
  <c r="E1500" i="19"/>
  <c r="G1500" i="19" s="1"/>
  <c r="G1534" i="19"/>
  <c r="E1536" i="19"/>
  <c r="G1536" i="19" s="1"/>
  <c r="G1507" i="19"/>
  <c r="E1509" i="19"/>
  <c r="G1509" i="19" s="1"/>
  <c r="G1516" i="19"/>
  <c r="E1518" i="19"/>
  <c r="G1518" i="19" s="1"/>
  <c r="G1231" i="19"/>
  <c r="E1233" i="19"/>
  <c r="G1195" i="19"/>
  <c r="E1197" i="19"/>
  <c r="G1267" i="19"/>
  <c r="E1269" i="19"/>
  <c r="G1249" i="19"/>
  <c r="E1251" i="19"/>
  <c r="G1258" i="19"/>
  <c r="E1260" i="19"/>
  <c r="G1525" i="19"/>
  <c r="E1527" i="19"/>
  <c r="G1527" i="19" s="1"/>
  <c r="G1489" i="19"/>
  <c r="E1491" i="19"/>
  <c r="G1491" i="19" s="1"/>
  <c r="G1561" i="19"/>
  <c r="E1563" i="19"/>
  <c r="G1563" i="19" s="1"/>
  <c r="G1543" i="19"/>
  <c r="E1545" i="19"/>
  <c r="G1545" i="19" s="1"/>
  <c r="G1167" i="19"/>
  <c r="E1169" i="19"/>
  <c r="E1142" i="19"/>
  <c r="G1140" i="19"/>
  <c r="E1454" i="19"/>
  <c r="G1454" i="19" s="1"/>
  <c r="G1452" i="19"/>
  <c r="G1176" i="19"/>
  <c r="E1178" i="19"/>
  <c r="E1481" i="19"/>
  <c r="G1481" i="19" s="1"/>
  <c r="G1479" i="19"/>
  <c r="G1443" i="19"/>
  <c r="E1445" i="19"/>
  <c r="G1445" i="19" s="1"/>
  <c r="E1133" i="19"/>
  <c r="G1131" i="19"/>
  <c r="E1463" i="19"/>
  <c r="G1461" i="19"/>
  <c r="G1158" i="19"/>
  <c r="E1160" i="19"/>
  <c r="E1472" i="19"/>
  <c r="G1472" i="19" s="1"/>
  <c r="G1470" i="19"/>
  <c r="E1187" i="19"/>
  <c r="G1185" i="19"/>
  <c r="G1113" i="19"/>
  <c r="E1115" i="19"/>
  <c r="G1434" i="19"/>
  <c r="E1436" i="19"/>
  <c r="G1436" i="19" s="1"/>
  <c r="E1151" i="19"/>
  <c r="G1149" i="19"/>
  <c r="G1122" i="19"/>
  <c r="E1124" i="19"/>
  <c r="E462" i="2"/>
  <c r="E244" i="2"/>
  <c r="E1427" i="19"/>
  <c r="G1425" i="19"/>
  <c r="G1416" i="19"/>
  <c r="E1418" i="19"/>
  <c r="G1418" i="19" s="1"/>
  <c r="G1407" i="19"/>
  <c r="E1409" i="19"/>
  <c r="G1409" i="19" s="1"/>
  <c r="G66" i="6"/>
  <c r="G1013" i="19"/>
  <c r="G57" i="6"/>
  <c r="G77" i="6"/>
  <c r="G250" i="6"/>
  <c r="G112" i="19"/>
  <c r="G118" i="19"/>
  <c r="G76" i="6"/>
  <c r="G225" i="6"/>
  <c r="G1012" i="19"/>
  <c r="G74" i="6"/>
  <c r="G431" i="6"/>
  <c r="G528" i="6"/>
  <c r="G332" i="6"/>
  <c r="G212" i="6"/>
  <c r="G979" i="19"/>
  <c r="G1011" i="19"/>
  <c r="H118" i="2"/>
  <c r="G1767" i="19"/>
  <c r="E1792" i="19"/>
  <c r="E1795" i="19" s="1"/>
  <c r="E1782" i="19"/>
  <c r="E453" i="2"/>
  <c r="C544" i="8"/>
  <c r="E542" i="8"/>
  <c r="E1775" i="19"/>
  <c r="G115" i="19"/>
  <c r="E130" i="6"/>
  <c r="G139" i="19"/>
  <c r="G145" i="19"/>
  <c r="G133" i="19"/>
  <c r="G127" i="19"/>
  <c r="G134" i="19"/>
  <c r="G140" i="19"/>
  <c r="G146" i="19"/>
  <c r="G128" i="19"/>
  <c r="E648" i="6"/>
  <c r="G124" i="19"/>
  <c r="G121" i="19"/>
  <c r="G109" i="19"/>
  <c r="I63" i="52" l="1"/>
  <c r="H63" i="52"/>
  <c r="F63" i="52"/>
  <c r="K77" i="52"/>
  <c r="G184" i="19"/>
  <c r="I78" i="52"/>
  <c r="H78" i="52"/>
  <c r="G78" i="52"/>
  <c r="G174" i="19"/>
  <c r="I70" i="52"/>
  <c r="H70" i="52"/>
  <c r="F70" i="52"/>
  <c r="G70" i="52"/>
  <c r="E283" i="58"/>
  <c r="I71" i="52"/>
  <c r="F71" i="52"/>
  <c r="H71" i="52"/>
  <c r="E79" i="52"/>
  <c r="F79" i="52"/>
  <c r="I79" i="52"/>
  <c r="K79" i="52" s="1"/>
  <c r="H79" i="52"/>
  <c r="G63" i="52"/>
  <c r="G164" i="19"/>
  <c r="G62" i="52"/>
  <c r="I62" i="52"/>
  <c r="H62" i="52"/>
  <c r="G1782" i="19"/>
  <c r="E312" i="58"/>
  <c r="G1775" i="19"/>
  <c r="G1772" i="19"/>
  <c r="K61" i="52"/>
  <c r="G1795" i="19"/>
  <c r="G613" i="6"/>
  <c r="J17" i="39"/>
  <c r="E1644" i="19"/>
  <c r="E1617" i="19"/>
  <c r="E62" i="52"/>
  <c r="E1574" i="19"/>
  <c r="E1662" i="19"/>
  <c r="F250" i="58"/>
  <c r="E1592" i="19"/>
  <c r="E70" i="52"/>
  <c r="E1680" i="19"/>
  <c r="J17" i="60"/>
  <c r="E1608" i="19"/>
  <c r="E219" i="19"/>
  <c r="G219" i="19" s="1"/>
  <c r="K69" i="52"/>
  <c r="F283" i="58"/>
  <c r="H283" i="58" s="1"/>
  <c r="J17" i="61"/>
  <c r="E1635" i="19"/>
  <c r="F312" i="58"/>
  <c r="E1583" i="19"/>
  <c r="E1671" i="19"/>
  <c r="E78" i="52"/>
  <c r="E229" i="19"/>
  <c r="G229" i="19" s="1"/>
  <c r="E1653" i="19"/>
  <c r="E239" i="19"/>
  <c r="G239" i="19" s="1"/>
  <c r="E1626" i="19"/>
  <c r="E209" i="19"/>
  <c r="L10" i="61" s="1"/>
  <c r="G1611" i="19"/>
  <c r="G1579" i="19"/>
  <c r="G183" i="19"/>
  <c r="E1067" i="19"/>
  <c r="E1069" i="19" s="1"/>
  <c r="E324" i="2" s="1"/>
  <c r="E302" i="8" s="1"/>
  <c r="G1656" i="19"/>
  <c r="G1370" i="19"/>
  <c r="G1325" i="19"/>
  <c r="E1397" i="19"/>
  <c r="E1399" i="19" s="1"/>
  <c r="E518" i="6" s="1"/>
  <c r="G1570" i="19"/>
  <c r="E250" i="58"/>
  <c r="H250" i="58" s="1"/>
  <c r="L17" i="60"/>
  <c r="G173" i="19"/>
  <c r="G1094" i="19"/>
  <c r="G1103" i="19"/>
  <c r="E1717" i="19"/>
  <c r="G1717" i="19" s="1"/>
  <c r="H327" i="2"/>
  <c r="G1620" i="19"/>
  <c r="E1718" i="19"/>
  <c r="G1718" i="19" s="1"/>
  <c r="G1588" i="19"/>
  <c r="E71" i="52"/>
  <c r="E1388" i="19"/>
  <c r="E1390" i="19" s="1"/>
  <c r="G1390" i="19" s="1"/>
  <c r="L17" i="61"/>
  <c r="G1638" i="19"/>
  <c r="G1674" i="19"/>
  <c r="E208" i="19"/>
  <c r="E423" i="19" s="1"/>
  <c r="G1379" i="19"/>
  <c r="G1040" i="19"/>
  <c r="G1361" i="19"/>
  <c r="E1334" i="19"/>
  <c r="E1336" i="19" s="1"/>
  <c r="G1336" i="19" s="1"/>
  <c r="E1085" i="19"/>
  <c r="E1087" i="19" s="1"/>
  <c r="E326" i="2" s="1"/>
  <c r="E304" i="8" s="1"/>
  <c r="G1058" i="19"/>
  <c r="E1352" i="19"/>
  <c r="E1354" i="19" s="1"/>
  <c r="G1354" i="19" s="1"/>
  <c r="E1076" i="19"/>
  <c r="E1078" i="19" s="1"/>
  <c r="E325" i="2" s="1"/>
  <c r="E303" i="8" s="1"/>
  <c r="G1647" i="19"/>
  <c r="G223" i="19"/>
  <c r="G1343" i="19"/>
  <c r="E1716" i="19"/>
  <c r="G1716" i="19" s="1"/>
  <c r="G1602" i="19"/>
  <c r="L17" i="39"/>
  <c r="E1031" i="19"/>
  <c r="E1033" i="19" s="1"/>
  <c r="E320" i="2" s="1"/>
  <c r="E298" i="8" s="1"/>
  <c r="G1665" i="19"/>
  <c r="E1049" i="19"/>
  <c r="E1051" i="19" s="1"/>
  <c r="E322" i="2" s="1"/>
  <c r="E300" i="8" s="1"/>
  <c r="G163" i="19"/>
  <c r="E63" i="52"/>
  <c r="K63" i="52" s="1"/>
  <c r="G233" i="19"/>
  <c r="E207" i="19"/>
  <c r="E191" i="19"/>
  <c r="E248" i="2"/>
  <c r="D248" i="1" s="1"/>
  <c r="E247" i="2"/>
  <c r="D247" i="1" s="1"/>
  <c r="E246" i="2"/>
  <c r="D246" i="1" s="1"/>
  <c r="G1251" i="19"/>
  <c r="E344" i="2"/>
  <c r="G1197" i="19"/>
  <c r="E338" i="2"/>
  <c r="E339" i="2"/>
  <c r="G1206" i="19"/>
  <c r="E341" i="2"/>
  <c r="G1224" i="19"/>
  <c r="E343" i="2"/>
  <c r="G1242" i="19"/>
  <c r="E419" i="6"/>
  <c r="E345" i="2"/>
  <c r="G1260" i="19"/>
  <c r="E346" i="2"/>
  <c r="G1269" i="19"/>
  <c r="G1233" i="19"/>
  <c r="E342" i="2"/>
  <c r="E340" i="2"/>
  <c r="G1215" i="19"/>
  <c r="E420" i="6"/>
  <c r="E458" i="2"/>
  <c r="E242" i="2"/>
  <c r="E460" i="2"/>
  <c r="E243" i="2"/>
  <c r="D244" i="1"/>
  <c r="G1187" i="19"/>
  <c r="E337" i="2"/>
  <c r="G1169" i="19"/>
  <c r="E335" i="2"/>
  <c r="E334" i="2"/>
  <c r="G1160" i="19"/>
  <c r="G1463" i="19"/>
  <c r="E516" i="6"/>
  <c r="G1142" i="19"/>
  <c r="E332" i="2"/>
  <c r="G1115" i="19"/>
  <c r="E329" i="2"/>
  <c r="E331" i="2"/>
  <c r="G1133" i="19"/>
  <c r="E320" i="6"/>
  <c r="E330" i="2"/>
  <c r="G1124" i="19"/>
  <c r="G1427" i="19"/>
  <c r="E322" i="6"/>
  <c r="G1151" i="19"/>
  <c r="E333" i="2"/>
  <c r="E336" i="2"/>
  <c r="G1178" i="19"/>
  <c r="G75" i="6"/>
  <c r="G63" i="6"/>
  <c r="G659" i="6"/>
  <c r="G256" i="6"/>
  <c r="G86" i="6"/>
  <c r="G1327" i="19"/>
  <c r="G54" i="6"/>
  <c r="G1018" i="19"/>
  <c r="G72" i="6"/>
  <c r="G1363" i="19"/>
  <c r="G1019" i="19"/>
  <c r="G1381" i="19"/>
  <c r="G1345" i="19"/>
  <c r="H323" i="2"/>
  <c r="G1060" i="19"/>
  <c r="G1020" i="19"/>
  <c r="G231" i="6"/>
  <c r="G218" i="6"/>
  <c r="H321" i="2"/>
  <c r="G1042" i="19"/>
  <c r="H328" i="2"/>
  <c r="G1105" i="19"/>
  <c r="G84" i="6"/>
  <c r="G1792" i="19"/>
  <c r="E1785" i="19"/>
  <c r="G1785" i="19" s="1"/>
  <c r="E543" i="8"/>
  <c r="C545" i="8"/>
  <c r="G129" i="19"/>
  <c r="K71" i="52" l="1"/>
  <c r="K78" i="52"/>
  <c r="K70" i="52"/>
  <c r="K62" i="52"/>
  <c r="H312" i="58"/>
  <c r="E253" i="58"/>
  <c r="E1645" i="19"/>
  <c r="G1644" i="19"/>
  <c r="G1635" i="19"/>
  <c r="E1636" i="19" s="1"/>
  <c r="E1609" i="19"/>
  <c r="G1617" i="19"/>
  <c r="E1618" i="19" s="1"/>
  <c r="G1608" i="19"/>
  <c r="G1574" i="19"/>
  <c r="E1575" i="19" s="1"/>
  <c r="G1592" i="19"/>
  <c r="E1593" i="19" s="1"/>
  <c r="G1662" i="19"/>
  <c r="E1663" i="19" s="1"/>
  <c r="G1680" i="19"/>
  <c r="E1681" i="19" s="1"/>
  <c r="G1653" i="19"/>
  <c r="E1654" i="19" s="1"/>
  <c r="G1583" i="19"/>
  <c r="E1584" i="19" s="1"/>
  <c r="G1626" i="19"/>
  <c r="G1671" i="19"/>
  <c r="E1672" i="19" s="1"/>
  <c r="G1069" i="19"/>
  <c r="E248" i="19"/>
  <c r="L199" i="56" s="1"/>
  <c r="G1087" i="19"/>
  <c r="G1085" i="19"/>
  <c r="E1627" i="19"/>
  <c r="E517" i="6"/>
  <c r="E519" i="6" s="1"/>
  <c r="H324" i="2"/>
  <c r="H326" i="2"/>
  <c r="G1067" i="19"/>
  <c r="G209" i="19"/>
  <c r="G1096" i="19"/>
  <c r="E424" i="19"/>
  <c r="E42" i="6"/>
  <c r="F36" i="52" s="1"/>
  <c r="T87" i="39"/>
  <c r="G1031" i="19"/>
  <c r="E321" i="6"/>
  <c r="E323" i="6" s="1"/>
  <c r="H325" i="2"/>
  <c r="G1399" i="19"/>
  <c r="G1033" i="19"/>
  <c r="G1397" i="19"/>
  <c r="D1033" i="19"/>
  <c r="H320" i="2"/>
  <c r="G208" i="19"/>
  <c r="G1334" i="19"/>
  <c r="T67" i="39"/>
  <c r="G1372" i="19"/>
  <c r="G191" i="19"/>
  <c r="G1078" i="19"/>
  <c r="G1076" i="19"/>
  <c r="G1388" i="19"/>
  <c r="E41" i="6"/>
  <c r="G35" i="52" s="1"/>
  <c r="E1719" i="19"/>
  <c r="E1768" i="19" s="1"/>
  <c r="E1783" i="19" s="1"/>
  <c r="E1786" i="19" s="1"/>
  <c r="E350" i="2"/>
  <c r="H350" i="2" s="1"/>
  <c r="L10" i="60"/>
  <c r="T77" i="39"/>
  <c r="G423" i="19"/>
  <c r="E418" i="6"/>
  <c r="G418" i="6" s="1"/>
  <c r="G1352" i="19"/>
  <c r="G207" i="19"/>
  <c r="E422" i="19"/>
  <c r="G1051" i="19"/>
  <c r="G1049" i="19"/>
  <c r="L10" i="39"/>
  <c r="H322" i="2"/>
  <c r="E40" i="6"/>
  <c r="H34" i="52" s="1"/>
  <c r="H248" i="2"/>
  <c r="G420" i="6"/>
  <c r="H246" i="2"/>
  <c r="H247" i="2"/>
  <c r="G419" i="6"/>
  <c r="G322" i="6"/>
  <c r="E324" i="8"/>
  <c r="H346" i="2"/>
  <c r="H344" i="2"/>
  <c r="E322" i="8"/>
  <c r="H340" i="2"/>
  <c r="E318" i="8"/>
  <c r="E320" i="8"/>
  <c r="H342" i="2"/>
  <c r="E321" i="8"/>
  <c r="H343" i="2"/>
  <c r="H339" i="2"/>
  <c r="E317" i="8"/>
  <c r="H455" i="2"/>
  <c r="E323" i="8"/>
  <c r="H345" i="2"/>
  <c r="H338" i="2"/>
  <c r="E316" i="8"/>
  <c r="E407" i="2"/>
  <c r="H341" i="2"/>
  <c r="E319" i="8"/>
  <c r="H244" i="2"/>
  <c r="H462" i="2"/>
  <c r="H458" i="2"/>
  <c r="H335" i="2"/>
  <c r="E313" i="8"/>
  <c r="N62" i="40" s="1"/>
  <c r="G518" i="6"/>
  <c r="E307" i="8"/>
  <c r="H329" i="2"/>
  <c r="D242" i="1"/>
  <c r="H242" i="2"/>
  <c r="H454" i="2"/>
  <c r="E406" i="2"/>
  <c r="E314" i="8"/>
  <c r="H336" i="2"/>
  <c r="H332" i="2"/>
  <c r="E310" i="8"/>
  <c r="N51" i="40" s="1"/>
  <c r="E315" i="8"/>
  <c r="H337" i="2"/>
  <c r="D243" i="1"/>
  <c r="H243" i="2"/>
  <c r="H333" i="2"/>
  <c r="E311" i="8"/>
  <c r="E308" i="8"/>
  <c r="H330" i="2"/>
  <c r="H331" i="2"/>
  <c r="E309" i="8"/>
  <c r="H334" i="2"/>
  <c r="E312" i="8"/>
  <c r="H460" i="2"/>
  <c r="G1014" i="19"/>
  <c r="H603" i="2"/>
  <c r="G85" i="6"/>
  <c r="G662" i="6"/>
  <c r="G657" i="6"/>
  <c r="G516" i="6"/>
  <c r="G320" i="6"/>
  <c r="G1021" i="19"/>
  <c r="H453" i="2"/>
  <c r="C546" i="8"/>
  <c r="E544" i="8"/>
  <c r="E225" i="2"/>
  <c r="E8" i="19"/>
  <c r="G144" i="19"/>
  <c r="G135" i="19"/>
  <c r="G141" i="19"/>
  <c r="G132" i="19"/>
  <c r="I34" i="52" l="1"/>
  <c r="G36" i="52"/>
  <c r="J7" i="50"/>
  <c r="F34" i="52"/>
  <c r="F37" i="52" s="1"/>
  <c r="G42" i="6"/>
  <c r="I36" i="52"/>
  <c r="H36" i="52"/>
  <c r="H35" i="52"/>
  <c r="H37" i="52" s="1"/>
  <c r="F35" i="52"/>
  <c r="I35" i="52"/>
  <c r="G34" i="52"/>
  <c r="P25" i="50"/>
  <c r="G37" i="52"/>
  <c r="G87" i="6"/>
  <c r="H574" i="2"/>
  <c r="G1645" i="19"/>
  <c r="G1618" i="19"/>
  <c r="G1627" i="19"/>
  <c r="G1654" i="19"/>
  <c r="G1636" i="19"/>
  <c r="G1609" i="19"/>
  <c r="G1681" i="19"/>
  <c r="G1672" i="19"/>
  <c r="G1663" i="19"/>
  <c r="G1575" i="19"/>
  <c r="G1593" i="19"/>
  <c r="G1584" i="19"/>
  <c r="N7" i="50"/>
  <c r="G248" i="19"/>
  <c r="I37" i="52"/>
  <c r="G517" i="6"/>
  <c r="G147" i="19"/>
  <c r="E1793" i="19"/>
  <c r="E1796" i="19" s="1"/>
  <c r="G1796" i="19" s="1"/>
  <c r="E240" i="2"/>
  <c r="D240" i="1" s="1"/>
  <c r="E36" i="52"/>
  <c r="K36" i="52" s="1"/>
  <c r="G424" i="19"/>
  <c r="G321" i="6"/>
  <c r="E461" i="2"/>
  <c r="E143" i="6"/>
  <c r="G143" i="6" s="1"/>
  <c r="E238" i="2"/>
  <c r="D238" i="1" s="1"/>
  <c r="E421" i="6"/>
  <c r="E34" i="52"/>
  <c r="K34" i="52" s="1"/>
  <c r="G1719" i="19"/>
  <c r="G40" i="6"/>
  <c r="E1773" i="19"/>
  <c r="E1776" i="19" s="1"/>
  <c r="E457" i="2"/>
  <c r="G1768" i="19"/>
  <c r="E1728" i="19"/>
  <c r="E1720" i="19" s="1"/>
  <c r="G422" i="19"/>
  <c r="E239" i="2"/>
  <c r="D239" i="1" s="1"/>
  <c r="E459" i="2"/>
  <c r="L7" i="50"/>
  <c r="E35" i="52"/>
  <c r="G41" i="6"/>
  <c r="E142" i="6"/>
  <c r="G142" i="6" s="1"/>
  <c r="E141" i="6"/>
  <c r="G141" i="6" s="1"/>
  <c r="E43" i="6"/>
  <c r="E355" i="6"/>
  <c r="E360" i="6"/>
  <c r="H407" i="2"/>
  <c r="N54" i="40"/>
  <c r="N68" i="40"/>
  <c r="N46" i="40"/>
  <c r="N65" i="40"/>
  <c r="N57" i="40"/>
  <c r="N43" i="40"/>
  <c r="E383" i="2"/>
  <c r="E439" i="2"/>
  <c r="E415" i="2"/>
  <c r="E551" i="6"/>
  <c r="E554" i="6"/>
  <c r="E438" i="2"/>
  <c r="E414" i="2"/>
  <c r="H406" i="2"/>
  <c r="N40" i="40"/>
  <c r="J15" i="40"/>
  <c r="G641" i="6"/>
  <c r="G642" i="6"/>
  <c r="G519" i="6"/>
  <c r="G1786" i="19"/>
  <c r="G1783" i="19"/>
  <c r="G323" i="6"/>
  <c r="E65" i="2"/>
  <c r="E545" i="8"/>
  <c r="C547" i="8"/>
  <c r="E6" i="19"/>
  <c r="E227" i="2"/>
  <c r="E62" i="2"/>
  <c r="D225" i="1"/>
  <c r="E44" i="52"/>
  <c r="E42" i="52"/>
  <c r="E202" i="19"/>
  <c r="E34" i="6" s="1"/>
  <c r="E7" i="19"/>
  <c r="E226" i="2"/>
  <c r="E408" i="2" s="1"/>
  <c r="E9" i="19"/>
  <c r="E1738" i="19" s="1"/>
  <c r="G136" i="19"/>
  <c r="G142" i="19"/>
  <c r="G138" i="19"/>
  <c r="K35" i="52" l="1"/>
  <c r="F106" i="36"/>
  <c r="G148" i="19"/>
  <c r="G106" i="36"/>
  <c r="G9" i="52"/>
  <c r="G421" i="6"/>
  <c r="G1793" i="19"/>
  <c r="H106" i="36"/>
  <c r="E1726" i="19"/>
  <c r="G1726" i="19" s="1"/>
  <c r="H9" i="52"/>
  <c r="H239" i="2"/>
  <c r="H240" i="2"/>
  <c r="E611" i="6"/>
  <c r="E249" i="2"/>
  <c r="D249" i="1" s="1"/>
  <c r="G1773" i="19"/>
  <c r="E5" i="2"/>
  <c r="D5" i="1" s="1"/>
  <c r="E639" i="6"/>
  <c r="F9" i="52" s="1"/>
  <c r="E40" i="2"/>
  <c r="H461" i="2"/>
  <c r="H238" i="2"/>
  <c r="E455" i="6"/>
  <c r="G455" i="6" s="1"/>
  <c r="E460" i="6"/>
  <c r="E299" i="6" s="1"/>
  <c r="G1728" i="19"/>
  <c r="E1714" i="19"/>
  <c r="H457" i="2"/>
  <c r="E37" i="52"/>
  <c r="K37" i="52" s="1"/>
  <c r="P7" i="50"/>
  <c r="J8" i="50" s="1"/>
  <c r="C338" i="58"/>
  <c r="F338" i="58" s="1"/>
  <c r="H459" i="2"/>
  <c r="E405" i="2"/>
  <c r="H405" i="2" s="1"/>
  <c r="E144" i="6"/>
  <c r="E147" i="6" s="1"/>
  <c r="E193" i="6" s="1"/>
  <c r="G43" i="6"/>
  <c r="G355" i="6"/>
  <c r="H438" i="2"/>
  <c r="H439" i="2"/>
  <c r="H415" i="2"/>
  <c r="H383" i="2"/>
  <c r="E384" i="2"/>
  <c r="E411" i="2"/>
  <c r="E410" i="2"/>
  <c r="H414" i="2"/>
  <c r="H382" i="2"/>
  <c r="G647" i="6"/>
  <c r="G551" i="6"/>
  <c r="G130" i="6"/>
  <c r="G360" i="6"/>
  <c r="G648" i="6"/>
  <c r="G554" i="6"/>
  <c r="E68" i="2"/>
  <c r="D62" i="1"/>
  <c r="H62" i="2"/>
  <c r="D64" i="1"/>
  <c r="D65" i="1"/>
  <c r="E546" i="8"/>
  <c r="C548" i="8"/>
  <c r="D58" i="1"/>
  <c r="E409" i="2"/>
  <c r="E56" i="52"/>
  <c r="E204" i="19"/>
  <c r="E36" i="6" s="1"/>
  <c r="E54" i="52"/>
  <c r="D227" i="1"/>
  <c r="D226" i="1"/>
  <c r="E50" i="52"/>
  <c r="E48" i="52"/>
  <c r="E203" i="19"/>
  <c r="E1737" i="19"/>
  <c r="E41" i="2"/>
  <c r="E1698" i="19"/>
  <c r="E1736" i="19"/>
  <c r="I48" i="52"/>
  <c r="I50" i="52"/>
  <c r="I9" i="52" l="1"/>
  <c r="I106" i="36"/>
  <c r="N8" i="50"/>
  <c r="L8" i="50"/>
  <c r="P8" i="50" s="1"/>
  <c r="E600" i="2"/>
  <c r="O174" i="5" s="1"/>
  <c r="E571" i="2"/>
  <c r="G11" i="52"/>
  <c r="G116" i="36"/>
  <c r="E206" i="6"/>
  <c r="E617" i="6"/>
  <c r="E613" i="2" s="1"/>
  <c r="O191" i="5" s="1"/>
  <c r="E695" i="6"/>
  <c r="H12" i="15" s="1"/>
  <c r="H9" i="14"/>
  <c r="E655" i="6"/>
  <c r="G655" i="6" s="1"/>
  <c r="E106" i="36"/>
  <c r="E413" i="2"/>
  <c r="H413" i="2" s="1"/>
  <c r="L39" i="62"/>
  <c r="G144" i="6"/>
  <c r="E381" i="2"/>
  <c r="N181" i="56"/>
  <c r="E207" i="6"/>
  <c r="N37" i="50" s="1"/>
  <c r="G639" i="6"/>
  <c r="E268" i="6"/>
  <c r="J32" i="50" s="1"/>
  <c r="E649" i="6"/>
  <c r="G13" i="52" s="1"/>
  <c r="G14" i="52" s="1"/>
  <c r="E205" i="6"/>
  <c r="J37" i="50" s="1"/>
  <c r="G611" i="6"/>
  <c r="I11" i="52"/>
  <c r="I116" i="36"/>
  <c r="I13" i="52"/>
  <c r="I14" i="52" s="1"/>
  <c r="H116" i="36"/>
  <c r="H13" i="52"/>
  <c r="H14" i="52" s="1"/>
  <c r="H11" i="52"/>
  <c r="H5" i="2"/>
  <c r="G460" i="6"/>
  <c r="E301" i="6"/>
  <c r="E583" i="6" s="1"/>
  <c r="E300" i="6"/>
  <c r="E479" i="6" s="1"/>
  <c r="H249" i="2"/>
  <c r="D40" i="1"/>
  <c r="H40" i="2"/>
  <c r="E148" i="6"/>
  <c r="E245" i="6" s="1"/>
  <c r="E437" i="2"/>
  <c r="H437" i="2" s="1"/>
  <c r="E670" i="6"/>
  <c r="G670" i="6" s="1"/>
  <c r="E38" i="2"/>
  <c r="D38" i="1" s="1"/>
  <c r="E174" i="5"/>
  <c r="E9" i="52"/>
  <c r="K9" i="52" s="1"/>
  <c r="E131" i="6"/>
  <c r="E219" i="6"/>
  <c r="E149" i="6"/>
  <c r="E259" i="6" s="1"/>
  <c r="N31" i="50" s="1"/>
  <c r="E257" i="6"/>
  <c r="J31" i="50" s="1"/>
  <c r="E126" i="6"/>
  <c r="J13" i="50" s="1"/>
  <c r="E244" i="6"/>
  <c r="J30" i="50" s="1"/>
  <c r="E199" i="6"/>
  <c r="J23" i="50" s="1"/>
  <c r="J24" i="50" s="1"/>
  <c r="J25" i="50" s="1"/>
  <c r="E232" i="6"/>
  <c r="H50" i="52"/>
  <c r="E400" i="6"/>
  <c r="E392" i="6"/>
  <c r="E367" i="6"/>
  <c r="E368" i="6" s="1"/>
  <c r="E371" i="6"/>
  <c r="E376" i="6"/>
  <c r="E383" i="6"/>
  <c r="E342" i="6"/>
  <c r="E343" i="6"/>
  <c r="E352" i="6"/>
  <c r="E381" i="6"/>
  <c r="E349" i="6"/>
  <c r="E389" i="6"/>
  <c r="E373" i="6"/>
  <c r="E396" i="6"/>
  <c r="E336" i="6"/>
  <c r="E337" i="6"/>
  <c r="E350" i="6"/>
  <c r="E325" i="6"/>
  <c r="E369" i="6"/>
  <c r="E380" i="6"/>
  <c r="E351" i="6"/>
  <c r="E338" i="6"/>
  <c r="E344" i="6"/>
  <c r="E390" i="6"/>
  <c r="E345" i="6"/>
  <c r="E372" i="6"/>
  <c r="E391" i="6"/>
  <c r="E386" i="6"/>
  <c r="E335" i="6"/>
  <c r="E382" i="6"/>
  <c r="G147" i="6"/>
  <c r="G299" i="6"/>
  <c r="D61" i="1"/>
  <c r="H61" i="2"/>
  <c r="H64" i="2"/>
  <c r="H65" i="2"/>
  <c r="D67" i="1"/>
  <c r="H67" i="2"/>
  <c r="D68" i="1"/>
  <c r="H68" i="2"/>
  <c r="C549" i="8"/>
  <c r="E548" i="8" s="1"/>
  <c r="E547" i="8"/>
  <c r="H48" i="52"/>
  <c r="H226" i="2"/>
  <c r="G7" i="19"/>
  <c r="H58" i="2"/>
  <c r="D72" i="1"/>
  <c r="H72" i="2"/>
  <c r="E73" i="2"/>
  <c r="E52" i="2"/>
  <c r="D200" i="58"/>
  <c r="E1701" i="19"/>
  <c r="E1700" i="19"/>
  <c r="E1699" i="19"/>
  <c r="G56" i="52"/>
  <c r="G54" i="52"/>
  <c r="G8" i="19"/>
  <c r="F50" i="52"/>
  <c r="F48" i="52"/>
  <c r="G1698" i="19"/>
  <c r="D202" i="58"/>
  <c r="E54" i="2"/>
  <c r="F56" i="52"/>
  <c r="F54" i="52"/>
  <c r="H227" i="2"/>
  <c r="G50" i="52"/>
  <c r="G48" i="52"/>
  <c r="I56" i="52"/>
  <c r="I54" i="52"/>
  <c r="G42" i="52"/>
  <c r="G44" i="52"/>
  <c r="G6" i="19"/>
  <c r="E35" i="6"/>
  <c r="H56" i="52"/>
  <c r="H54" i="52"/>
  <c r="G9" i="19"/>
  <c r="D41" i="1"/>
  <c r="I44" i="52"/>
  <c r="I42" i="52"/>
  <c r="F42" i="52"/>
  <c r="F44" i="52"/>
  <c r="H225" i="2"/>
  <c r="H44" i="52"/>
  <c r="H42" i="52"/>
  <c r="F13" i="52" l="1"/>
  <c r="F14" i="52" s="1"/>
  <c r="F11" i="52"/>
  <c r="F116" i="36"/>
  <c r="N38" i="50"/>
  <c r="L38" i="50"/>
  <c r="J38" i="50"/>
  <c r="P38" i="50"/>
  <c r="H600" i="2"/>
  <c r="E572" i="2"/>
  <c r="K175" i="5" s="1"/>
  <c r="E601" i="2"/>
  <c r="H571" i="2"/>
  <c r="K174" i="5"/>
  <c r="E494" i="6"/>
  <c r="G494" i="6" s="1"/>
  <c r="E584" i="2"/>
  <c r="H613" i="2"/>
  <c r="E385" i="19"/>
  <c r="G649" i="6"/>
  <c r="L37" i="50"/>
  <c r="E586" i="6"/>
  <c r="G586" i="6" s="1"/>
  <c r="G617" i="6"/>
  <c r="G206" i="6"/>
  <c r="G301" i="6"/>
  <c r="E175" i="5"/>
  <c r="E191" i="5"/>
  <c r="E448" i="6"/>
  <c r="G448" i="6" s="1"/>
  <c r="G207" i="6"/>
  <c r="E116" i="36"/>
  <c r="E650" i="6"/>
  <c r="E11" i="52"/>
  <c r="K11" i="52" s="1"/>
  <c r="E13" i="52"/>
  <c r="K13" i="52" s="1"/>
  <c r="E587" i="6"/>
  <c r="G587" i="6" s="1"/>
  <c r="E580" i="6"/>
  <c r="G580" i="6" s="1"/>
  <c r="E571" i="6"/>
  <c r="G571" i="6" s="1"/>
  <c r="E374" i="6"/>
  <c r="E567" i="6"/>
  <c r="E531" i="6"/>
  <c r="G531" i="6" s="1"/>
  <c r="E541" i="6"/>
  <c r="G541" i="6" s="1"/>
  <c r="E533" i="6"/>
  <c r="G533" i="6" s="1"/>
  <c r="E564" i="6"/>
  <c r="E565" i="6" s="1"/>
  <c r="E521" i="6"/>
  <c r="G521" i="6" s="1"/>
  <c r="E545" i="6"/>
  <c r="G545" i="6" s="1"/>
  <c r="E538" i="6"/>
  <c r="G538" i="6" s="1"/>
  <c r="E578" i="6"/>
  <c r="G578" i="6" s="1"/>
  <c r="E547" i="6"/>
  <c r="G547" i="6" s="1"/>
  <c r="E534" i="6"/>
  <c r="G534" i="6" s="1"/>
  <c r="J29" i="50"/>
  <c r="E133" i="6"/>
  <c r="N14" i="50" s="1"/>
  <c r="G695" i="6"/>
  <c r="E484" i="6"/>
  <c r="G484" i="6" s="1"/>
  <c r="E258" i="6"/>
  <c r="L31" i="50" s="1"/>
  <c r="E444" i="6"/>
  <c r="G444" i="6" s="1"/>
  <c r="E423" i="6"/>
  <c r="H381" i="2"/>
  <c r="G245" i="6"/>
  <c r="E478" i="6"/>
  <c r="E451" i="6"/>
  <c r="G451" i="6" s="1"/>
  <c r="E194" i="6"/>
  <c r="G194" i="6" s="1"/>
  <c r="G205" i="6"/>
  <c r="E442" i="6"/>
  <c r="G442" i="6" s="1"/>
  <c r="E435" i="6"/>
  <c r="G435" i="6" s="1"/>
  <c r="E246" i="6"/>
  <c r="N30" i="50" s="1"/>
  <c r="E220" i="6"/>
  <c r="L29" i="50" s="1"/>
  <c r="G300" i="6"/>
  <c r="E468" i="6"/>
  <c r="G468" i="6" s="1"/>
  <c r="E490" i="6"/>
  <c r="G490" i="6" s="1"/>
  <c r="E472" i="6"/>
  <c r="G472" i="6" s="1"/>
  <c r="E466" i="6"/>
  <c r="E467" i="6" s="1"/>
  <c r="G149" i="6"/>
  <c r="E579" i="6"/>
  <c r="G579" i="6" s="1"/>
  <c r="E577" i="6"/>
  <c r="G577" i="6" s="1"/>
  <c r="E589" i="6"/>
  <c r="E566" i="6"/>
  <c r="E540" i="6"/>
  <c r="G540" i="6" s="1"/>
  <c r="E546" i="6"/>
  <c r="E539" i="6"/>
  <c r="G539" i="6" s="1"/>
  <c r="E572" i="6"/>
  <c r="G572" i="6" s="1"/>
  <c r="E481" i="6"/>
  <c r="G481" i="6" s="1"/>
  <c r="E489" i="6"/>
  <c r="G489" i="6" s="1"/>
  <c r="E450" i="6"/>
  <c r="G450" i="6" s="1"/>
  <c r="E449" i="6"/>
  <c r="E488" i="6"/>
  <c r="G488" i="6" s="1"/>
  <c r="E434" i="6"/>
  <c r="G434" i="6" s="1"/>
  <c r="E487" i="6"/>
  <c r="G487" i="6" s="1"/>
  <c r="E471" i="6"/>
  <c r="G471" i="6" s="1"/>
  <c r="E221" i="6"/>
  <c r="N29" i="50" s="1"/>
  <c r="E195" i="6"/>
  <c r="G195" i="6" s="1"/>
  <c r="E127" i="6"/>
  <c r="L13" i="50" s="1"/>
  <c r="E269" i="6"/>
  <c r="L32" i="50" s="1"/>
  <c r="E128" i="6"/>
  <c r="L30" i="50"/>
  <c r="G199" i="6"/>
  <c r="E470" i="6"/>
  <c r="E437" i="6"/>
  <c r="G437" i="6" s="1"/>
  <c r="E597" i="6"/>
  <c r="G597" i="6" s="1"/>
  <c r="E593" i="6"/>
  <c r="G593" i="6" s="1"/>
  <c r="E532" i="6"/>
  <c r="G532" i="6" s="1"/>
  <c r="E588" i="6"/>
  <c r="G588" i="6" s="1"/>
  <c r="E548" i="6"/>
  <c r="G548" i="6" s="1"/>
  <c r="E570" i="6"/>
  <c r="E498" i="6"/>
  <c r="G498" i="6" s="1"/>
  <c r="E475" i="6"/>
  <c r="G475" i="6" s="1"/>
  <c r="E436" i="6"/>
  <c r="G436" i="6" s="1"/>
  <c r="E443" i="6"/>
  <c r="G443" i="6" s="1"/>
  <c r="E441" i="6"/>
  <c r="G441" i="6" s="1"/>
  <c r="E480" i="6"/>
  <c r="G480" i="6" s="1"/>
  <c r="E234" i="6"/>
  <c r="N28" i="50" s="1"/>
  <c r="E270" i="6"/>
  <c r="E201" i="6"/>
  <c r="N23" i="50" s="1"/>
  <c r="N24" i="50" s="1"/>
  <c r="N25" i="50" s="1"/>
  <c r="E233" i="6"/>
  <c r="L28" i="50" s="1"/>
  <c r="E132" i="6"/>
  <c r="L14" i="50" s="1"/>
  <c r="G148" i="6"/>
  <c r="H38" i="2"/>
  <c r="E200" i="6"/>
  <c r="G257" i="6"/>
  <c r="E280" i="6"/>
  <c r="J28" i="50"/>
  <c r="G232" i="6"/>
  <c r="G126" i="6"/>
  <c r="J14" i="50"/>
  <c r="J16" i="50" s="1"/>
  <c r="E135" i="6"/>
  <c r="G131" i="6"/>
  <c r="H411" i="2"/>
  <c r="E419" i="2"/>
  <c r="E353" i="6"/>
  <c r="G338" i="6"/>
  <c r="E384" i="6"/>
  <c r="E346" i="6"/>
  <c r="E339" i="6"/>
  <c r="E393" i="6"/>
  <c r="G337" i="6"/>
  <c r="G390" i="6"/>
  <c r="G352" i="6"/>
  <c r="G345" i="6"/>
  <c r="G386" i="6"/>
  <c r="G343" i="6"/>
  <c r="G373" i="6"/>
  <c r="G350" i="6"/>
  <c r="G351" i="6"/>
  <c r="G376" i="6"/>
  <c r="H384" i="2"/>
  <c r="H408" i="2"/>
  <c r="G383" i="6"/>
  <c r="G392" i="6"/>
  <c r="G382" i="6"/>
  <c r="G381" i="6"/>
  <c r="G372" i="6"/>
  <c r="G479" i="6"/>
  <c r="G344" i="6"/>
  <c r="G369" i="6"/>
  <c r="E418" i="2"/>
  <c r="G391" i="6"/>
  <c r="G336" i="6"/>
  <c r="M7" i="40"/>
  <c r="G259" i="6"/>
  <c r="G219" i="6"/>
  <c r="G268" i="6"/>
  <c r="G244" i="6"/>
  <c r="G193" i="6"/>
  <c r="G325" i="6"/>
  <c r="G400" i="6"/>
  <c r="G367" i="6"/>
  <c r="G389" i="6"/>
  <c r="G583" i="6"/>
  <c r="G349" i="6"/>
  <c r="G371" i="6"/>
  <c r="G380" i="6"/>
  <c r="G335" i="6"/>
  <c r="G342" i="6"/>
  <c r="G396" i="6"/>
  <c r="H410" i="2"/>
  <c r="K50" i="52"/>
  <c r="H409" i="2"/>
  <c r="H41" i="2"/>
  <c r="G203" i="19"/>
  <c r="G1737" i="19"/>
  <c r="K48" i="52"/>
  <c r="G1736" i="19"/>
  <c r="D73" i="1"/>
  <c r="H73" i="2"/>
  <c r="L21" i="62"/>
  <c r="G1738" i="19"/>
  <c r="E1705" i="19"/>
  <c r="G202" i="19"/>
  <c r="D201" i="58"/>
  <c r="G35" i="6"/>
  <c r="E53" i="2"/>
  <c r="K56" i="52"/>
  <c r="H21" i="62"/>
  <c r="K42" i="52"/>
  <c r="G204" i="19"/>
  <c r="E1703" i="19"/>
  <c r="K44" i="52"/>
  <c r="K54" i="52"/>
  <c r="E1704" i="19"/>
  <c r="E37" i="6"/>
  <c r="J34" i="50" l="1"/>
  <c r="J35" i="50" s="1"/>
  <c r="L34" i="50"/>
  <c r="L35" i="50" s="1"/>
  <c r="O175" i="5"/>
  <c r="H601" i="2"/>
  <c r="H584" i="2"/>
  <c r="K191" i="5"/>
  <c r="H572" i="2"/>
  <c r="G133" i="6"/>
  <c r="G650" i="6"/>
  <c r="E14" i="52"/>
  <c r="K14" i="52" s="1"/>
  <c r="H53" i="2"/>
  <c r="G246" i="6"/>
  <c r="E612" i="6"/>
  <c r="G612" i="6" s="1"/>
  <c r="E623" i="6"/>
  <c r="G564" i="6"/>
  <c r="G567" i="6"/>
  <c r="J40" i="50"/>
  <c r="G128" i="6"/>
  <c r="N13" i="50"/>
  <c r="N16" i="50" s="1"/>
  <c r="L23" i="50"/>
  <c r="E625" i="6"/>
  <c r="G625" i="6" s="1"/>
  <c r="G423" i="6"/>
  <c r="E573" i="6"/>
  <c r="G573" i="6" s="1"/>
  <c r="E473" i="6"/>
  <c r="G473" i="6" s="1"/>
  <c r="E482" i="6"/>
  <c r="G482" i="6" s="1"/>
  <c r="G221" i="6"/>
  <c r="G269" i="6"/>
  <c r="G258" i="6"/>
  <c r="G478" i="6"/>
  <c r="E137" i="6"/>
  <c r="G220" i="6"/>
  <c r="E628" i="6"/>
  <c r="G628" i="6" s="1"/>
  <c r="G200" i="6"/>
  <c r="G233" i="6"/>
  <c r="E581" i="6"/>
  <c r="E535" i="6"/>
  <c r="G535" i="6" s="1"/>
  <c r="E271" i="6"/>
  <c r="E661" i="6" s="1"/>
  <c r="E664" i="6" s="1"/>
  <c r="F18" i="52" s="1"/>
  <c r="L16" i="50"/>
  <c r="E590" i="6"/>
  <c r="G589" i="6"/>
  <c r="G470" i="6"/>
  <c r="E621" i="6"/>
  <c r="E542" i="6"/>
  <c r="G542" i="6" s="1"/>
  <c r="E136" i="6"/>
  <c r="E491" i="6"/>
  <c r="G570" i="6"/>
  <c r="G466" i="6"/>
  <c r="E627" i="6"/>
  <c r="G627" i="6" s="1"/>
  <c r="E445" i="6"/>
  <c r="G445" i="6" s="1"/>
  <c r="G270" i="6"/>
  <c r="N32" i="50"/>
  <c r="N40" i="50" s="1"/>
  <c r="G127" i="6"/>
  <c r="E452" i="6"/>
  <c r="G452" i="6" s="1"/>
  <c r="E438" i="6"/>
  <c r="G438" i="6" s="1"/>
  <c r="E549" i="6"/>
  <c r="G566" i="6"/>
  <c r="G546" i="6"/>
  <c r="G449" i="6"/>
  <c r="E282" i="6"/>
  <c r="G234" i="6"/>
  <c r="E281" i="6"/>
  <c r="G132" i="6"/>
  <c r="G201" i="6"/>
  <c r="G385" i="19"/>
  <c r="P14" i="50"/>
  <c r="E286" i="6"/>
  <c r="E292" i="6" s="1"/>
  <c r="E252" i="2" s="1"/>
  <c r="D252" i="1" s="1"/>
  <c r="J18" i="50"/>
  <c r="J19" i="50" s="1"/>
  <c r="E405" i="6"/>
  <c r="E358" i="6"/>
  <c r="G135" i="6"/>
  <c r="G280" i="6"/>
  <c r="G565" i="6"/>
  <c r="G384" i="6"/>
  <c r="G353" i="6"/>
  <c r="G346" i="6"/>
  <c r="G393" i="6"/>
  <c r="G374" i="6"/>
  <c r="G339" i="6"/>
  <c r="G467" i="6"/>
  <c r="G368" i="6"/>
  <c r="G1700" i="19"/>
  <c r="G1704" i="19"/>
  <c r="G1699" i="19"/>
  <c r="J21" i="62"/>
  <c r="H52" i="2"/>
  <c r="G34" i="6"/>
  <c r="G1701" i="19"/>
  <c r="H54" i="2"/>
  <c r="G36" i="6"/>
  <c r="G1703" i="19"/>
  <c r="H6" i="52"/>
  <c r="G1705" i="19"/>
  <c r="E681" i="6"/>
  <c r="G6" i="52" s="1"/>
  <c r="I6" i="52"/>
  <c r="H18" i="52" l="1"/>
  <c r="L41" i="50"/>
  <c r="J41" i="50"/>
  <c r="P41" i="50"/>
  <c r="N41" i="50"/>
  <c r="L40" i="50"/>
  <c r="L24" i="50"/>
  <c r="L25" i="50" s="1"/>
  <c r="N34" i="50"/>
  <c r="N35" i="50" s="1"/>
  <c r="E598" i="2"/>
  <c r="O172" i="5" s="1"/>
  <c r="I18" i="52"/>
  <c r="E624" i="6"/>
  <c r="G624" i="6" s="1"/>
  <c r="P13" i="50"/>
  <c r="P16" i="50" s="1"/>
  <c r="E569" i="2"/>
  <c r="K172" i="5" s="1"/>
  <c r="N18" i="50"/>
  <c r="N19" i="50" s="1"/>
  <c r="G623" i="6"/>
  <c r="E626" i="6"/>
  <c r="G626" i="6" s="1"/>
  <c r="G590" i="6"/>
  <c r="G282" i="6"/>
  <c r="E503" i="6"/>
  <c r="G271" i="6"/>
  <c r="G491" i="6"/>
  <c r="E288" i="6"/>
  <c r="E602" i="6"/>
  <c r="E622" i="6"/>
  <c r="E615" i="6"/>
  <c r="G615" i="6" s="1"/>
  <c r="G137" i="6"/>
  <c r="G281" i="6"/>
  <c r="G549" i="6"/>
  <c r="G581" i="6"/>
  <c r="E665" i="6"/>
  <c r="P34" i="50"/>
  <c r="P35" i="50" s="1"/>
  <c r="P32" i="50"/>
  <c r="P40" i="50" s="1"/>
  <c r="L18" i="50"/>
  <c r="L19" i="50" s="1"/>
  <c r="G136" i="6"/>
  <c r="G661" i="6"/>
  <c r="E283" i="6"/>
  <c r="E684" i="6" s="1"/>
  <c r="E287" i="6"/>
  <c r="E138" i="6"/>
  <c r="P18" i="50" s="1"/>
  <c r="P19" i="50" s="1"/>
  <c r="E672" i="6"/>
  <c r="H107" i="36" s="1"/>
  <c r="E18" i="52"/>
  <c r="E459" i="6"/>
  <c r="E616" i="6"/>
  <c r="G616" i="6" s="1"/>
  <c r="E553" i="6"/>
  <c r="E614" i="6"/>
  <c r="J43" i="50"/>
  <c r="J44" i="50" s="1"/>
  <c r="E172" i="5"/>
  <c r="E682" i="6"/>
  <c r="E599" i="2" s="1"/>
  <c r="O173" i="5" s="1"/>
  <c r="H419" i="2"/>
  <c r="E407" i="6"/>
  <c r="E442" i="2"/>
  <c r="H418" i="2"/>
  <c r="G286" i="6"/>
  <c r="G405" i="6"/>
  <c r="G621" i="6"/>
  <c r="G18" i="52"/>
  <c r="G664" i="6"/>
  <c r="G358" i="6"/>
  <c r="G37" i="6"/>
  <c r="F6" i="52"/>
  <c r="E6" i="52"/>
  <c r="E51" i="2"/>
  <c r="G681" i="6"/>
  <c r="G7" i="52" l="1"/>
  <c r="F117" i="36"/>
  <c r="F22" i="52"/>
  <c r="F23" i="52" s="1"/>
  <c r="H7" i="52"/>
  <c r="I7" i="52"/>
  <c r="H22" i="52"/>
  <c r="H23" i="52" s="1"/>
  <c r="F107" i="36"/>
  <c r="H117" i="36"/>
  <c r="E602" i="2"/>
  <c r="O176" i="5" s="1"/>
  <c r="I22" i="52"/>
  <c r="I23" i="52" s="1"/>
  <c r="I117" i="36"/>
  <c r="I107" i="36"/>
  <c r="H599" i="2"/>
  <c r="E570" i="2"/>
  <c r="K173" i="5" s="1"/>
  <c r="H598" i="2"/>
  <c r="H569" i="2"/>
  <c r="E573" i="2"/>
  <c r="K176" i="5" s="1"/>
  <c r="E117" i="36"/>
  <c r="E173" i="5"/>
  <c r="D630" i="6"/>
  <c r="N43" i="50"/>
  <c r="N44" i="50" s="1"/>
  <c r="H51" i="2"/>
  <c r="G503" i="6"/>
  <c r="E630" i="6"/>
  <c r="G602" i="6"/>
  <c r="G288" i="6"/>
  <c r="E294" i="6"/>
  <c r="E254" i="2" s="1"/>
  <c r="D254" i="1" s="1"/>
  <c r="G622" i="6"/>
  <c r="E604" i="6"/>
  <c r="E606" i="6" s="1"/>
  <c r="K18" i="52"/>
  <c r="E22" i="52"/>
  <c r="E23" i="52" s="1"/>
  <c r="G283" i="6"/>
  <c r="G459" i="6"/>
  <c r="G665" i="6"/>
  <c r="E505" i="6"/>
  <c r="G287" i="6"/>
  <c r="G138" i="6"/>
  <c r="P43" i="50"/>
  <c r="P44" i="50" s="1"/>
  <c r="E107" i="36"/>
  <c r="E176" i="5"/>
  <c r="E677" i="6"/>
  <c r="E679" i="6" s="1"/>
  <c r="E260" i="2" s="1"/>
  <c r="D260" i="1" s="1"/>
  <c r="E293" i="6"/>
  <c r="E253" i="2" s="1"/>
  <c r="G553" i="6"/>
  <c r="E42" i="2"/>
  <c r="F386" i="19" s="1"/>
  <c r="E673" i="6"/>
  <c r="L43" i="50"/>
  <c r="L44" i="50" s="1"/>
  <c r="E289" i="6"/>
  <c r="E295" i="6" s="1"/>
  <c r="D632" i="6"/>
  <c r="E417" i="2"/>
  <c r="H417" i="2" s="1"/>
  <c r="G614" i="6"/>
  <c r="D619" i="6"/>
  <c r="E619" i="6"/>
  <c r="E20" i="2"/>
  <c r="D20" i="1" s="1"/>
  <c r="E409" i="6"/>
  <c r="E443" i="2"/>
  <c r="D258" i="1"/>
  <c r="H442" i="2"/>
  <c r="E391" i="2"/>
  <c r="H252" i="2"/>
  <c r="G292" i="6"/>
  <c r="G407" i="6"/>
  <c r="G22" i="52"/>
  <c r="G117" i="36"/>
  <c r="G107" i="36"/>
  <c r="G672" i="6"/>
  <c r="M3" i="40"/>
  <c r="K6" i="52"/>
  <c r="E735" i="6"/>
  <c r="E7" i="52"/>
  <c r="G682" i="6"/>
  <c r="F7" i="52"/>
  <c r="E390" i="2"/>
  <c r="E43" i="2" l="1"/>
  <c r="E738" i="6" s="1"/>
  <c r="E389" i="2" s="1"/>
  <c r="E386" i="19"/>
  <c r="E406" i="19" s="1"/>
  <c r="H602" i="2"/>
  <c r="E441" i="2"/>
  <c r="H441" i="2" s="1"/>
  <c r="H573" i="2"/>
  <c r="H570" i="2"/>
  <c r="G294" i="6"/>
  <c r="G630" i="6"/>
  <c r="D631" i="6"/>
  <c r="E632" i="6"/>
  <c r="G604" i="6"/>
  <c r="D620" i="6"/>
  <c r="G505" i="6"/>
  <c r="E507" i="6"/>
  <c r="G507" i="6" s="1"/>
  <c r="G293" i="6"/>
  <c r="E32" i="2"/>
  <c r="S22" i="14" s="1"/>
  <c r="S23" i="14" s="1"/>
  <c r="D42" i="1"/>
  <c r="G619" i="6"/>
  <c r="G289" i="6"/>
  <c r="I8" i="15"/>
  <c r="E689" i="6"/>
  <c r="E693" i="6" s="1"/>
  <c r="D253" i="1"/>
  <c r="H253" i="2"/>
  <c r="H254" i="2"/>
  <c r="D259" i="1"/>
  <c r="H443" i="2"/>
  <c r="D257" i="1"/>
  <c r="S9" i="14"/>
  <c r="E696" i="6"/>
  <c r="E699" i="6" s="1"/>
  <c r="G295" i="6"/>
  <c r="E387" i="2"/>
  <c r="H42" i="2"/>
  <c r="G673" i="6"/>
  <c r="H258" i="2"/>
  <c r="G684" i="6"/>
  <c r="G23" i="52"/>
  <c r="K23" i="52" s="1"/>
  <c r="K22" i="52"/>
  <c r="H257" i="2"/>
  <c r="G409" i="6"/>
  <c r="H259" i="2"/>
  <c r="G606" i="6"/>
  <c r="G677" i="6"/>
  <c r="E386" i="2"/>
  <c r="B3" i="49"/>
  <c r="M3" i="39"/>
  <c r="M3" i="60"/>
  <c r="M4" i="56"/>
  <c r="M3" i="62"/>
  <c r="M3" i="61"/>
  <c r="S4" i="41"/>
  <c r="K7" i="52"/>
  <c r="E385" i="2"/>
  <c r="E736" i="6"/>
  <c r="D43" i="1" l="1"/>
  <c r="E633" i="6"/>
  <c r="G632" i="6"/>
  <c r="D633" i="6"/>
  <c r="D32" i="1"/>
  <c r="E34" i="2"/>
  <c r="D34" i="1" s="1"/>
  <c r="E701" i="6"/>
  <c r="E710" i="6" s="1"/>
  <c r="E22" i="2" s="1"/>
  <c r="E24" i="2" s="1"/>
  <c r="E44" i="2"/>
  <c r="H13" i="15"/>
  <c r="I15" i="15" s="1"/>
  <c r="I17" i="15" s="1"/>
  <c r="I24" i="15" s="1"/>
  <c r="H387" i="2"/>
  <c r="H20" i="2"/>
  <c r="G386" i="19"/>
  <c r="H260" i="2"/>
  <c r="G679" i="6"/>
  <c r="G633" i="6"/>
  <c r="H43" i="2"/>
  <c r="H386" i="2"/>
  <c r="H385" i="2"/>
  <c r="E737" i="6"/>
  <c r="E604" i="2" l="1"/>
  <c r="O179" i="5" s="1"/>
  <c r="E575" i="2"/>
  <c r="E179" i="5"/>
  <c r="H390" i="2"/>
  <c r="H391" i="2"/>
  <c r="E46" i="2"/>
  <c r="E25" i="52"/>
  <c r="E741" i="6"/>
  <c r="E81" i="36"/>
  <c r="I25" i="52"/>
  <c r="I81" i="36"/>
  <c r="F81" i="36"/>
  <c r="F25" i="52"/>
  <c r="H81" i="36"/>
  <c r="H25" i="52"/>
  <c r="E739" i="6"/>
  <c r="G25" i="52"/>
  <c r="G406" i="19"/>
  <c r="G81" i="36"/>
  <c r="H34" i="2"/>
  <c r="H32" i="2"/>
  <c r="H44" i="2"/>
  <c r="D44" i="1"/>
  <c r="G689" i="6"/>
  <c r="G699" i="6"/>
  <c r="G696" i="6"/>
  <c r="E712" i="6"/>
  <c r="H27" i="15"/>
  <c r="I29" i="15" s="1"/>
  <c r="I31" i="15" s="1"/>
  <c r="I33" i="15" s="1"/>
  <c r="D24" i="1"/>
  <c r="E27" i="2"/>
  <c r="S11" i="14"/>
  <c r="S12" i="14" s="1"/>
  <c r="S17" i="14" s="1"/>
  <c r="S25" i="14" s="1"/>
  <c r="H604" i="2" l="1"/>
  <c r="K179" i="5"/>
  <c r="H575" i="2"/>
  <c r="E394" i="2"/>
  <c r="E395" i="2"/>
  <c r="H389" i="2"/>
  <c r="E393" i="2"/>
  <c r="K25" i="52"/>
  <c r="D46" i="1"/>
  <c r="G693" i="6"/>
  <c r="H46" i="2"/>
  <c r="E420" i="19"/>
  <c r="E742" i="6"/>
  <c r="E740" i="6"/>
  <c r="E714" i="6"/>
  <c r="D27" i="1"/>
  <c r="E35" i="2"/>
  <c r="H394" i="2" l="1"/>
  <c r="H395" i="2"/>
  <c r="H393" i="2"/>
  <c r="E743" i="6"/>
  <c r="E427" i="19"/>
  <c r="G420" i="19"/>
  <c r="G701" i="6"/>
  <c r="E716" i="6"/>
  <c r="E4" i="2" s="1"/>
  <c r="E307" i="3" s="1"/>
  <c r="D35" i="1"/>
  <c r="H307" i="3" l="1"/>
  <c r="E605" i="2"/>
  <c r="O180" i="5" s="1"/>
  <c r="E576" i="2"/>
  <c r="E180" i="5"/>
  <c r="E464" i="2"/>
  <c r="E463" i="2"/>
  <c r="G710" i="6"/>
  <c r="F26" i="52"/>
  <c r="F82" i="36"/>
  <c r="E26" i="52"/>
  <c r="E48" i="2"/>
  <c r="E744" i="6"/>
  <c r="E82" i="36"/>
  <c r="G427" i="19"/>
  <c r="H82" i="36"/>
  <c r="H26" i="52"/>
  <c r="G26" i="52"/>
  <c r="G82" i="36"/>
  <c r="I82" i="36"/>
  <c r="I26" i="52"/>
  <c r="H8" i="14"/>
  <c r="H10" i="14" s="1"/>
  <c r="E6" i="2"/>
  <c r="D4" i="1"/>
  <c r="H605" i="2" l="1"/>
  <c r="K180" i="5"/>
  <c r="H464" i="2"/>
  <c r="H576" i="2"/>
  <c r="H463" i="2"/>
  <c r="E745" i="6"/>
  <c r="E746" i="6" s="1"/>
  <c r="E748" i="6" s="1"/>
  <c r="G712" i="6"/>
  <c r="H48" i="2"/>
  <c r="K26" i="52"/>
  <c r="H22" i="2"/>
  <c r="D6" i="1"/>
  <c r="E8" i="2"/>
  <c r="E402" i="2" l="1"/>
  <c r="E403" i="2"/>
  <c r="H24" i="2"/>
  <c r="G714" i="6"/>
  <c r="E401" i="2"/>
  <c r="E47" i="2"/>
  <c r="E749" i="6"/>
  <c r="D8" i="1"/>
  <c r="E16" i="2"/>
  <c r="H402" i="2" l="1"/>
  <c r="H403" i="2"/>
  <c r="H401" i="2"/>
  <c r="H47" i="2"/>
  <c r="E751" i="6"/>
  <c r="E404" i="2" s="1"/>
  <c r="G716" i="6"/>
  <c r="H35" i="2"/>
  <c r="H27" i="2"/>
  <c r="H17" i="14"/>
  <c r="E725" i="6"/>
  <c r="D16" i="1"/>
  <c r="E36" i="2"/>
  <c r="H404" i="2" l="1"/>
  <c r="E752" i="6"/>
  <c r="H4" i="2"/>
  <c r="D36" i="1"/>
  <c r="E379" i="2" l="1"/>
  <c r="H6" i="2"/>
  <c r="H8" i="2" l="1"/>
  <c r="H379" i="2"/>
  <c r="H36" i="2" l="1"/>
  <c r="G725" i="6"/>
  <c r="H16" i="2"/>
</calcChain>
</file>

<file path=xl/comments1.xml><?xml version="1.0" encoding="utf-8"?>
<comments xmlns="http://schemas.openxmlformats.org/spreadsheetml/2006/main">
  <authors>
    <author>Michael Schnitzer</author>
  </authors>
  <commentList>
    <comment ref="D181" authorId="0" shapeId="0">
      <text>
        <r>
          <rPr>
            <b/>
            <sz val="8"/>
            <color indexed="81"/>
            <rFont val="Tahoma"/>
            <family val="2"/>
          </rPr>
          <t>Michael Schnitzer:</t>
        </r>
        <r>
          <rPr>
            <sz val="8"/>
            <color indexed="81"/>
            <rFont val="Tahoma"/>
            <family val="2"/>
          </rPr>
          <t xml:space="preserve">
Level of resources toward generating new sales for all services (Level 1 =Basic; Level 5 = Most Effort)</t>
        </r>
      </text>
    </comment>
    <comment ref="K181" authorId="0" shapeId="0">
      <text>
        <r>
          <rPr>
            <b/>
            <sz val="8"/>
            <color indexed="81"/>
            <rFont val="Tahoma"/>
            <family val="2"/>
          </rPr>
          <t>Michael Schnitzer:</t>
        </r>
        <r>
          <rPr>
            <sz val="8"/>
            <color indexed="81"/>
            <rFont val="Tahoma"/>
            <family val="2"/>
          </rPr>
          <t xml:space="preserve">
Set the budget for marketing your brand. The more you spend, the more brand recognition you will earn, increasing your likelyhood for success in all businesses.</t>
        </r>
      </text>
    </comment>
    <comment ref="D262" authorId="0" shapeId="0">
      <text>
        <r>
          <rPr>
            <b/>
            <sz val="8"/>
            <color indexed="81"/>
            <rFont val="Tahoma"/>
            <family val="2"/>
          </rPr>
          <t>Michael Schnitzer:</t>
        </r>
        <r>
          <rPr>
            <sz val="8"/>
            <color indexed="81"/>
            <rFont val="Tahoma"/>
            <family val="2"/>
          </rPr>
          <t xml:space="preserve">
Allocate the time spent per year per employee per level on training.  This will improve the productivity of employees and therefore increase capacity w/o raising headcount. Engagement will also improve.</t>
        </r>
      </text>
    </comment>
  </commentList>
</comments>
</file>

<file path=xl/comments2.xml><?xml version="1.0" encoding="utf-8"?>
<comments xmlns="http://schemas.openxmlformats.org/spreadsheetml/2006/main">
  <authors>
    <author>BTS Inc.</author>
  </authors>
  <commentList>
    <comment ref="H14" authorId="0" shapeId="0">
      <text>
        <r>
          <rPr>
            <b/>
            <sz val="8"/>
            <color indexed="81"/>
            <rFont val="Tahoma"/>
            <family val="2"/>
          </rPr>
          <t>TJO.: Checks to see if the program is Valid</t>
        </r>
      </text>
    </comment>
    <comment ref="I14" authorId="0" shapeId="0">
      <text>
        <r>
          <rPr>
            <b/>
            <sz val="8"/>
            <color indexed="81"/>
            <rFont val="Tahoma"/>
            <family val="2"/>
          </rPr>
          <t xml:space="preserve">TJO: Checks to Make sure that program wasn't used in a previous Year
</t>
        </r>
        <r>
          <rPr>
            <sz val="8"/>
            <color indexed="81"/>
            <rFont val="Tahoma"/>
            <family val="2"/>
          </rPr>
          <t xml:space="preserve">
</t>
        </r>
      </text>
    </comment>
    <comment ref="K14" authorId="0" shapeId="0">
      <text>
        <r>
          <rPr>
            <b/>
            <sz val="8"/>
            <color indexed="81"/>
            <rFont val="Tahoma"/>
            <family val="2"/>
          </rPr>
          <t>TJO: Checks To make sure that program wasn't Selected this year</t>
        </r>
        <r>
          <rPr>
            <sz val="8"/>
            <color indexed="81"/>
            <rFont val="Tahoma"/>
            <family val="2"/>
          </rPr>
          <t xml:space="preserve">
</t>
        </r>
      </text>
    </comment>
  </commentList>
</comments>
</file>

<file path=xl/comments3.xml><?xml version="1.0" encoding="utf-8"?>
<comments xmlns="http://schemas.openxmlformats.org/spreadsheetml/2006/main">
  <authors>
    <author>Michael Schnitzer</author>
    <author>Sagar Bansal</author>
    <author>Denys Lai</author>
  </authors>
  <commentList>
    <comment ref="C386" authorId="0" shapeId="0">
      <text>
        <r>
          <rPr>
            <b/>
            <sz val="8"/>
            <color indexed="81"/>
            <rFont val="Tahoma"/>
            <family val="2"/>
          </rPr>
          <t>Michael Schnitzer:</t>
        </r>
        <r>
          <rPr>
            <sz val="8"/>
            <color indexed="81"/>
            <rFont val="Tahoma"/>
            <family val="2"/>
          </rPr>
          <t xml:space="preserve">
If CI is negative there is a problem</t>
        </r>
      </text>
    </comment>
    <comment ref="F386" authorId="1" shapeId="0">
      <text>
        <r>
          <rPr>
            <b/>
            <sz val="9"/>
            <color indexed="81"/>
            <rFont val="Tahoma"/>
            <family val="2"/>
          </rPr>
          <t>Sagar Bansal:</t>
        </r>
        <r>
          <rPr>
            <sz val="9"/>
            <color indexed="81"/>
            <rFont val="Tahoma"/>
            <family val="2"/>
          </rPr>
          <t xml:space="preserve">
Old formula with IFERROR on the outside</t>
        </r>
      </text>
    </comment>
    <comment ref="E761" authorId="2" shapeId="0">
      <text>
        <r>
          <rPr>
            <b/>
            <sz val="8"/>
            <color indexed="81"/>
            <rFont val="Tahoma"/>
            <family val="2"/>
          </rPr>
          <t>Denys Lai:</t>
        </r>
        <r>
          <rPr>
            <sz val="8"/>
            <color indexed="81"/>
            <rFont val="Tahoma"/>
            <family val="2"/>
          </rPr>
          <t xml:space="preserve">
Same as Sr. Exec. Consulting</t>
        </r>
      </text>
    </comment>
    <comment ref="E813" authorId="2" shapeId="0">
      <text>
        <r>
          <rPr>
            <b/>
            <sz val="8"/>
            <color indexed="81"/>
            <rFont val="Tahoma"/>
            <family val="2"/>
          </rPr>
          <t>Denys Lai:</t>
        </r>
        <r>
          <rPr>
            <sz val="8"/>
            <color indexed="81"/>
            <rFont val="Tahoma"/>
            <family val="2"/>
          </rPr>
          <t xml:space="preserve">
Same as Sr. Exec. Consulting</t>
        </r>
      </text>
    </comment>
    <comment ref="E865" authorId="2" shapeId="0">
      <text>
        <r>
          <rPr>
            <b/>
            <sz val="8"/>
            <color indexed="81"/>
            <rFont val="Tahoma"/>
            <family val="2"/>
          </rPr>
          <t>Denys Lai:</t>
        </r>
        <r>
          <rPr>
            <sz val="8"/>
            <color indexed="81"/>
            <rFont val="Tahoma"/>
            <family val="2"/>
          </rPr>
          <t xml:space="preserve">
Same as Sr. Exec. Consulting</t>
        </r>
      </text>
    </comment>
  </commentList>
</comments>
</file>

<file path=xl/comments4.xml><?xml version="1.0" encoding="utf-8"?>
<comments xmlns="http://schemas.openxmlformats.org/spreadsheetml/2006/main">
  <authors>
    <author>tjo</author>
  </authors>
  <commentList>
    <comment ref="E523" authorId="0" shapeId="0">
      <text>
        <r>
          <rPr>
            <b/>
            <sz val="8"/>
            <color indexed="81"/>
            <rFont val="Tahoma"/>
            <family val="2"/>
          </rPr>
          <t>tjo:</t>
        </r>
        <r>
          <rPr>
            <sz val="8"/>
            <color indexed="81"/>
            <rFont val="Tahoma"/>
            <family val="2"/>
          </rPr>
          <t xml:space="preserve">
Breaking News Explanation, Option 1</t>
        </r>
      </text>
    </comment>
    <comment ref="F523" authorId="0" shapeId="0">
      <text>
        <r>
          <rPr>
            <b/>
            <sz val="8"/>
            <color indexed="81"/>
            <rFont val="Tahoma"/>
            <family val="2"/>
          </rPr>
          <t>tjo:</t>
        </r>
        <r>
          <rPr>
            <sz val="8"/>
            <color indexed="81"/>
            <rFont val="Tahoma"/>
            <family val="2"/>
          </rPr>
          <t xml:space="preserve">
Breaking News Explanation, Option 2</t>
        </r>
      </text>
    </comment>
    <comment ref="G523" authorId="0" shapeId="0">
      <text>
        <r>
          <rPr>
            <b/>
            <sz val="8"/>
            <color indexed="81"/>
            <rFont val="Tahoma"/>
            <family val="2"/>
          </rPr>
          <t>tjo:</t>
        </r>
        <r>
          <rPr>
            <sz val="8"/>
            <color indexed="81"/>
            <rFont val="Tahoma"/>
            <family val="2"/>
          </rPr>
          <t xml:space="preserve">
Breaking News Explanation, Option 3</t>
        </r>
      </text>
    </comment>
    <comment ref="I523" authorId="0" shapeId="0">
      <text>
        <r>
          <rPr>
            <b/>
            <sz val="8"/>
            <color indexed="81"/>
            <rFont val="Tahoma"/>
            <family val="2"/>
          </rPr>
          <t>tjo:</t>
        </r>
        <r>
          <rPr>
            <sz val="8"/>
            <color indexed="81"/>
            <rFont val="Tahoma"/>
            <family val="2"/>
          </rPr>
          <t xml:space="preserve">
Which decProd2Event# the data is held.</t>
        </r>
      </text>
    </comment>
    <comment ref="J523" authorId="0" shapeId="0">
      <text>
        <r>
          <rPr>
            <b/>
            <sz val="8"/>
            <color indexed="81"/>
            <rFont val="Tahoma"/>
            <family val="2"/>
          </rPr>
          <t>tjo:</t>
        </r>
        <r>
          <rPr>
            <sz val="8"/>
            <color indexed="81"/>
            <rFont val="Tahoma"/>
            <family val="2"/>
          </rPr>
          <t xml:space="preserve">
Which News Item it is, drives the value on dec page</t>
        </r>
      </text>
    </comment>
  </commentList>
</comments>
</file>

<file path=xl/comments5.xml><?xml version="1.0" encoding="utf-8"?>
<comments xmlns="http://schemas.openxmlformats.org/spreadsheetml/2006/main">
  <authors>
    <author>Michael Schnitzer</author>
  </authors>
  <commentList>
    <comment ref="B376" authorId="0" shapeId="0">
      <text>
        <r>
          <rPr>
            <b/>
            <sz val="8"/>
            <color indexed="81"/>
            <rFont val="Tahoma"/>
            <family val="2"/>
          </rPr>
          <t>Michael Schnitzer:</t>
        </r>
        <r>
          <rPr>
            <sz val="8"/>
            <color indexed="81"/>
            <rFont val="Tahoma"/>
            <family val="2"/>
          </rPr>
          <t xml:space="preserve">
ONLY 1st Yr Effect!!!</t>
        </r>
      </text>
    </comment>
    <comment ref="B377" authorId="0" shapeId="0">
      <text>
        <r>
          <rPr>
            <b/>
            <sz val="8"/>
            <color indexed="81"/>
            <rFont val="Tahoma"/>
            <family val="2"/>
          </rPr>
          <t>Michael Schnitzer:</t>
        </r>
        <r>
          <rPr>
            <sz val="8"/>
            <color indexed="81"/>
            <rFont val="Tahoma"/>
            <family val="2"/>
          </rPr>
          <t xml:space="preserve">
ONLY 1st Yr Effect!!!</t>
        </r>
      </text>
    </comment>
    <comment ref="B378" authorId="0" shapeId="0">
      <text>
        <r>
          <rPr>
            <b/>
            <sz val="8"/>
            <color indexed="81"/>
            <rFont val="Tahoma"/>
            <family val="2"/>
          </rPr>
          <t>Michael Schnitzer:</t>
        </r>
        <r>
          <rPr>
            <sz val="8"/>
            <color indexed="81"/>
            <rFont val="Tahoma"/>
            <family val="2"/>
          </rPr>
          <t xml:space="preserve">
ONLY 1st Yr Effect!!!</t>
        </r>
      </text>
    </comment>
    <comment ref="B379" authorId="0" shapeId="0">
      <text>
        <r>
          <rPr>
            <b/>
            <sz val="8"/>
            <color indexed="81"/>
            <rFont val="Tahoma"/>
            <family val="2"/>
          </rPr>
          <t>Michael Schnitzer:</t>
        </r>
        <r>
          <rPr>
            <sz val="8"/>
            <color indexed="81"/>
            <rFont val="Tahoma"/>
            <family val="2"/>
          </rPr>
          <t xml:space="preserve">
ONLY 1st Yr Effect!!!</t>
        </r>
      </text>
    </comment>
    <comment ref="B380" authorId="0" shapeId="0">
      <text>
        <r>
          <rPr>
            <b/>
            <sz val="8"/>
            <color indexed="81"/>
            <rFont val="Tahoma"/>
            <family val="2"/>
          </rPr>
          <t>Michael Schnitzer:</t>
        </r>
        <r>
          <rPr>
            <sz val="8"/>
            <color indexed="81"/>
            <rFont val="Tahoma"/>
            <family val="2"/>
          </rPr>
          <t xml:space="preserve">
ONLY 1st Yr Effect!!!</t>
        </r>
      </text>
    </comment>
    <comment ref="B381" authorId="0" shapeId="0">
      <text>
        <r>
          <rPr>
            <b/>
            <sz val="8"/>
            <color indexed="81"/>
            <rFont val="Tahoma"/>
            <family val="2"/>
          </rPr>
          <t>Michael Schnitzer:</t>
        </r>
        <r>
          <rPr>
            <sz val="8"/>
            <color indexed="81"/>
            <rFont val="Tahoma"/>
            <family val="2"/>
          </rPr>
          <t xml:space="preserve">
ONLY 1st Yr Effect!!!</t>
        </r>
      </text>
    </comment>
    <comment ref="B382" authorId="0" shapeId="0">
      <text>
        <r>
          <rPr>
            <b/>
            <sz val="8"/>
            <color indexed="81"/>
            <rFont val="Tahoma"/>
            <family val="2"/>
          </rPr>
          <t>Michael Schnitzer:</t>
        </r>
        <r>
          <rPr>
            <sz val="8"/>
            <color indexed="81"/>
            <rFont val="Tahoma"/>
            <family val="2"/>
          </rPr>
          <t xml:space="preserve">
ONLY 1st Yr Effect!!!</t>
        </r>
      </text>
    </comment>
    <comment ref="B386" authorId="0" shapeId="0">
      <text>
        <r>
          <rPr>
            <b/>
            <sz val="8"/>
            <color indexed="81"/>
            <rFont val="Tahoma"/>
            <family val="2"/>
          </rPr>
          <t>Michael Schnitzer:</t>
        </r>
        <r>
          <rPr>
            <sz val="8"/>
            <color indexed="81"/>
            <rFont val="Tahoma"/>
            <family val="2"/>
          </rPr>
          <t xml:space="preserve">
ONLY 1st Yr Effect!!!</t>
        </r>
      </text>
    </comment>
    <comment ref="B402" authorId="0" shapeId="0">
      <text>
        <r>
          <rPr>
            <b/>
            <sz val="8"/>
            <color indexed="81"/>
            <rFont val="Tahoma"/>
            <family val="2"/>
          </rPr>
          <t>Michael Schnitzer:</t>
        </r>
        <r>
          <rPr>
            <sz val="8"/>
            <color indexed="81"/>
            <rFont val="Tahoma"/>
            <family val="2"/>
          </rPr>
          <t xml:space="preserve">
ONLY 1st Yr Effect!!!</t>
        </r>
      </text>
    </comment>
    <comment ref="B403" authorId="0" shapeId="0">
      <text>
        <r>
          <rPr>
            <b/>
            <sz val="8"/>
            <color indexed="81"/>
            <rFont val="Tahoma"/>
            <family val="2"/>
          </rPr>
          <t>Michael Schnitzer:</t>
        </r>
        <r>
          <rPr>
            <sz val="8"/>
            <color indexed="81"/>
            <rFont val="Tahoma"/>
            <family val="2"/>
          </rPr>
          <t xml:space="preserve">
ONLY 1st Yr Effect!!!</t>
        </r>
      </text>
    </comment>
    <comment ref="B404" authorId="0" shapeId="0">
      <text>
        <r>
          <rPr>
            <b/>
            <sz val="8"/>
            <color indexed="81"/>
            <rFont val="Tahoma"/>
            <family val="2"/>
          </rPr>
          <t>Michael Schnitzer:</t>
        </r>
        <r>
          <rPr>
            <sz val="8"/>
            <color indexed="81"/>
            <rFont val="Tahoma"/>
            <family val="2"/>
          </rPr>
          <t xml:space="preserve">
ONLY 1st Yr Effect!!!</t>
        </r>
      </text>
    </comment>
  </commentList>
</comments>
</file>

<file path=xl/comments6.xml><?xml version="1.0" encoding="utf-8"?>
<comments xmlns="http://schemas.openxmlformats.org/spreadsheetml/2006/main">
  <authors>
    <author>Michael Schnitzer</author>
  </authors>
  <commentList>
    <comment ref="P38" authorId="0" shapeId="0">
      <text>
        <r>
          <rPr>
            <b/>
            <sz val="8"/>
            <color indexed="81"/>
            <rFont val="Tahoma"/>
            <family val="2"/>
          </rPr>
          <t>Michael Schnitzer:</t>
        </r>
        <r>
          <rPr>
            <sz val="8"/>
            <color indexed="81"/>
            <rFont val="Tahoma"/>
            <family val="2"/>
          </rPr>
          <t xml:space="preserve">
Set the price you wish to offer for this bid. Ideally you want it to be less than your clients' cost and more than your cost. Depending on the price-sensitivity of the client and your reputation/competency compared to the competition, you may be able to charge a premium.</t>
        </r>
      </text>
    </comment>
    <comment ref="R38" authorId="0" shapeId="0">
      <text>
        <r>
          <rPr>
            <b/>
            <sz val="8"/>
            <color indexed="81"/>
            <rFont val="Tahoma"/>
            <family val="2"/>
          </rPr>
          <t xml:space="preserve">Michael Schnitzer:
</t>
        </r>
        <r>
          <rPr>
            <sz val="8"/>
            <color indexed="81"/>
            <rFont val="Tahoma"/>
            <family val="2"/>
          </rPr>
          <t>Allocate time by employee level to work on RFQs and client relationship management. The right allocation mix and amount can help win the bid. However, this allocation will not improve your competency or lower your cost.</t>
        </r>
      </text>
    </comment>
    <comment ref="D39" authorId="0" shapeId="0">
      <text>
        <r>
          <rPr>
            <b/>
            <sz val="8"/>
            <color indexed="81"/>
            <rFont val="Tahoma"/>
            <family val="2"/>
          </rPr>
          <t>Michael Schnitzer:</t>
        </r>
        <r>
          <rPr>
            <sz val="8"/>
            <color indexed="81"/>
            <rFont val="Tahoma"/>
            <family val="2"/>
          </rPr>
          <t xml:space="preserve">
Check the box if to bid for this opportunity.</t>
        </r>
      </text>
    </comment>
  </commentList>
</comments>
</file>

<file path=xl/comments7.xml><?xml version="1.0" encoding="utf-8"?>
<comments xmlns="http://schemas.openxmlformats.org/spreadsheetml/2006/main">
  <authors>
    <author>Michael Schnitzer</author>
  </authors>
  <commentList>
    <comment ref="F12" authorId="0" shapeId="0">
      <text>
        <r>
          <rPr>
            <b/>
            <sz val="8"/>
            <color indexed="81"/>
            <rFont val="Tahoma"/>
            <family val="2"/>
          </rPr>
          <t>Michael Schnitzer:</t>
        </r>
        <r>
          <rPr>
            <sz val="8"/>
            <color indexed="81"/>
            <rFont val="Tahoma"/>
            <family val="2"/>
          </rPr>
          <t xml:space="preserve">
Select the level of competency you wish to develop in the vertical/horizontal combination. This will require time from your employees, but will also lower your costs of BPO deals within the corresponding Vertical/Horizantal. This will also improve your reputation in the market. </t>
        </r>
      </text>
    </comment>
  </commentList>
</comments>
</file>

<file path=xl/sharedStrings.xml><?xml version="1.0" encoding="utf-8"?>
<sst xmlns="http://schemas.openxmlformats.org/spreadsheetml/2006/main" count="12999" uniqueCount="6579">
  <si>
    <t>It looks like the adj of (40) is to take everyone down by the same rough amount.  I'm not sure (nor is NDR) why the opening value wasn't just lowered…or why Yr 1 needs to be 35%.  DEFINITELY TEST THIS INTO YR 2!!!!  There was the other issue with the delta in training budget also affecting it...if it occurs again, send me that version with it in there so i can confirm the source of the zero.</t>
  </si>
  <si>
    <t>NDR/LKR</t>
  </si>
  <si>
    <t>NDR said the only varying factor is price anyway (client price less their engagement cost is their value).  Since their cost is presecribed at that point, the only variance in CV is the price --already in the MM.</t>
  </si>
  <si>
    <t>Already in there: it's tracking revenue over the total years as a mkt driver.</t>
  </si>
  <si>
    <t>LKR/NDR</t>
  </si>
  <si>
    <t>Hid all gridlines on tool pages (I assume that's what was meant)</t>
  </si>
  <si>
    <t>I believe I got them all…on the bottom-left corner, cells F54:I58.</t>
  </si>
  <si>
    <t>Nothing we can do unless MS fixes this.  They call it 'losing focus,' and it occurs when the user switches applications to something else (toggling between ppt and excel, etc.)</t>
  </si>
  <si>
    <t>Made the correction…it is now linked to row 110, not 80.</t>
  </si>
  <si>
    <t>it appears as you spend more $ this year, it tries to speculate the time requirements next year for WF training.  It subtracts those hrs from the available pool to get that utilization number.</t>
  </si>
  <si>
    <t>Practice 1</t>
  </si>
  <si>
    <t>Practice 2</t>
  </si>
  <si>
    <t>Practice 3</t>
  </si>
  <si>
    <t>Next Year</t>
  </si>
  <si>
    <t>calculator</t>
  </si>
  <si>
    <t>Calculator</t>
  </si>
  <si>
    <t>ToolLaunchCalculator</t>
  </si>
  <si>
    <t>home</t>
  </si>
  <si>
    <t>Home</t>
  </si>
  <si>
    <t>gototoolintro</t>
  </si>
  <si>
    <t>Outsourcing &amp;Report</t>
  </si>
  <si>
    <t>Resource &amp;Allocation</t>
  </si>
  <si>
    <t>GoToToolBPOReport</t>
  </si>
  <si>
    <t>GoToToolHRReport</t>
  </si>
  <si>
    <t>Consulting Sales Process</t>
  </si>
  <si>
    <t>BPO Pursuit</t>
  </si>
  <si>
    <t>Vertical Knowledge Dev.</t>
  </si>
  <si>
    <t>Process Improvements</t>
  </si>
  <si>
    <t>General Training</t>
  </si>
  <si>
    <t>capBusBY3V1H2OpsSavings</t>
  </si>
  <si>
    <t>capBusBY3V1H3OpsSavings</t>
  </si>
  <si>
    <t>capBusBY3V2H1OpsSavings</t>
  </si>
  <si>
    <t>capBusBY3V2H2OpsSavings</t>
  </si>
  <si>
    <t>capBusBY3V2H3OpsSavings</t>
  </si>
  <si>
    <t>capBusBY3V3H1OpsSavings</t>
  </si>
  <si>
    <t>capBusBY3V3H2OpsSavings</t>
  </si>
  <si>
    <t>capBusBY3V3H3OpsSavings</t>
  </si>
  <si>
    <t>obalBusBRevenue</t>
  </si>
  <si>
    <t>obalBusARevenue</t>
  </si>
  <si>
    <t>cbalBusBRevenue</t>
  </si>
  <si>
    <t>cbalBusARevenue</t>
  </si>
  <si>
    <t xml:space="preserve">Program 5  </t>
  </si>
  <si>
    <t>P1</t>
  </si>
  <si>
    <t>P2</t>
  </si>
  <si>
    <t>P3</t>
  </si>
  <si>
    <t>Volume</t>
  </si>
  <si>
    <t>Advertising</t>
  </si>
  <si>
    <t>Program 1</t>
  </si>
  <si>
    <t>Program 2</t>
  </si>
  <si>
    <t>Program 3</t>
  </si>
  <si>
    <t>Program 4</t>
  </si>
  <si>
    <t>Time Demand (Average Between ToW)</t>
  </si>
  <si>
    <t>Data Page</t>
  </si>
  <si>
    <t>cbalE80:I80</t>
  </si>
  <si>
    <t>cell had been hardcoded with '11' instead of the formula, no longer linked to Utilization and ending # of people; discovered during PC Tool; afterwards, copied cbal79 formula and changed EmpA to EmpB.  Tested and worked fine.</t>
  </si>
  <si>
    <t>finI105</t>
  </si>
  <si>
    <t>Expertise Investment not correct for team 5</t>
  </si>
  <si>
    <t>cell had a different summation formula than the other cells in the row; located on the feedback 1 slide. Copied finH105 formula, tested and worked fine.</t>
  </si>
  <si>
    <t>BusDev Practice1 staffing slide not functional</t>
  </si>
  <si>
    <t>feedbacks.xls, slide fb1000BusAP1BusDev</t>
  </si>
  <si>
    <t>several programs ago this slide stopped working; I copied the Practice 3 version and re-pointed the data to the Practice 1 data and renamed the copy to the old name (old slide now has _old at the end).</t>
  </si>
  <si>
    <t>feedbackE824:I836</t>
  </si>
  <si>
    <t>pre-processing found that the won-bid slide has industry 1 working properly but industries 2 and 3 are not. Sourcing from cbal250</t>
  </si>
  <si>
    <t>xxMMProd4Units</t>
  </si>
  <si>
    <t>xxMMProd4Seg1Units</t>
  </si>
  <si>
    <t>xxMMProd4Seg2Units</t>
  </si>
  <si>
    <t>xxMMProd4Seg3Units</t>
  </si>
  <si>
    <t>xxMMProd4Seg4Units</t>
  </si>
  <si>
    <t>xxMMProd4Seg5Units</t>
  </si>
  <si>
    <t>capEmp3BusBInitHrsExp</t>
  </si>
  <si>
    <t>decBusAEmp8HrsCurrProj</t>
  </si>
  <si>
    <t>decBusAEmp8HrsCurrProjV2</t>
  </si>
  <si>
    <t>decBusAEmp8HrsCurrProjV3</t>
  </si>
  <si>
    <t>decBusAEmp9HrsCurrProj</t>
  </si>
  <si>
    <t>decBusAEmp9HrsCurrProjV2</t>
  </si>
  <si>
    <t>xxMMProd2Driver7</t>
  </si>
  <si>
    <t>xxMMProd2Driver8</t>
  </si>
  <si>
    <t>xxMMProd2Driver9</t>
  </si>
  <si>
    <t>xxMMProd2Driver10</t>
  </si>
  <si>
    <t>Driver 3</t>
  </si>
  <si>
    <t>paramProd1OtherCost</t>
  </si>
  <si>
    <t>Misc</t>
  </si>
  <si>
    <t>Special Loans Expense</t>
  </si>
  <si>
    <t>RESOURCE PLANS</t>
  </si>
  <si>
    <t>Pure Hrs. Available</t>
  </si>
  <si>
    <t>paramEmp1ProductivityCoef</t>
  </si>
  <si>
    <t>paramEmp2ProductivityCoef</t>
  </si>
  <si>
    <t>obalY2V3H2COS</t>
  </si>
  <si>
    <t>obalY2V3H3COS</t>
  </si>
  <si>
    <t>obalY3V1H1COS</t>
  </si>
  <si>
    <t>obalY3V1H2COS</t>
  </si>
  <si>
    <t>obalY3V1H3COS</t>
  </si>
  <si>
    <t>obalY3V2H1COS</t>
  </si>
  <si>
    <t>obalY3V2H2COS</t>
  </si>
  <si>
    <t>P3 Consulting Relationship (% of Proj Time From Execs)</t>
  </si>
  <si>
    <t>capBusAV1RelationshipScore</t>
  </si>
  <si>
    <t>capBusAV2RelationshipScore</t>
  </si>
  <si>
    <t>capBusAV3RelationshipScore</t>
  </si>
  <si>
    <t>obalTotalRealizedRev</t>
  </si>
  <si>
    <t>Modified CCI (For Allocation)</t>
  </si>
  <si>
    <t>Practice 2 Solutions WF Allocation - Sales</t>
  </si>
  <si>
    <t>Practice 3 Solutions WF Allocation - Sales</t>
  </si>
  <si>
    <t>capEmp1BusAV1AllocSalesV1</t>
  </si>
  <si>
    <t>capEmp1BusAV1AllocSalesV2</t>
  </si>
  <si>
    <t>Consulting Sr. Executive % Product Allocation</t>
  </si>
  <si>
    <t>Inc(-)/dec(+) in long-term debt</t>
  </si>
  <si>
    <t>Inc(-)/dec(+) in special loans</t>
  </si>
  <si>
    <t>Net Cash from Financing</t>
  </si>
  <si>
    <t>Net Cash Flow</t>
  </si>
  <si>
    <t>Closing balance of cash</t>
  </si>
  <si>
    <t>Non-Billable Outsourcing Solutions WF Slary Expense</t>
  </si>
  <si>
    <t>capEmp1BusBNonBillAlloc</t>
  </si>
  <si>
    <t>cbalSpecLoansValue</t>
  </si>
  <si>
    <t>finPNLBusBV1Emp3CompDevExp</t>
  </si>
  <si>
    <t>finPNLBusBV1Emp4CompDevExp</t>
  </si>
  <si>
    <t>finBusBV1Emp2BusDevTimeExp</t>
  </si>
  <si>
    <t>finBusBV1Emp4BusDevTimeExp</t>
  </si>
  <si>
    <t>finBusBV1Emp3BusDevTimeExp</t>
  </si>
  <si>
    <t>obalCumBalCardPoints</t>
  </si>
  <si>
    <t>capBusAEmp7Utiliz</t>
  </si>
  <si>
    <t>capBusAEmp7BaseExp</t>
  </si>
  <si>
    <t>capEmp7Exp</t>
  </si>
  <si>
    <t>capEmp7BusARecDismExp</t>
  </si>
  <si>
    <t>capEmp7RecDismExp</t>
  </si>
  <si>
    <t>capEmp7BusAAdminExp</t>
  </si>
  <si>
    <t>capEmp7AdminExp</t>
  </si>
  <si>
    <t>capEmp7BusAV1Alloc</t>
  </si>
  <si>
    <t>Montecito Grp.</t>
  </si>
  <si>
    <t>HAL Processing</t>
  </si>
  <si>
    <t>OmniCorp</t>
  </si>
  <si>
    <t>Calistoga Co.</t>
  </si>
  <si>
    <t>paramSpecProgBusAV3Exp</t>
  </si>
  <si>
    <t>Special Program Outsourcing Sr. Exec Initiative Hrs Required</t>
  </si>
  <si>
    <t>paramSpecProgramEmp1BusBInitHrsReq</t>
  </si>
  <si>
    <t>paramSpecProgramEmp2BusBInitHrsReq</t>
  </si>
  <si>
    <t>paramSpecProgramEmp3BusBInitHrsReq</t>
  </si>
  <si>
    <t>paramSpecProgramEmp4BusBInitHrsReq</t>
  </si>
  <si>
    <t>Special Program Enterprise WF Hrs Required</t>
  </si>
  <si>
    <t>paramSpecProgramEmp6InitHrsReq</t>
  </si>
  <si>
    <t>capEmp1BusAInitHrsAlloc</t>
  </si>
  <si>
    <t>capEmp1BusBInitHrsAlloc</t>
  </si>
  <si>
    <t>capEmp2BusAInitHrsAlloc</t>
  </si>
  <si>
    <t>capEmp3BusAInitHrsAlloc</t>
  </si>
  <si>
    <t>capEmp4BusAInitHrsAlloc</t>
  </si>
  <si>
    <t>capEmp2BusBInitHrsAlloc</t>
  </si>
  <si>
    <t>decEmp2BusBHire</t>
  </si>
  <si>
    <t>decEmp1BusBHire</t>
  </si>
  <si>
    <t>paramEmp3AttRate</t>
  </si>
  <si>
    <t>paramEmp3Exp</t>
  </si>
  <si>
    <t>paramEmp3RecDismCost</t>
  </si>
  <si>
    <t>paramProd1Emp1Req</t>
  </si>
  <si>
    <t>paramPlant1RampUpPct</t>
  </si>
  <si>
    <t>Closing Value Team 1</t>
  </si>
  <si>
    <t>International Plant</t>
  </si>
  <si>
    <t>Bid Plant</t>
  </si>
  <si>
    <t>Overall Solutions WF Utilization</t>
  </si>
  <si>
    <t>capBusAV1BusDevWAvgSalesOutput</t>
  </si>
  <si>
    <t>Consulting Sales Output - P2</t>
  </si>
  <si>
    <r>
      <t>o</t>
    </r>
    <r>
      <rPr>
        <sz val="7"/>
        <rFont val="Times New Roman"/>
        <family val="1"/>
      </rPr>
      <t xml:space="preserve">       </t>
    </r>
    <r>
      <rPr>
        <sz val="14"/>
        <rFont val="Arial"/>
        <family val="2"/>
      </rPr>
      <t>The simulation and tools have the ability to export and import files to/from multiple destinations.  To designate the export/import drive, use the drop-down cell to determine the appropriate destination (i.e. ‘A:\,’ ‘B:\’, etc.).</t>
    </r>
  </si>
  <si>
    <t>Overall Consultant Utilization</t>
  </si>
  <si>
    <t>Excel 97</t>
  </si>
  <si>
    <r>
      <t>§</t>
    </r>
    <r>
      <rPr>
        <sz val="7"/>
        <rFont val="Times New Roman"/>
        <family val="1"/>
      </rPr>
      <t xml:space="preserve">        </t>
    </r>
    <r>
      <rPr>
        <sz val="14"/>
        <rFont val="Arial"/>
        <family val="2"/>
      </rPr>
      <t>“Do you want to save this file?”: NO (you could say yes here, but normally not necessary)</t>
    </r>
  </si>
  <si>
    <t>xxMMProd5Driver2</t>
  </si>
  <si>
    <t>xxMMProd5Driver3</t>
  </si>
  <si>
    <t>xxMMProd5Driver4</t>
  </si>
  <si>
    <t>xxMMProd5Driver5</t>
  </si>
  <si>
    <t>finPNLBusBV3Emp4CompDevExp</t>
  </si>
  <si>
    <t>finPNLBusBV3CompDevExp</t>
  </si>
  <si>
    <t>finPNLBusBV3Emp1GeneralTrainingExp</t>
  </si>
  <si>
    <t>finPNLBusBV3Emp2GeneralTrainingExp</t>
  </si>
  <si>
    <t xml:space="preserve">A.  You call a meeting with the client and arrive prepared with a plan to get back on track. You emphasize that they are a priority and you will guarantee that you will be back on track within 3 months. </t>
  </si>
  <si>
    <t>capEmp4BusAV1SalesExp</t>
  </si>
  <si>
    <t>GoTotoolPeople</t>
  </si>
  <si>
    <t>SI &amp; T</t>
  </si>
  <si>
    <t>Cumulative Training Hours Completed</t>
  </si>
  <si>
    <t>obalEmp1CumTrainingHrs</t>
  </si>
  <si>
    <t>obalEmp2CumTrainingHrs</t>
  </si>
  <si>
    <t>obalEmp3CumTrainingHrs</t>
  </si>
  <si>
    <t>capBusAV3H3Y3RevFromPullThru</t>
  </si>
  <si>
    <t>Base Volume Data</t>
  </si>
  <si>
    <t>xxMMProd1Driver1</t>
  </si>
  <si>
    <r>
      <t>·</t>
    </r>
    <r>
      <rPr>
        <sz val="7"/>
        <rFont val="Times New Roman"/>
        <family val="1"/>
      </rPr>
      <t xml:space="preserve">        </t>
    </r>
    <r>
      <rPr>
        <sz val="14"/>
        <rFont val="Arial"/>
        <family val="2"/>
      </rPr>
      <t>Advance the Simulation into Year 1</t>
    </r>
  </si>
  <si>
    <r>
      <t>o</t>
    </r>
    <r>
      <rPr>
        <sz val="7"/>
        <rFont val="Times New Roman"/>
        <family val="1"/>
      </rPr>
      <t xml:space="preserve">       </t>
    </r>
    <r>
      <rPr>
        <sz val="14"/>
        <rFont val="Arial"/>
        <family val="2"/>
      </rPr>
      <t>From the simulation drop-down menu, select ‘New Year.’  You will be asked to confirm New Year; select ‘Yes.’</t>
    </r>
  </si>
  <si>
    <t>Outsourcing Contract Years</t>
  </si>
  <si>
    <t>paramBusBYearsPerContract</t>
  </si>
  <si>
    <t>capBusBForecastRevBid1</t>
  </si>
  <si>
    <t>obalRetEarnValue</t>
  </si>
  <si>
    <t>obalNetEarnValue</t>
  </si>
  <si>
    <t>#</t>
  </si>
  <si>
    <t>Name</t>
  </si>
  <si>
    <t>AdjType</t>
  </si>
  <si>
    <t>Special Deals</t>
  </si>
  <si>
    <t>Adjustments</t>
  </si>
  <si>
    <t>MARKET SALES</t>
  </si>
  <si>
    <t>capBusAEmp3Att</t>
  </si>
  <si>
    <t>capBusBEmp3Att</t>
  </si>
  <si>
    <t>capBusBEmp3CompDevTtlHrReq</t>
  </si>
  <si>
    <t>capBusBEmp4CompDevTtlHrReq</t>
  </si>
  <si>
    <t>obalY2V1H3COS</t>
  </si>
  <si>
    <t>obalY2V2H1COS</t>
  </si>
  <si>
    <t>obalY2V2H2COS</t>
  </si>
  <si>
    <t>Y3 V1 H1</t>
  </si>
  <si>
    <t>Y3 V1 H2</t>
  </si>
  <si>
    <t>capBusAV2BusDevWAvgSalesOutput</t>
  </si>
  <si>
    <t>capBusAV3BusDevWAvgSalesOutput</t>
  </si>
  <si>
    <t>Total Weighted Avg. Sales Output</t>
  </si>
  <si>
    <t>Consulting Sales Output - P3</t>
  </si>
  <si>
    <t>P1 Consulting Relationship (% of Proj Time From Execs)</t>
  </si>
  <si>
    <t>P2 Consulting Relationship (% of Proj Time From Execs)</t>
  </si>
  <si>
    <t>Practice 1 Sales Hrs. Manager Slary Expense</t>
  </si>
  <si>
    <t>ToolHoodCloseFormat</t>
  </si>
  <si>
    <t>ToolHoodOpenFormat</t>
  </si>
  <si>
    <t>SimDataImportDecisions</t>
  </si>
  <si>
    <t>SimMarketModelNonBids</t>
  </si>
  <si>
    <t>PrintAnalysisReport</t>
  </si>
  <si>
    <t>PrintAnnualReportsT1</t>
  </si>
  <si>
    <t>obalEnterpriseWFUtilizationY1</t>
  </si>
  <si>
    <t>obalEnterpriseWFUtilizationY2</t>
  </si>
  <si>
    <t>obalEnterpriseWFUtilizationY3</t>
  </si>
  <si>
    <t>obalEnterpriseWFUtilizationY4</t>
  </si>
  <si>
    <t>See what NDR says per email of 3/15/08.  SWO's recommendation: add a Client Savings mm driver to each outsourcing deal.  Set its weight equal to whatever the Price weight is for that deal, and then set the Price weighting to 0 for each one.  This way we focus on the right client careabout and can still easily report the Price charged.  EMAILED NDR FOR APPROVAL.</t>
  </si>
  <si>
    <t>Total Score (This Year)</t>
  </si>
  <si>
    <t>capEmp9BusAV2Exp</t>
  </si>
  <si>
    <t>capEmp9BusAV3Exp</t>
  </si>
  <si>
    <t>capEmp9BusAV1SalesExp</t>
  </si>
  <si>
    <t>capEmp9BusAV2SalesExp</t>
  </si>
  <si>
    <t>Price Bid 9</t>
  </si>
  <si>
    <t>Partner RFQ Hrs. Bid 1</t>
  </si>
  <si>
    <t>Partner RFQ Hrs. Bid 2</t>
  </si>
  <si>
    <t>Partner RFQ Hrs. Bid 3</t>
  </si>
  <si>
    <t>Partner RFQ Hrs. Bid 4</t>
  </si>
  <si>
    <t>finPNLProd1V1Rev</t>
  </si>
  <si>
    <t>finPNLProd1V2Rev</t>
  </si>
  <si>
    <t>finPNLProd1V3Rev</t>
  </si>
  <si>
    <t>COS</t>
  </si>
  <si>
    <t>cbalY1V2H2COSRealized</t>
  </si>
  <si>
    <t>cbalY1V2H3COSRealized</t>
  </si>
  <si>
    <t>cbalY1V3H1COSRealized</t>
  </si>
  <si>
    <t>cbalY1V3H2COSRealized</t>
  </si>
  <si>
    <t>cbalY1V3H3COSRealized</t>
  </si>
  <si>
    <t>cbalY2V1H1COSRealized</t>
  </si>
  <si>
    <t>capEmp7GeneralTrainingHrsAvailNextYr</t>
  </si>
  <si>
    <t>Consulting CCI % of Revenue Y1</t>
  </si>
  <si>
    <t>Consulting CCI % of Revenue Y2</t>
  </si>
  <si>
    <t>Consulting CCI % of Revenue Y3</t>
  </si>
  <si>
    <t>Consulting CCI % of Revenue Y4</t>
  </si>
  <si>
    <t>Consulting Consultant Utilization Y1</t>
  </si>
  <si>
    <t>Consulting Consultant Utilization Y2</t>
  </si>
  <si>
    <t>Consulting Consultant Utilization Y3</t>
  </si>
  <si>
    <t>Consulting Consultant Utilization Y4</t>
  </si>
  <si>
    <t>Consulting Solutions WF Utilization Y1</t>
  </si>
  <si>
    <t>Consulting Solutions WF Utilization Y2</t>
  </si>
  <si>
    <t>Consulting Solutions WF Utilization Y3</t>
  </si>
  <si>
    <t>C.  Before leaving the office, you schedule a meeting with Sam the following morning.  You discuss the call with him and get his side of the story.  You spend time discussing with Sam the appropriate ways to address this situation in the future and how to develop a better relationship with the buyer.  You then instruct him to contact the buyer directly and work out the situation, even travel to the customer site if necessary.  You then follow up with Sam and the buyer to see if the issue was resolved.</t>
  </si>
  <si>
    <t>Product 6 Segment 3</t>
  </si>
  <si>
    <t>Product 6 Segment 4</t>
  </si>
  <si>
    <t>Product 6 Segment 5</t>
  </si>
  <si>
    <t>xxMMProd2Units</t>
  </si>
  <si>
    <t>xxMMProd2Seg1Units</t>
  </si>
  <si>
    <t>xxMMProd2Seg2Units</t>
  </si>
  <si>
    <t>xxMMProd2Seg3Units</t>
  </si>
  <si>
    <t>xxMMProd2Seg4Units</t>
  </si>
  <si>
    <t>CI %</t>
  </si>
  <si>
    <t>capBusBTotalV1Rev</t>
  </si>
  <si>
    <t>capBusBTotalV2Rev</t>
  </si>
  <si>
    <t>capBusBTotalV3Rev</t>
  </si>
  <si>
    <t>capBusBTotalH1Rev</t>
  </si>
  <si>
    <t>Dashboard Border</t>
  </si>
  <si>
    <t>FMATDBoardColor</t>
  </si>
  <si>
    <t>FMATBGround</t>
  </si>
  <si>
    <t>Decision Area Font Type Header</t>
  </si>
  <si>
    <t>FMATDAreaFontHeader</t>
  </si>
  <si>
    <t>Font</t>
  </si>
  <si>
    <t>TJO</t>
  </si>
  <si>
    <t>TIE</t>
  </si>
  <si>
    <t>GDE</t>
  </si>
  <si>
    <t>UI Group</t>
  </si>
  <si>
    <t>NO</t>
  </si>
  <si>
    <t>Macro to check for # of initiatives - Should be caught in Coaching</t>
  </si>
  <si>
    <t>LKR</t>
  </si>
  <si>
    <t xml:space="preserve">Enterprise WF 2  </t>
  </si>
  <si>
    <t>Scenario Test Results 3</t>
  </si>
  <si>
    <t>capRandomVariable3</t>
  </si>
  <si>
    <t>General and Admin Costs</t>
  </si>
  <si>
    <t>Net Income</t>
  </si>
  <si>
    <t>capBusACurrProjV2Emp3Output</t>
  </si>
  <si>
    <t>CASH FROM FINANCING ACTIVITIES</t>
  </si>
  <si>
    <t>Total Rank (This Year)</t>
  </si>
  <si>
    <t>finBalCardScoreThisYr</t>
  </si>
  <si>
    <t>finBalCardRankThisYr</t>
  </si>
  <si>
    <t>Total Points</t>
  </si>
  <si>
    <t>Balanced Scorecard Cumulative Score</t>
  </si>
  <si>
    <t>cbalCumBalCardPoints</t>
  </si>
  <si>
    <t>Employee Engagement (ESAT)</t>
  </si>
  <si>
    <t>capCSATEnd</t>
  </si>
  <si>
    <t>Outsourcing General Ops Improvement</t>
  </si>
  <si>
    <t>% Cost Reduction</t>
  </si>
  <si>
    <t>cbalBusBGenOpsPctCostReduce</t>
  </si>
  <si>
    <t>finCashFlowWorkCap</t>
  </si>
  <si>
    <t>Sr. Exec</t>
  </si>
  <si>
    <t>Mgr.</t>
  </si>
  <si>
    <t>Con.</t>
  </si>
  <si>
    <t>finPNLBusBV1Emp4GeneralTrainingExp</t>
  </si>
  <si>
    <t>Training Expense</t>
  </si>
  <si>
    <t>Admin Expense</t>
  </si>
  <si>
    <t>Non-Payroll Training Budget</t>
  </si>
  <si>
    <t>Recruiting/Dismissal Costs</t>
  </si>
  <si>
    <t>capBusBV3Emp3CompDevTtlHrReq</t>
  </si>
  <si>
    <t>cbalTeamNumber</t>
  </si>
  <si>
    <t>Team Number:</t>
  </si>
  <si>
    <t>Team Name:</t>
  </si>
  <si>
    <t>Glossary</t>
  </si>
  <si>
    <t>English</t>
  </si>
  <si>
    <t>Swedish</t>
  </si>
  <si>
    <t>After importing all decisions, you will be asked whether to save the simulation before proceeding; select appropriately.</t>
  </si>
  <si>
    <t>Vertical Dev Drop Down</t>
  </si>
  <si>
    <t>capBusACurrProjV2PctStaffed</t>
  </si>
  <si>
    <t>capBusACurrProjV3PctStaffed</t>
  </si>
  <si>
    <t>decProd1V2Units</t>
  </si>
  <si>
    <t>decProd1V3Units</t>
  </si>
  <si>
    <t>paramEmp5ProductivityCoef</t>
  </si>
  <si>
    <t>decProd1V2Price</t>
  </si>
  <si>
    <t>decProd1V3Price</t>
  </si>
  <si>
    <t>paramEmp5V2Exp</t>
  </si>
  <si>
    <t>paramEmp5V3Exp</t>
  </si>
  <si>
    <t>cbalBusAEmp1Utiliz</t>
  </si>
  <si>
    <t>cbalBusAEmp2Utiliz</t>
  </si>
  <si>
    <t>cbalBusBEmp2Utiliz</t>
  </si>
  <si>
    <t>cbalBusAEmp3Utiliz</t>
  </si>
  <si>
    <t>cbalBusBEmp3Utiliz</t>
  </si>
  <si>
    <t>cbalBusAEmp4Utiliz</t>
  </si>
  <si>
    <t>cbalBusBEmp4Utiliz</t>
  </si>
  <si>
    <t>obalBusAEmp1Utiliz</t>
  </si>
  <si>
    <t>obalBusBEmp1Utiliz</t>
  </si>
  <si>
    <t>obalBusAEmp2Utiliz</t>
  </si>
  <si>
    <t>obalBusBEmp2Utiliz</t>
  </si>
  <si>
    <t>obalBusAEmp3Utiliz</t>
  </si>
  <si>
    <t>finBusBV2Emp3BusDevTimeExp</t>
  </si>
  <si>
    <t>finBusBV2Emp4BusDevTimeExp</t>
  </si>
  <si>
    <t>finBusBV2BusDevTimeExp</t>
  </si>
  <si>
    <t>finPNLBusBV2H1GlobalSalaryExp</t>
  </si>
  <si>
    <t>Here is where you can put in all the bid data, it is designed to be used to update the participants pcs.</t>
  </si>
  <si>
    <t>Menus</t>
  </si>
  <si>
    <t>Menu Name</t>
  </si>
  <si>
    <t>MenuItems</t>
  </si>
  <si>
    <t>Menu Number</t>
  </si>
  <si>
    <t>Menu Item</t>
  </si>
  <si>
    <t>paramEmp3ProductivityCoef</t>
  </si>
  <si>
    <t>paramEmp4ProductivityCoef</t>
  </si>
  <si>
    <t>Total Current Projects Hrs. Required</t>
  </si>
  <si>
    <t>NA()</t>
  </si>
  <si>
    <t>Big Company 1</t>
  </si>
  <si>
    <t>Big Company 2</t>
  </si>
  <si>
    <t>Big Company 3</t>
  </si>
  <si>
    <t>capEmp6ExCapCost</t>
  </si>
  <si>
    <t>capEmp6RecDismExp</t>
  </si>
  <si>
    <t>capEmp6AdminExp</t>
  </si>
  <si>
    <t>Wobbler 1</t>
  </si>
  <si>
    <t>Wobbler 2</t>
  </si>
  <si>
    <t>Wobbler 3</t>
  </si>
  <si>
    <t>Product 1</t>
  </si>
  <si>
    <t>Finance</t>
  </si>
  <si>
    <t>Common Stock</t>
  </si>
  <si>
    <t>Customer Satisfaction</t>
  </si>
  <si>
    <t>CSAT</t>
  </si>
  <si>
    <t>Special Programs</t>
  </si>
  <si>
    <t>Year Selected</t>
  </si>
  <si>
    <t>Program Number</t>
  </si>
  <si>
    <t>Previous Years Income Statement</t>
  </si>
  <si>
    <t>Decisions</t>
  </si>
  <si>
    <t>Other Liability Growth</t>
  </si>
  <si>
    <t>paramOtherCurrLiabGrowth</t>
  </si>
  <si>
    <t>Emp 1: 310</t>
  </si>
  <si>
    <t>Emp 2: 340</t>
  </si>
  <si>
    <t>When the teams have finished their decision-making, the decisions must be exported from each team tool onto a USB drive or diskette.  The exported decisions file is very small (approximately 70kb).</t>
  </si>
  <si>
    <t>DataPageTrainingTargetEmp3</t>
  </si>
  <si>
    <t>DataPageTrainingTargetEmp6</t>
  </si>
  <si>
    <t xml:space="preserve">Target Training Hours  </t>
  </si>
  <si>
    <t xml:space="preserve">Target Budget  </t>
  </si>
  <si>
    <t>Training Budget Guidance</t>
  </si>
  <si>
    <t>DataPageTrainingBudgetTargetEmp4</t>
  </si>
  <si>
    <t>DataPageTrainingBudgetTargetEmp3</t>
  </si>
  <si>
    <t>DataPageTrainingBudgetTargetEmp2</t>
  </si>
  <si>
    <t>DataPageTrainingBudgetTargetEmp1</t>
  </si>
  <si>
    <t>DataPageTrainingBudgetTargetEmp6</t>
  </si>
  <si>
    <t>DataPageTotalTrainingTargetHrs</t>
  </si>
  <si>
    <t>changed values in obal80 to 11 from 55.  Way too many resources for Outsourcing, but needs to be checked for balance, maybe by NDR?</t>
  </si>
  <si>
    <t>Way too many Outsourcing SE resources</t>
  </si>
  <si>
    <t>sorry no time to look it up.</t>
  </si>
  <si>
    <t>Sr Mgr time should drive Cost of Poor Quality down like the Global Services Lines borrowing used to.</t>
  </si>
  <si>
    <t>Marketing Expense Allocation</t>
  </si>
  <si>
    <t>finPNLBusBV3TotalGlobalSalaryExp</t>
  </si>
  <si>
    <t>Prod7</t>
  </si>
  <si>
    <t>Prod8</t>
  </si>
  <si>
    <t>Prod9</t>
  </si>
  <si>
    <t>Prod10</t>
  </si>
  <si>
    <t>decBid4Emp2HrsRFQ</t>
  </si>
  <si>
    <t>decBid5Price</t>
  </si>
  <si>
    <t>decBid5Emp4HrsRFQ</t>
  </si>
  <si>
    <t>decBid5Emp3HrsRFQ</t>
  </si>
  <si>
    <t>Senior Manager/</t>
  </si>
  <si>
    <t>Revenue ($M)</t>
  </si>
  <si>
    <t>Training Hours Per Employee</t>
  </si>
  <si>
    <t>Total Enterprise Expense</t>
  </si>
  <si>
    <t>TOTAL</t>
  </si>
  <si>
    <t>finEntSvcsTotalTrainingBudgetExp</t>
  </si>
  <si>
    <t>finEntSvcsTotalExp</t>
  </si>
  <si>
    <t>Payroll Expense</t>
  </si>
  <si>
    <t>Enterprise Expense Allocation</t>
  </si>
  <si>
    <t>decBusAEmp1HrsCurrProjV3</t>
  </si>
  <si>
    <t>decBusAEmp2HrsSalesV2</t>
  </si>
  <si>
    <t>Staffing Level</t>
  </si>
  <si>
    <t>dataListStaffing</t>
  </si>
  <si>
    <t>dataListStaffingValues</t>
  </si>
  <si>
    <t>Extremely Generous</t>
  </si>
  <si>
    <t>Generous</t>
  </si>
  <si>
    <t>Moderately Generous</t>
  </si>
  <si>
    <t>Neutral</t>
  </si>
  <si>
    <t>Moderately Lean</t>
  </si>
  <si>
    <t>Lean</t>
  </si>
  <si>
    <t>Extremely Lean</t>
  </si>
  <si>
    <t>paramV2BaseRevenue</t>
  </si>
  <si>
    <t>paramV3BaseRevenue</t>
  </si>
  <si>
    <t>BPO COS Base</t>
  </si>
  <si>
    <t>BPO COS Actual</t>
  </si>
  <si>
    <t>cbalY1V1H1COSRealized</t>
  </si>
  <si>
    <t>cbalY1V1H2COSRealized</t>
  </si>
  <si>
    <t>cbalY1V1H3COSRealized</t>
  </si>
  <si>
    <t>cbalY1V2H1COSRealized</t>
  </si>
  <si>
    <t>paramPlant3InvCost</t>
  </si>
  <si>
    <t>cbalY2V1H2COSRealized</t>
  </si>
  <si>
    <t>cbalY2V1H3COSRealized</t>
  </si>
  <si>
    <t>cbalY2V2H1COSRealized</t>
  </si>
  <si>
    <t>cbalY2V2H2COSRealized</t>
  </si>
  <si>
    <t>cbalY2V2H3COSRealized</t>
  </si>
  <si>
    <t>cbalY2V3H1COSRealized</t>
  </si>
  <si>
    <t>cbalY2V3H2COSRealized</t>
  </si>
  <si>
    <t>cbalY2V3H3COSRealized</t>
  </si>
  <si>
    <t>cbalY3V1H1COSRealized</t>
  </si>
  <si>
    <t>cbalY3V1H2COSRealized</t>
  </si>
  <si>
    <t>cbalY3V1H3COSRealized</t>
  </si>
  <si>
    <t>cbalY3V2H1COSRealized</t>
  </si>
  <si>
    <t>cbalY3V2H2COSRealized</t>
  </si>
  <si>
    <t>cbalY3V2H3COSRealized</t>
  </si>
  <si>
    <t>finPNLBusAV1Emp4CompDevTimeExp</t>
  </si>
  <si>
    <t>paramV1BaseCOS</t>
  </si>
  <si>
    <t>paramV2BaseCOS</t>
  </si>
  <si>
    <t>paramV3BaseCOS</t>
  </si>
  <si>
    <t>Increase (-)/ Decrease (+) in Accounts Receivable</t>
  </si>
  <si>
    <t>SWO: The observation was that teams were hiring more Enterprise Workforce than their hiring decision.  This may already be fixed, but with the various versions of the sim prior to me documenting these things, I wanted you to check it out and see if your fix mentioned in column H was implemented or not.</t>
  </si>
  <si>
    <t>As long as the training budget isn't importing as 0 (I erroneously said that the 'training delta' was 0 to the left, but that should be the training budget), then we should be ok.  Is that the case?</t>
  </si>
  <si>
    <t>xxMMProd1Seg2Units</t>
  </si>
  <si>
    <t>xxMMProd1Seg3Units</t>
  </si>
  <si>
    <t>capBusAEmp1EndHrsAvailable</t>
  </si>
  <si>
    <t>capBusBEmp1EndHrsAvailable</t>
  </si>
  <si>
    <t>capEmp1BusBOpsImprovementExp</t>
  </si>
  <si>
    <t>capEmp1BusBCompDevAllocExp</t>
  </si>
  <si>
    <t>DataTableBid5COSReducPursuit</t>
  </si>
  <si>
    <t>DataTableBid6COSReducPursuit</t>
  </si>
  <si>
    <t>DataTableBid7COSReducPursuit</t>
  </si>
  <si>
    <t>DataTableBid8COSReducPursuit</t>
  </si>
  <si>
    <t>DataTableBid9COSReducPursuit</t>
  </si>
  <si>
    <t>Bid9 Pursuit</t>
  </si>
  <si>
    <t>Bid8 Pursuit</t>
  </si>
  <si>
    <t>Bid7 Pursuit</t>
  </si>
  <si>
    <t>Bid6 Pursuit</t>
  </si>
  <si>
    <t>Bid5 Pursuit</t>
  </si>
  <si>
    <t>Total Revenue V1</t>
  </si>
  <si>
    <t>Total Revenue V2</t>
  </si>
  <si>
    <t>Opening Balances</t>
  </si>
  <si>
    <t>Team 1</t>
  </si>
  <si>
    <t>Team 2</t>
  </si>
  <si>
    <t>Team 3</t>
  </si>
  <si>
    <t>Team 4</t>
  </si>
  <si>
    <t>Team 5</t>
  </si>
  <si>
    <t>Assets</t>
  </si>
  <si>
    <t>decEmp4TrainingBudget</t>
  </si>
  <si>
    <t>decEmp3TrainingBudget</t>
  </si>
  <si>
    <t>decEmp2TrainingBudget</t>
  </si>
  <si>
    <t>decEmp1TrainingBudget</t>
  </si>
  <si>
    <t>Practice 2 Sales Hrs. Manager Slary Expense</t>
  </si>
  <si>
    <t>Practice 3 Sales Hrs. Manager Slary Expense</t>
  </si>
  <si>
    <t>Comp. Dev Hrs. Manager Slary Expense</t>
  </si>
  <si>
    <t>capBusAEmp3EndHrsAvailable</t>
  </si>
  <si>
    <t>xxMMProd3Units</t>
  </si>
  <si>
    <t>xxMMProd3Seg1Units</t>
  </si>
  <si>
    <t>xxMMProd3Seg2Units</t>
  </si>
  <si>
    <t>Practice 1 Revives</t>
  </si>
  <si>
    <t>finCashFlowFinance</t>
  </si>
  <si>
    <t xml:space="preserve">Management Consulting  </t>
  </si>
  <si>
    <t>capEmp7Att</t>
  </si>
  <si>
    <t>capBusAEmp7Att</t>
  </si>
  <si>
    <t>capBusAEmp7End</t>
  </si>
  <si>
    <t>capBusAEmp7EndHrsAvailable</t>
  </si>
  <si>
    <t>capEmp7Req</t>
  </si>
  <si>
    <t>capBusAEmp7Req</t>
  </si>
  <si>
    <t>capEmp7Utiliz</t>
  </si>
  <si>
    <t>capBusAV1Y2RevFromPullThru</t>
  </si>
  <si>
    <t>capBusAV2Y2RevFromPullThru</t>
  </si>
  <si>
    <t>capBusAV3Y2RevFromPullThru</t>
  </si>
  <si>
    <t>capBusAV2Y3RevFromPullThru</t>
  </si>
  <si>
    <t>capBusAV1Y3RevFromPullThru</t>
  </si>
  <si>
    <t>capBusAV3Y3RevFromPullThru</t>
  </si>
  <si>
    <t>capBusAV3Y1RevFromPullThru</t>
  </si>
  <si>
    <t>capBusAV2Y1RevFromPullThru</t>
  </si>
  <si>
    <t>capBusAV1Y1RevFromPullThru</t>
  </si>
  <si>
    <t>Outsourcing Utilization - Soln WF</t>
  </si>
  <si>
    <t>capBusAQualityCostAdj</t>
  </si>
  <si>
    <t>capBusBQualityCostAdj</t>
  </si>
  <si>
    <t>finPNLBusAV1QualityCost</t>
  </si>
  <si>
    <t>finPNLBusAV2QualityCost</t>
  </si>
  <si>
    <t>finPNLBusAV3QualityCost</t>
  </si>
  <si>
    <t>finPNLBusATotalQualityCost</t>
  </si>
  <si>
    <t>Cost of Quality V1</t>
  </si>
  <si>
    <t>finPNLBusBV1QualityCost</t>
  </si>
  <si>
    <t>Cost of Quality V2</t>
  </si>
  <si>
    <t>obalY1V3H2COS</t>
  </si>
  <si>
    <t>obalY1V3H3COS</t>
  </si>
  <si>
    <t>Marketing Expense ($000s)</t>
  </si>
  <si>
    <t>Better linking to Analysis Data and Feedbak Data.</t>
  </si>
  <si>
    <t>Security Macros</t>
  </si>
  <si>
    <t>Incorporate Sim Builder Tool Macros (Personal) into MiniMaster</t>
  </si>
  <si>
    <t xml:space="preserve">Hide Row and Columns </t>
  </si>
  <si>
    <t>Dashboard on Status Bar</t>
  </si>
  <si>
    <t>cap399</t>
  </si>
  <si>
    <t>training was allowing ESAT to drop by 35%</t>
  </si>
  <si>
    <t>finPNLBusBV3EmpRecDismExp</t>
  </si>
  <si>
    <t>Practice 1 Consultant Allocation - Sales</t>
  </si>
  <si>
    <t>Practice 2 Consultant Allocation - Sales</t>
  </si>
  <si>
    <t>Practice 3 Consultant Allocation - Sales</t>
  </si>
  <si>
    <t>Practice 1 Sales Hrs. Consultant Slary Expense</t>
  </si>
  <si>
    <t>Practice 2 Sales Hrs. Consultant Slary Expense</t>
  </si>
  <si>
    <t>Practice 3 Sales Hrs. Consultant Slary Expense</t>
  </si>
  <si>
    <t>Comp. Dev Hrs. Consultant Slary Expense</t>
  </si>
  <si>
    <t>Practice 1 Manager Allocation - Current Projects</t>
  </si>
  <si>
    <t>Practice 2 Manager Allocation - Current Projects</t>
  </si>
  <si>
    <t>Practice 3 Manager Allocation - Current Projects</t>
  </si>
  <si>
    <t>xxMMProd6Units</t>
  </si>
  <si>
    <t>xxMMProd6Seg1Units</t>
  </si>
  <si>
    <t>xxMMProd6Seg2Units</t>
  </si>
  <si>
    <t>&amp;Developer Tools</t>
  </si>
  <si>
    <t>Enterprise Marketing &amp; Sales Support</t>
  </si>
  <si>
    <t>finPNLBusAV3Emp9adminExp</t>
  </si>
  <si>
    <t>finPNLBusAV3Emp8adminExp</t>
  </si>
  <si>
    <t>finPNLBusAV3Emp7adminExp</t>
  </si>
  <si>
    <t>capBusAV2H1Y2RevFromPullThru</t>
  </si>
  <si>
    <t>capBusAV2H2Y2RevFromPullThru</t>
  </si>
  <si>
    <t>ClientValuePct Bid 1</t>
  </si>
  <si>
    <t>ClientValuePct Bid 2</t>
  </si>
  <si>
    <t>ClientValuePct Bid 3</t>
  </si>
  <si>
    <t>ClientValuePct Bid 4</t>
  </si>
  <si>
    <t>ClientValuePct Bid 5</t>
  </si>
  <si>
    <t>ClientValuePct Bid 6</t>
  </si>
  <si>
    <t>ClientValuePct Bid 7</t>
  </si>
  <si>
    <t>ClientValuePct Bid 8</t>
  </si>
  <si>
    <t>ClientValuePct Bid 9</t>
  </si>
  <si>
    <t>2008Apr20</t>
  </si>
  <si>
    <t>finPNLBusATotalOpExp</t>
  </si>
  <si>
    <t>finPNLBusAV1EmpRecDismExp</t>
  </si>
  <si>
    <t>finPNLBusAV2EmpRecDismExp</t>
  </si>
  <si>
    <t>finPNLBusAV3EmpRecDismExp</t>
  </si>
  <si>
    <t>finPNLBusAV1OpsMargin</t>
  </si>
  <si>
    <t>finPNLBusAV2OpsMargin</t>
  </si>
  <si>
    <t>finPNLBusAV3OpsMargin</t>
  </si>
  <si>
    <t>Popup Wobbler 1</t>
  </si>
  <si>
    <t>Popup Wobbler 2</t>
  </si>
  <si>
    <t>Popup Wobbler 3</t>
  </si>
  <si>
    <t>Popup Wobbler 4</t>
  </si>
  <si>
    <t>Popup Wobbler 5</t>
  </si>
  <si>
    <t>Popup Wobbler 6</t>
  </si>
  <si>
    <t>Popup Wobbler 7</t>
  </si>
  <si>
    <t>Popup Wobbler 8</t>
  </si>
  <si>
    <t>Popup Wobbler 9</t>
  </si>
  <si>
    <t>Popup Wobbler 10</t>
  </si>
  <si>
    <t>PopUp Wobbler</t>
  </si>
  <si>
    <t>PopUP1</t>
  </si>
  <si>
    <t>PopUP2</t>
  </si>
  <si>
    <t>NET CASH FROM OPERATING ACTIVITIES</t>
  </si>
  <si>
    <t>CASH USED IN INVESTING ACTIVITIES</t>
  </si>
  <si>
    <t>Net Capital Investments(-)/ Divestments (+)</t>
  </si>
  <si>
    <t>NET CASH FROM INVESTING ACTIVITIES</t>
  </si>
  <si>
    <t>FREE CASH FLOW</t>
  </si>
  <si>
    <t>Training Budget Delta</t>
  </si>
  <si>
    <t>finPNLBusAV1OpsMarginPct</t>
  </si>
  <si>
    <t>finPNLBusAV2OpsMarginPct</t>
  </si>
  <si>
    <t>finPNLBusAV3OpsMarginPct</t>
  </si>
  <si>
    <t>finPNLBusAOpsMarginPct</t>
  </si>
  <si>
    <t>finPNLBusBV2H2GlobalSalaryExp</t>
  </si>
  <si>
    <t>finPNLBusBV2Emp1CompDevExp</t>
  </si>
  <si>
    <t>finPNLBusBV2Emp2CompDevExp</t>
  </si>
  <si>
    <t>finPNLBusBV2Emp3CompDevExp</t>
  </si>
  <si>
    <t>finPNLBusBV2Emp4CompDevExp</t>
  </si>
  <si>
    <t>finPNLBusBV2CompDevExp</t>
  </si>
  <si>
    <t>finPNLBusBV2Emp1GeneralTrainingExp</t>
  </si>
  <si>
    <t>finPNLBusBV2Emp2GeneralTrainingExp</t>
  </si>
  <si>
    <t>finPNLBusBV2Emp3GeneralTrainingExp</t>
  </si>
  <si>
    <t>Default Tool - Outsourcing</t>
  </si>
  <si>
    <t>Soln WF</t>
  </si>
  <si>
    <t>Consult</t>
  </si>
  <si>
    <t>Exec</t>
  </si>
  <si>
    <t>Pursuit</t>
  </si>
  <si>
    <t>Comp Dev</t>
  </si>
  <si>
    <t>Inits</t>
  </si>
  <si>
    <t>Hours Needed</t>
  </si>
  <si>
    <t>HC Needed</t>
  </si>
  <si>
    <t>Practice 1 Manager Allocation - Sales</t>
  </si>
  <si>
    <t>Practice 2 Manager Allocation - Sales</t>
  </si>
  <si>
    <t>finPNLBusBV2OtherExp</t>
  </si>
  <si>
    <t>finPNLBusBV2SpecProgExp</t>
  </si>
  <si>
    <t>finPNLBusBV3TtlEmpAdminExp</t>
  </si>
  <si>
    <t>Prod4Seg3</t>
  </si>
  <si>
    <t>Intro</t>
  </si>
  <si>
    <t>Popup Wobbler Table/Database</t>
  </si>
  <si>
    <t>Slot #</t>
  </si>
  <si>
    <t>Title</t>
  </si>
  <si>
    <t xml:space="preserve">A. Commit to pay a 6% bonus. Your people are your most important asset and you cannot afford any additional attrition. </t>
  </si>
  <si>
    <t>finPNLBusBTotalGlobalWFExp</t>
  </si>
  <si>
    <t>finPNLBusBTotalCompDevExp</t>
  </si>
  <si>
    <t>finPNLBusBTotalGeneralTrainingExp</t>
  </si>
  <si>
    <t>finPNLBusBTotalEntWFExp</t>
  </si>
  <si>
    <t>finPNLBusBTotalUnallocWFExp</t>
  </si>
  <si>
    <t>finPNLBusBTotalEmpAdminExp</t>
  </si>
  <si>
    <t>finPNLBusBTotalRecDismExp</t>
  </si>
  <si>
    <t>finPNLBusBTotalFixedAdminExp</t>
  </si>
  <si>
    <t>finPNLBusBTotalOtherOpExp</t>
  </si>
  <si>
    <t>finPNLBusBTotalOpExp</t>
  </si>
  <si>
    <t>finPNLBusBTotalOpIncome</t>
  </si>
  <si>
    <t>finPNLBusBTotalOpMarginPct</t>
  </si>
  <si>
    <t>Equipment</t>
  </si>
  <si>
    <t>Total Property &amp; Equip.</t>
  </si>
  <si>
    <t>Market 1</t>
  </si>
  <si>
    <t>Driver 4</t>
  </si>
  <si>
    <t>Driver 5</t>
  </si>
  <si>
    <t>Driver 6</t>
  </si>
  <si>
    <t>Segment %</t>
  </si>
  <si>
    <t>Outsourcing</t>
  </si>
  <si>
    <t>Segment 1</t>
  </si>
  <si>
    <t>Segment 2</t>
  </si>
  <si>
    <t>Segment 3</t>
  </si>
  <si>
    <t>Segment 4</t>
  </si>
  <si>
    <t>Product 5 Segment 7</t>
  </si>
  <si>
    <r>
      <t>o</t>
    </r>
    <r>
      <rPr>
        <sz val="7"/>
        <rFont val="Times New Roman"/>
        <family val="1"/>
      </rPr>
      <t xml:space="preserve">       </t>
    </r>
    <r>
      <rPr>
        <sz val="14"/>
        <rFont val="Arial"/>
        <family val="2"/>
      </rPr>
      <t>Locate the directory of the exported decision files from the dialogue box that appears.</t>
    </r>
  </si>
  <si>
    <t>listDataSpecProgsCode</t>
  </si>
  <si>
    <t>Program Used Last year</t>
  </si>
  <si>
    <t>capY3V2H2COSRealized</t>
  </si>
  <si>
    <t>capY3V2H3COSRealized</t>
  </si>
  <si>
    <t>capY3V3H1COSRealized</t>
  </si>
  <si>
    <t>capY3V3H2COSRealized</t>
  </si>
  <si>
    <t>capBusAV2H1Y1RevFromPullThru</t>
  </si>
  <si>
    <t>capBusAV2H2Y1RevFromPullThru</t>
  </si>
  <si>
    <t>Yr 0</t>
  </si>
  <si>
    <t>Yr 1</t>
  </si>
  <si>
    <t>Yr 2</t>
  </si>
  <si>
    <t>Yr 3</t>
  </si>
  <si>
    <t>Yr 4</t>
  </si>
  <si>
    <t>obalConsultingConsultantUtilY1</t>
  </si>
  <si>
    <t>obalConsultingConsultantUtilY2</t>
  </si>
  <si>
    <r>
      <t>·</t>
    </r>
    <r>
      <rPr>
        <sz val="7"/>
        <rFont val="Times New Roman"/>
        <family val="1"/>
      </rPr>
      <t xml:space="preserve">        </t>
    </r>
    <r>
      <rPr>
        <sz val="14"/>
        <rFont val="Arial"/>
        <family val="2"/>
      </rPr>
      <t>Use the ‘Manual Adjustments’ page for all adjustments.  The new actual shares will be shown as adjustments are made.  However, based on supply available, some teams might stock-out, and therefore, actual share allocated might not match with the manual allocation.</t>
    </r>
  </si>
  <si>
    <r>
      <t>·</t>
    </r>
    <r>
      <rPr>
        <sz val="7"/>
        <rFont val="Times New Roman"/>
        <family val="1"/>
      </rPr>
      <t xml:space="preserve">        </t>
    </r>
    <r>
      <rPr>
        <sz val="14"/>
        <rFont val="Arial"/>
        <family val="2"/>
      </rPr>
      <t>Use ONLY the yellow cells to make adjustments.</t>
    </r>
  </si>
  <si>
    <t>SWO: Email from MPR: If you look at the explanation of the wobbler options, they did not match up with the calculations that were detailed in the sim (ie. the new revenue in the added work showed up in option x in the sim, instead of option y as detailed in the written wobbler).  Moreover, you would think where there was addl work, you would have addl work hours.  However, the addl work hours seemed to show up in the sim in the option where we were abandoning the customer.  Hard to explain, but just go the Dec or Calc (?) page in the sim and go all the way to the bottom where the Wobblers calcuations are.  Read over each option and see the matching calcs.  You will see what I mean.</t>
  </si>
  <si>
    <t>SWO: Wobbler docs don't match sim?  I am including Matt's notes but don't have enough time to track this down… sorry…</t>
  </si>
  <si>
    <t xml:space="preserve">Program 1  </t>
  </si>
  <si>
    <t xml:space="preserve">Program 2  </t>
  </si>
  <si>
    <t xml:space="preserve">Program 3  </t>
  </si>
  <si>
    <t>MIN(15%,(obalEmp2GeneralTrainingHrsCompleted-cbalEmp2GeneralTrainingHrsCompleted)*0.0025)</t>
  </si>
  <si>
    <t>MIN(15%,(obalEmp3GeneralTrainingHrsCompleted-cbalEmp3GeneralTrainingHrsCompleted)*0.0025)</t>
  </si>
  <si>
    <t>MIN(15%,(obalEmp4GeneralTrainingHrsCompleted-cbalEmp4GeneralTrainingHrsCompleted)*0.0025)</t>
  </si>
  <si>
    <t>Outsourcing Sales Output - V1H2</t>
  </si>
  <si>
    <t>capBusBV1H2BusDevWAvgSalesOutput</t>
  </si>
  <si>
    <t>Outsourcing Sales Output - V1H3</t>
  </si>
  <si>
    <t>capBusBV1H3BusDevWAvgSalesOutput</t>
  </si>
  <si>
    <t>#VALUE and #N/A errors on Analysis page</t>
  </si>
  <si>
    <t>mmProd1 tab E150:I152</t>
  </si>
  <si>
    <t>tlInputBusAStaffProf</t>
  </si>
  <si>
    <t>IF(tlInputBusAStaffProf1="Diamond",1,IF(tlInputBusAStaffProf1="Top Heavy",2,IF(tlInputBusAStaffProf1="Mod. Top Heavy",3,IF(tlInputBusAStaffProf1="Guideline",4,IF(tlInputBusAStaffProf1="Mod. Bottom Heavy",5,IF(tlInputBusAStaffProf1="Bottom Heavy",6,4))))))</t>
  </si>
  <si>
    <t>finPNLBusASpecProgExp</t>
  </si>
  <si>
    <t>Special Programs Expense Consulting P1</t>
  </si>
  <si>
    <t>paramSpecProgBusAV1Exp</t>
  </si>
  <si>
    <t>E&amp;xport Decisions</t>
  </si>
  <si>
    <t>capEntSvcsEmp6Exp</t>
  </si>
  <si>
    <t>capEntSvcsEmp6RecDismExp</t>
  </si>
  <si>
    <t>capEntSvcsEmp6AdminExp</t>
  </si>
  <si>
    <t>Consulting Solutions WF % Product Allocation</t>
  </si>
  <si>
    <t>Outsourcing Solutions WF % Product Allocation</t>
  </si>
  <si>
    <t>Outsourcing V1 Manager Salary Expense</t>
  </si>
  <si>
    <t>Outsourcing V2 Manager Salary Expense</t>
  </si>
  <si>
    <t>Outsourcing V3 Manager Salary Expense</t>
  </si>
  <si>
    <t>capEmp4Req</t>
  </si>
  <si>
    <t>capEmp2BusAV1Alloc</t>
  </si>
  <si>
    <t>capEmp2BusAV2Alloc</t>
  </si>
  <si>
    <t>GoToToolDecSummary</t>
  </si>
  <si>
    <t>Cost Reduction Manual Entry Adjustments</t>
  </si>
  <si>
    <t>obalBusAV1ControllableIncome</t>
  </si>
  <si>
    <t>obalBusAV2ControllableIncome</t>
  </si>
  <si>
    <t>obalBusAV3ControllableIncome</t>
  </si>
  <si>
    <t>cbalBusAV1ControllableIncome</t>
  </si>
  <si>
    <t>cbalBusAV2ControllableIncome</t>
  </si>
  <si>
    <t>Avg. / Total</t>
  </si>
  <si>
    <t>MktShr. Earned</t>
  </si>
  <si>
    <t>Hours</t>
  </si>
  <si>
    <t>Industry</t>
  </si>
  <si>
    <t>Interest Expense</t>
  </si>
  <si>
    <t>Analyst</t>
  </si>
  <si>
    <t>Senior Manager</t>
  </si>
  <si>
    <t>obalTotalEmpDismissal</t>
  </si>
  <si>
    <t>cbalTotalEmpDismissal</t>
  </si>
  <si>
    <t>Special Program ESAT</t>
  </si>
  <si>
    <t>paramSpecProgESAT</t>
  </si>
  <si>
    <t>Cumulative Consulting</t>
  </si>
  <si>
    <t>This Yr. Total</t>
  </si>
  <si>
    <t>obalBusACompDevCurrYrTotal</t>
  </si>
  <si>
    <t>cbalBusACompDevCurrYrTotal</t>
  </si>
  <si>
    <t>Total Comp Dev This Yr</t>
  </si>
  <si>
    <t xml:space="preserve"> Disniss   </t>
  </si>
  <si>
    <t>Enterprise</t>
  </si>
  <si>
    <t>Total "Consultant" Dismiss</t>
  </si>
  <si>
    <t>decEmp4BusADismiss</t>
  </si>
  <si>
    <t>Practice 1 Sales Hrs. Sr. Executive Slary Expense</t>
  </si>
  <si>
    <t>Practice 2 Sales Hrs. Sr. Executive Slary Expense</t>
  </si>
  <si>
    <t>Practice 3 Sales Hrs. Sr. Executive Slary Expense</t>
  </si>
  <si>
    <t>Comp. Dev Hrs. Sr. Executive Slary Expense</t>
  </si>
  <si>
    <t>Non-Billable Consulting Hrs. Sr. Executive Slary Expense</t>
  </si>
  <si>
    <t>Outsourcing Sr. Executive Expense Allocation</t>
  </si>
  <si>
    <t>Outsourcing V1 Sr. Executive Salary Expense</t>
  </si>
  <si>
    <t>Outsourcing V2 Sr. Executive Salary Expense</t>
  </si>
  <si>
    <t>Outsourcing V3 Sr. Executive Salary Expense</t>
  </si>
  <si>
    <t>capEmp1BusAV1SalesExp</t>
  </si>
  <si>
    <t>capEmp1BusAV2SalesExp</t>
  </si>
  <si>
    <t>capEmp1BusAV3SalesExp</t>
  </si>
  <si>
    <t>BPO COS Realized</t>
  </si>
  <si>
    <t>BPO Bid Revenue Realized</t>
  </si>
  <si>
    <t>capEmp4Att</t>
  </si>
  <si>
    <t>capEmp4Utiliz</t>
  </si>
  <si>
    <t>capEmp4Exp</t>
  </si>
  <si>
    <t>The teams make decisions in their tools according to the course schedule.  Use the drop-down menus to navigate through the tool.  To exit the tool, select ‘Exit Tool’ from the ‘Actions’ menu.</t>
  </si>
  <si>
    <t>STEP 4</t>
  </si>
  <si>
    <t>Exporting New Balances from the Simulation</t>
  </si>
  <si>
    <t>capBusAOverallConsUtil</t>
  </si>
  <si>
    <t>capBusAOverallSolnWFUtil</t>
  </si>
  <si>
    <t xml:space="preserve">Overall  </t>
  </si>
  <si>
    <r>
      <t>capBusBY1V1H</t>
    </r>
    <r>
      <rPr>
        <i/>
        <sz val="8"/>
        <rFont val="Arial"/>
        <family val="2"/>
      </rPr>
      <t>3</t>
    </r>
    <r>
      <rPr>
        <sz val="8"/>
        <rFont val="Arial"/>
        <family val="2"/>
      </rPr>
      <t>OpsSavings</t>
    </r>
  </si>
  <si>
    <t>capBusBY1V2H1OpsSavings</t>
  </si>
  <si>
    <t>capBusBY1V2H2OpsSavings</t>
  </si>
  <si>
    <t>capBusBY1V2H3OpsSavings</t>
  </si>
  <si>
    <t>capBusBY1V3H1OpsSavings</t>
  </si>
  <si>
    <t>capBusBY1V3H2OpsSavings</t>
  </si>
  <si>
    <t>Add CSAT &amp; ESAT Indexes, Methodology</t>
  </si>
  <si>
    <t xml:space="preserve">More Thorough Feedback File </t>
  </si>
  <si>
    <t>Contribution Report on P&amp;L Page</t>
  </si>
  <si>
    <t>Analysis Abstract (1 Pager)</t>
  </si>
  <si>
    <t>This choice obviously required the least amount of senior management’s attention.  While the HR initiatives had full support from management, employees did not sense that anything was being done at the highest levels of the organization to combat the morale issues.  You have missed the opportunity to really help make GECo a great place to work.</t>
  </si>
  <si>
    <t>Y1 V3 H1</t>
  </si>
  <si>
    <t>Y1 V3 H2</t>
  </si>
  <si>
    <t>Y1 V3 H3</t>
  </si>
  <si>
    <t>Y2 V1 H1</t>
  </si>
  <si>
    <r>
      <t>o</t>
    </r>
    <r>
      <rPr>
        <sz val="7"/>
        <rFont val="Times New Roman"/>
        <family val="1"/>
      </rPr>
      <t xml:space="preserve">       </t>
    </r>
    <r>
      <rPr>
        <sz val="14"/>
        <rFont val="Arial"/>
        <family val="2"/>
      </rPr>
      <t>This function compares the decisions relative to one another, and then applies a ‘market model weighting’ to the outcome.</t>
    </r>
  </si>
  <si>
    <t>paramEmp6RecDismCost</t>
  </si>
  <si>
    <t>paramEmp6AdminCostPct</t>
  </si>
  <si>
    <t>paramEmp6OTRate</t>
  </si>
  <si>
    <t>paramEmp6HoursPYear</t>
  </si>
  <si>
    <t>paramEmp7AttRate</t>
  </si>
  <si>
    <t>paramEmp7Exp</t>
  </si>
  <si>
    <t>paramEmp7RecDismCost</t>
  </si>
  <si>
    <t>paramEmp7AdminCostPct</t>
  </si>
  <si>
    <t>Wankers</t>
  </si>
  <si>
    <t>Faithfull Followers</t>
  </si>
  <si>
    <t>Early Adopters</t>
  </si>
  <si>
    <t>paramProd5DistCostPUnit</t>
  </si>
  <si>
    <t>Used</t>
  </si>
  <si>
    <t>Cost of Sales</t>
  </si>
  <si>
    <t>General &amp; Administrative Expense</t>
  </si>
  <si>
    <t>Sales &amp; Marketing Expense</t>
  </si>
  <si>
    <t>Opening Salary</t>
  </si>
  <si>
    <t>Salary Decision</t>
  </si>
  <si>
    <t>paramPlant3DivRevenue</t>
  </si>
  <si>
    <t>xxPopupWobblerExplain2Text</t>
  </si>
  <si>
    <t>xxPopupWobblerExplain2Next</t>
  </si>
  <si>
    <t>xxPopupWobblerExplain3Text</t>
  </si>
  <si>
    <t>xxPopupWobblerExplain3Next</t>
  </si>
  <si>
    <t>xxPopupWobblerDecLookup</t>
  </si>
  <si>
    <t>xxPopupWobblerDecMinDiff</t>
  </si>
  <si>
    <t>Popup Wobbler Time</t>
  </si>
  <si>
    <t>finPNLBusBV1UnallocTimeExp</t>
  </si>
  <si>
    <t>finPNLBusBV1OverheadPctAlloc</t>
  </si>
  <si>
    <t>finPNLBusBV2OverheadPctAlloc</t>
  </si>
  <si>
    <t>finPNLBusBV3OverheadPctAlloc</t>
  </si>
  <si>
    <t>finBusBV1BusDevTimeExp</t>
  </si>
  <si>
    <t>finPNLBusAV1Emp1SalaryExp</t>
  </si>
  <si>
    <t>FMATDAReaBorder</t>
  </si>
  <si>
    <t>FMATRAreaColor</t>
  </si>
  <si>
    <t>FMATRAreaFont</t>
  </si>
  <si>
    <t>FMATRAreaBorder</t>
  </si>
  <si>
    <t>FMATDCellColor</t>
  </si>
  <si>
    <t>FMATDCellFont</t>
  </si>
  <si>
    <t>FMATDCellBorder</t>
  </si>
  <si>
    <t>FMATDBoardFont</t>
  </si>
  <si>
    <t>capBusAEmp8End</t>
  </si>
  <si>
    <t>capBusAEmp8EndHrsAvailable</t>
  </si>
  <si>
    <t>capEmp8Req</t>
  </si>
  <si>
    <t>capBusAEmp8Req</t>
  </si>
  <si>
    <t>capEmp8Utiliz</t>
  </si>
  <si>
    <t>capBusAEmp8Utiliz</t>
  </si>
  <si>
    <t>capBusAEmp8BaseExp</t>
  </si>
  <si>
    <t>capEmp8Exp</t>
  </si>
  <si>
    <t>capEmp8BusARecDismExp</t>
  </si>
  <si>
    <t>capEmp8RecDismExp</t>
  </si>
  <si>
    <t>capEmp8BusAAdminExp</t>
  </si>
  <si>
    <t>capEmp8AdminExp</t>
  </si>
  <si>
    <t>capEmp8BusAV1Alloc</t>
  </si>
  <si>
    <t>capEmp8BusAV2Alloc</t>
  </si>
  <si>
    <t>capEmp8BusAV3Alloc</t>
  </si>
  <si>
    <t>capEmp8BusAV1AllocSalesV1</t>
  </si>
  <si>
    <t>Special Programs Expense Outsourcing V2</t>
  </si>
  <si>
    <t>Hours Required to Support Training</t>
  </si>
  <si>
    <t>Total Training Effect on Time Demanded of Ent WF</t>
  </si>
  <si>
    <t>Total Training Hours</t>
  </si>
  <si>
    <t>capEmp2BusBGeneralTrainingAllocExp</t>
  </si>
  <si>
    <t>Practice 1 Consultant Allocation - Current Projects</t>
  </si>
  <si>
    <t>Practice 2 Consultant Allocation - Current Projects</t>
  </si>
  <si>
    <t>Practice 3 Consultant Allocation - Current Projects</t>
  </si>
  <si>
    <t>Consulting Competency</t>
  </si>
  <si>
    <t>cbalY3V3H3COSRealized</t>
  </si>
  <si>
    <t>Y3V1H3</t>
  </si>
  <si>
    <t>Y3V2H1</t>
  </si>
  <si>
    <t>Y3V2H2</t>
  </si>
  <si>
    <t>Y3V2H3</t>
  </si>
  <si>
    <t>Y3V3H1</t>
  </si>
  <si>
    <t>Y3V3H2</t>
  </si>
  <si>
    <t>Y3V3H3</t>
  </si>
  <si>
    <t>BPO COS</t>
  </si>
  <si>
    <t>obalY1V1H1COS</t>
  </si>
  <si>
    <t>obalY1V1H2COS</t>
  </si>
  <si>
    <t>Client Cost Bid 6</t>
  </si>
  <si>
    <t>Client Cost Bid 7</t>
  </si>
  <si>
    <t>Client Cost Bid 8</t>
  </si>
  <si>
    <t>PEOPLE</t>
  </si>
  <si>
    <t>capEmp1Req</t>
  </si>
  <si>
    <t>Industry 1</t>
  </si>
  <si>
    <t>Industry 2</t>
  </si>
  <si>
    <t>Industry 3</t>
  </si>
  <si>
    <t>Offering 1</t>
  </si>
  <si>
    <t>Offering 2</t>
  </si>
  <si>
    <t>Offering 3</t>
  </si>
  <si>
    <t>Business Development - Pursuit Team Structure</t>
  </si>
  <si>
    <t>finPNLBusBV3OpsMarginPct</t>
  </si>
  <si>
    <t>finPNLBusBV2TotalOpExp</t>
  </si>
  <si>
    <t>finPNLBusBV2OpsMargin</t>
  </si>
  <si>
    <t>finPNLBusBV2OpsMarginPct</t>
  </si>
  <si>
    <t>finPNLBusBV1OtherExp</t>
  </si>
  <si>
    <t>finPNLBusBV1SpecProgExp</t>
  </si>
  <si>
    <t>capBusBEmp2CompDevTtlHrReq</t>
  </si>
  <si>
    <t>capEmp2BusBOpsImprovementExp</t>
  </si>
  <si>
    <t>capEmp2BusBCompDevAllocExp</t>
  </si>
  <si>
    <t>In-Year</t>
  </si>
  <si>
    <t>CASH FLOW</t>
  </si>
  <si>
    <t>Opening Balance of cash</t>
  </si>
  <si>
    <t>Cash from Operations</t>
  </si>
  <si>
    <t>Inc(-)/dec(+) in AR</t>
  </si>
  <si>
    <t>finPNLBusAV3Emp3BusDevTimeExp</t>
  </si>
  <si>
    <t>finPNLBusAV3Emp4BusDevTimeExp</t>
  </si>
  <si>
    <t>finCashClosingValue</t>
  </si>
  <si>
    <t>finROA</t>
  </si>
  <si>
    <t>finProfitMargin</t>
  </si>
  <si>
    <t>cbalY3V1H2COS</t>
  </si>
  <si>
    <t>cbalY3V1H3COS</t>
  </si>
  <si>
    <t>cbalY3V2H1COS</t>
  </si>
  <si>
    <t>cbalY3V2H2COS</t>
  </si>
  <si>
    <t>cbalY3V2H3COS</t>
  </si>
  <si>
    <t>cbalY3V3H1COS</t>
  </si>
  <si>
    <t>cbalY3V3H2COS</t>
  </si>
  <si>
    <t>cbalY3V3H3COS</t>
  </si>
  <si>
    <t>capY1V1H1COS</t>
  </si>
  <si>
    <t>capY1V1H2COS</t>
  </si>
  <si>
    <t>obalOutsourcingProductivityGainY1</t>
  </si>
  <si>
    <t>obalOutsourcingProductivityGainY2</t>
  </si>
  <si>
    <t>obalOutsourcingProductivityGainY3</t>
  </si>
  <si>
    <t>obalOutsourcingProductivityGainY4</t>
  </si>
  <si>
    <t xml:space="preserve">While Practice 2 has long been considered to have moderate growth, market trends among key customers have led to red-hot demand. A small technology company, Monet Systems, is gaining a deserved reputation in the space for creating and implementing a cutting edge application that could be a tremendous differentiator to your offering. Now in your second year of leadership in the Business Unit, it could be time to explore a possible partnership or acquisition on behalf of the greater organization. </t>
  </si>
  <si>
    <t>capBusAV1Emp3CompDevTtlHrReq</t>
  </si>
  <si>
    <t>capBusAV1Emp4CompDevTtlHrReq</t>
  </si>
  <si>
    <t>capBusAV2Emp1CompDevTtlHrReq</t>
  </si>
  <si>
    <t>capBusAV2Emp2CompDevTtlHrReq</t>
  </si>
  <si>
    <t>capBusAV2Emp3CompDevTtlHrReq</t>
  </si>
  <si>
    <t>capBusAV2Emp4CompDevTtlHrReq</t>
  </si>
  <si>
    <t>They weren't being calculated, as the cbal data didn't have named ranges.  I renamed the ranges in cbal62:64 and double-checked that it was showing up on feedback676:678.</t>
  </si>
  <si>
    <t>cbal62:64, feedback676:678</t>
  </si>
  <si>
    <t>obal80</t>
  </si>
  <si>
    <t xml:space="preserve">Should be done at testing/ </t>
  </si>
  <si>
    <t>From LKR</t>
  </si>
  <si>
    <t>Need to have all Macros</t>
  </si>
  <si>
    <t>Common Prossessing Menu</t>
  </si>
  <si>
    <t>OK</t>
  </si>
  <si>
    <t>Get from TIE</t>
  </si>
  <si>
    <t>Eas y asdd</t>
  </si>
  <si>
    <t>Freeze Panes - As per User Interface</t>
  </si>
  <si>
    <t>AS per Humana/PB/ Sun</t>
  </si>
  <si>
    <t>Report Area Border Header</t>
  </si>
  <si>
    <t>FMATRAreaBorderHeader</t>
  </si>
  <si>
    <t>FMATRAreaFontHeader</t>
  </si>
  <si>
    <t>FMATRAreaColorHeader</t>
  </si>
  <si>
    <t>Prod6Seg5</t>
  </si>
  <si>
    <t>Prod6Seg1</t>
  </si>
  <si>
    <t>Cool Cats</t>
  </si>
  <si>
    <t>obalEmp1GeneralTrainingHrsCompleted</t>
  </si>
  <si>
    <t>obalEmp2GeneralTrainingHrsCompleted</t>
  </si>
  <si>
    <t>obalEmp3GeneralTrainingHrsCompleted</t>
  </si>
  <si>
    <t>obalEmp4GeneralTrainingHrsCompleted</t>
  </si>
  <si>
    <t>capBusAV3Emp1CompDevTtlHrReq</t>
  </si>
  <si>
    <t>capBusAV3Emp2CompDevTtlHrReq</t>
  </si>
  <si>
    <t>capBusAV3Emp3CompDevTtlHrReq</t>
  </si>
  <si>
    <t>Market Model Prod4 Drivers</t>
  </si>
  <si>
    <t>capEmp3GeneralTrainingHrsAvailNextYr</t>
  </si>
  <si>
    <t>capEmp4GeneralTrainingHrsAvailNextYr</t>
  </si>
  <si>
    <t>Consulting Price Per Hour</t>
  </si>
  <si>
    <t>cbalBusAV1PricePerHr</t>
  </si>
  <si>
    <t>cbalBusAV2PricePerHr</t>
  </si>
  <si>
    <t>cbalBusAV3PricePerHr</t>
  </si>
  <si>
    <t>obalBusAV1PricePerHr</t>
  </si>
  <si>
    <t>finPNLBusAEmp2GeneralTrainingExp</t>
  </si>
  <si>
    <t>finPNLBusAEmp3GeneralTrainingExp</t>
  </si>
  <si>
    <t>finPNLBusAEmp4GeneralTrainingExp</t>
  </si>
  <si>
    <t>finPNLBusAEmp1UnallocTimeExp</t>
  </si>
  <si>
    <t>finPNLBusBV1FixedAdminExp</t>
  </si>
  <si>
    <t>finPNLBusBV1H1GlobalSalaryExp</t>
  </si>
  <si>
    <t>finPNLBusBV1H2GlobalSalaryExp</t>
  </si>
  <si>
    <t>finPNLBusBV1CompDevExp</t>
  </si>
  <si>
    <t>finPNLBusBV1GeneralTrainingExp</t>
  </si>
  <si>
    <t>cbalEmp6CumTrainingHrs</t>
  </si>
  <si>
    <t>Headcount Reduction</t>
  </si>
  <si>
    <t>finPNLBusAEmp2UnallocTimeExp</t>
  </si>
  <si>
    <t>finPNLBusAEmp3UnallocTimeExp</t>
  </si>
  <si>
    <t>finPNLBusAEmp4UnallocTimeExp</t>
  </si>
  <si>
    <t>finPNLBusBV1Emp1UnallocTimeExp</t>
  </si>
  <si>
    <t>finPNLBusBV1Emp2UnallocTimeExp</t>
  </si>
  <si>
    <t>finPNLBusBV1Emp3UnallocTimeExp</t>
  </si>
  <si>
    <t>Partner RFQ Hrs. Bid 8</t>
  </si>
  <si>
    <t>Partner RFQ Hrs. Bid 9</t>
  </si>
  <si>
    <t>Manager RFQ Hrs. Bid 1</t>
  </si>
  <si>
    <t>Manager RFQ Hrs. Bid 2</t>
  </si>
  <si>
    <t>Manager</t>
  </si>
  <si>
    <t>Consultant</t>
  </si>
  <si>
    <t>Soln. WF</t>
  </si>
  <si>
    <t>H1</t>
  </si>
  <si>
    <t>H2</t>
  </si>
  <si>
    <t>H3</t>
  </si>
  <si>
    <t>Competency</t>
  </si>
  <si>
    <t>V1</t>
  </si>
  <si>
    <t>V2</t>
  </si>
  <si>
    <t>V3</t>
  </si>
  <si>
    <t>Strategic Initiatives</t>
  </si>
  <si>
    <t>Initiative #</t>
  </si>
  <si>
    <t>Bid 1</t>
  </si>
  <si>
    <t>Bid 2</t>
  </si>
  <si>
    <t>Bid 3</t>
  </si>
  <si>
    <t>Bid 4</t>
  </si>
  <si>
    <t>Bid 5</t>
  </si>
  <si>
    <t>Done.  I linked the three new SI&amp;T resource utilizations to the error checker.  They were emp7, 8, and 9.</t>
  </si>
  <si>
    <t>The outcome is still zero because of how the formula is comparing the outcome to the opening value.  Do you need anything else done with this one?</t>
  </si>
  <si>
    <t>Please check out the sensitivity as you allocate more sr. mgrs.  Just the modification alone dropped it by 30-40%.  This data source is on fin!E82, but this link is dynamic, so you can see the % change here.</t>
  </si>
  <si>
    <t>Practice 3 Sr. Executive Allocation - Current Projects</t>
  </si>
  <si>
    <t>General Training Hours Available</t>
  </si>
  <si>
    <t>obalEmp1GeneralTrainingHrsAvail</t>
  </si>
  <si>
    <t>obalEmp2GeneralTrainingHrsAvail</t>
  </si>
  <si>
    <t>obalEmp3GeneralTrainingHrsAvail</t>
  </si>
  <si>
    <t>obalEmp4GeneralTrainingHrsAvail</t>
  </si>
  <si>
    <t>obalIndustryAvgCIMargin</t>
  </si>
  <si>
    <t>capBusBV3H1BusDevWAvgSalesOutputRank</t>
  </si>
  <si>
    <t>capBusBV3H2BusDevWAvgSalesOutputRank</t>
  </si>
  <si>
    <t>capBusBV3H3BusDevWAvgSalesOutputRank</t>
  </si>
  <si>
    <t>capEmp8Att</t>
  </si>
  <si>
    <t>capBusAEmp8Att</t>
  </si>
  <si>
    <t>capEmp4BusBInitHrsAlloc</t>
  </si>
  <si>
    <t>capEmp1BusAInitHrsExp</t>
  </si>
  <si>
    <t>capEmp1BusBInitHrsExp</t>
  </si>
  <si>
    <t>capEmp2BusAInitHrsExp</t>
  </si>
  <si>
    <t>capEmp2BusBInitHrsExp</t>
  </si>
  <si>
    <t>capEmp3BusAInitHrsExp</t>
  </si>
  <si>
    <t xml:space="preserve">   Competency Development</t>
  </si>
  <si>
    <t>capEmp3BusAGeneralTrainingAlloc</t>
  </si>
  <si>
    <t>capEmp3BusBOpsImprovement</t>
  </si>
  <si>
    <t>capEmp3BusBCompDevAlloc</t>
  </si>
  <si>
    <t>capEmp3BusBGeneralTrainingAlloc</t>
  </si>
  <si>
    <t>capEmp3BusBOpsImprovementExp</t>
  </si>
  <si>
    <t>Total Sales</t>
  </si>
  <si>
    <t>C</t>
  </si>
  <si>
    <t>finPNLBusAEmpRecDismExp</t>
  </si>
  <si>
    <t xml:space="preserve">   Total Load</t>
  </si>
  <si>
    <t>Outsourcing Sales Output - V3H1</t>
  </si>
  <si>
    <t>capBusBV3H1BusDevWAvgSalesOutput</t>
  </si>
  <si>
    <t>Outsourcing Sales Output - V3H2</t>
  </si>
  <si>
    <t>decBidTimeDiff</t>
  </si>
  <si>
    <t>"00:00:15"</t>
  </si>
  <si>
    <t>ToolErrorTest</t>
  </si>
  <si>
    <t>GoToToolBalSheet</t>
  </si>
  <si>
    <t>GoToToolCashFlow</t>
  </si>
  <si>
    <t>Cons/An</t>
  </si>
  <si>
    <t>SM/Mgr</t>
  </si>
  <si>
    <t>Consulting Sr. Executive Base Expense</t>
  </si>
  <si>
    <t>Outsourcing Sr. Executive Base Expense</t>
  </si>
  <si>
    <t>Use Gerhard Formulas - maybe as sim - sim issue  - On controls page - have version type</t>
  </si>
  <si>
    <t>as per LKR</t>
  </si>
  <si>
    <t>no</t>
  </si>
  <si>
    <t>clean up Simulations</t>
  </si>
  <si>
    <t>- Trace Dependent Macro?</t>
  </si>
  <si>
    <t>Patch Script</t>
  </si>
  <si>
    <t>En Cap macros</t>
  </si>
  <si>
    <t>VOC in Tool</t>
  </si>
  <si>
    <t>Responsible</t>
  </si>
  <si>
    <t>cbalEmp2GeneralTrainingHrsCompleted</t>
  </si>
  <si>
    <t>cbalEmp3GeneralTrainingHrsCompleted</t>
  </si>
  <si>
    <t>Recognized This Year</t>
  </si>
  <si>
    <t>Booked Sales - Next Yr. Projects</t>
  </si>
  <si>
    <t>capEmp1BusBGeneralTrainingAllocExp</t>
  </si>
  <si>
    <t>Recruited</t>
  </si>
  <si>
    <t>capEmp3BusBV2Exp</t>
  </si>
  <si>
    <t>capEmp3BusBNonBillExp</t>
  </si>
  <si>
    <t>Consulting Manager Base Expense</t>
  </si>
  <si>
    <t>Outsourcing Manager Base Expense</t>
  </si>
  <si>
    <t>Special Programs Expense</t>
  </si>
  <si>
    <t>finPNLBusBSpecProgExp</t>
  </si>
  <si>
    <t>obalBusAEmp1IndAvgUtiliz</t>
  </si>
  <si>
    <t>obalBusBEmp1IndAvgUtiliz</t>
  </si>
  <si>
    <t>obalBusAEmp2IndAvgUtiliz</t>
  </si>
  <si>
    <t>obalBusBEmp2IndAvgUtiliz</t>
  </si>
  <si>
    <t>obalBusAEmp3IndAvgUtiliz</t>
  </si>
  <si>
    <t>obalBusBEmp3IndAvgUtiliz</t>
  </si>
  <si>
    <t>obalBusAEmp4IndAvgUtiliz</t>
  </si>
  <si>
    <t>obalBusBEmp4IndAvgUtiliz</t>
  </si>
  <si>
    <t>obalEmp6IndAvgUtiliz</t>
  </si>
  <si>
    <t>paramProd5MatCostPUnitPFtr1Level</t>
  </si>
  <si>
    <t>paramProd5MatCostPUnit</t>
  </si>
  <si>
    <t>obalY3V3H3BidWon</t>
  </si>
  <si>
    <t>capBusBForecastRevBid3</t>
  </si>
  <si>
    <t>capBusBForecastRevBid4</t>
  </si>
  <si>
    <t>Add Swedish Market models Tables on Data Page</t>
  </si>
  <si>
    <t>Done</t>
  </si>
  <si>
    <t>obalBusAEmp1</t>
  </si>
  <si>
    <t>obalBusBEmp1</t>
  </si>
  <si>
    <t>cbalBusAEmp1</t>
  </si>
  <si>
    <t>Code</t>
  </si>
  <si>
    <t>xxPopupWobblerOption2Text</t>
  </si>
  <si>
    <t>Offering Competency</t>
  </si>
  <si>
    <t>Specific Competency (Industry &amp; Offering)</t>
  </si>
  <si>
    <t>Past Wins - Offering</t>
  </si>
  <si>
    <t>Sales Support</t>
  </si>
  <si>
    <t>Horizontal Competency</t>
  </si>
  <si>
    <t>Past Wins - Horiz</t>
  </si>
  <si>
    <t>Specific Competency (Industry &amp; Horiz)</t>
  </si>
  <si>
    <t>Engagement</t>
  </si>
  <si>
    <t>Horizontal 1</t>
  </si>
  <si>
    <t>Horizontal 2</t>
  </si>
  <si>
    <t>Horizontal 3</t>
  </si>
  <si>
    <t>Profitability (Past Yr)</t>
  </si>
  <si>
    <t>Market Model Driver Calcs</t>
  </si>
  <si>
    <t>Consulting Sales Output - P1</t>
  </si>
  <si>
    <t>Sales Effectiveness</t>
  </si>
  <si>
    <t>finPNLBusATotalGenMktExp</t>
  </si>
  <si>
    <t>finPNLBusAV1TotalGenMktExp</t>
  </si>
  <si>
    <t>finPNLBusAV2TotalGenMktExp</t>
  </si>
  <si>
    <t>finPNLBusAV3TotalGenMktExp</t>
  </si>
  <si>
    <t>finPNLBusBTotalGenMktExp</t>
  </si>
  <si>
    <t>finPNLBusBV1TotalGenMktExp</t>
  </si>
  <si>
    <t>finPNLBusBV2TotalGenMktExp</t>
  </si>
  <si>
    <t>finPNLBusBV3TotalGenMktExp</t>
  </si>
  <si>
    <t>capBusAV1Emp2CompDevTtlHrReq</t>
  </si>
  <si>
    <t>On RESET Macro - Are latest changes reflected in Reset Column (developers Macro)/ and New year macro if Year = 0</t>
  </si>
  <si>
    <t>cbalBusAV3HrsSold</t>
  </si>
  <si>
    <t>Encap Index (Ctrl+Shft+I)</t>
  </si>
  <si>
    <t>EncapIndex</t>
  </si>
  <si>
    <t>Practice 1 Consulting Hrs. Consultant Slary Expense</t>
  </si>
  <si>
    <t>Practice 2 Consulting Hrs. Consultant Slary Expense</t>
  </si>
  <si>
    <t>Practice 3 Consulting Hrs. Consultant Slary Expense</t>
  </si>
  <si>
    <t>Outsourcing Consultant Expense Allocation</t>
  </si>
  <si>
    <t>Outsourcing V1 Consultant Salary Expense</t>
  </si>
  <si>
    <t>Outsourcing V2 Consultant Salary Expense</t>
  </si>
  <si>
    <t>Northern Pacific</t>
  </si>
  <si>
    <t>Werham Hogg</t>
  </si>
  <si>
    <t>Inventech</t>
  </si>
  <si>
    <t>Doodle Search</t>
  </si>
  <si>
    <t>Consulting Forecast Revenue</t>
  </si>
  <si>
    <t>Forecasted Enterprise WF Hours Needed - Revenue</t>
  </si>
  <si>
    <t>Forecasted Enterprise WF Hours Needed - Training</t>
  </si>
  <si>
    <t>paramPlant3MachHrsPUnit</t>
  </si>
  <si>
    <t xml:space="preserve">Hiring Plan (Headcount)*  </t>
  </si>
  <si>
    <t>Total Headcount</t>
  </si>
  <si>
    <t>Project Delivery</t>
  </si>
  <si>
    <t>Utilization &amp; Retention Summary</t>
  </si>
  <si>
    <t>Retention</t>
  </si>
  <si>
    <t>Total Retention</t>
  </si>
  <si>
    <t>Total Recruited</t>
  </si>
  <si>
    <t>cbalTotalEmpRecruited</t>
  </si>
  <si>
    <t>obalTotalEmpRecruited</t>
  </si>
  <si>
    <t>capTotalRetention</t>
  </si>
  <si>
    <t>Pursuit Hours Effect on Outsourcing Cost of Sales</t>
  </si>
  <si>
    <t>DataTableBid1COSReducPursuit</t>
  </si>
  <si>
    <t>Bid1 Pursuit</t>
  </si>
  <si>
    <t>Bid2 Pursuit</t>
  </si>
  <si>
    <t>Bid3 Pursuit</t>
  </si>
  <si>
    <t>DataTableBid3COSReducPursuit</t>
  </si>
  <si>
    <t>DataTableBid2COSReducPursuit</t>
  </si>
  <si>
    <t>DataTableBid4COSReducPursuit</t>
  </si>
  <si>
    <t># of Teams</t>
  </si>
  <si>
    <t>Current Year</t>
  </si>
  <si>
    <t>Index Team</t>
  </si>
  <si>
    <t>finPNLBusBV3GeneralTrainingExp</t>
  </si>
  <si>
    <t>Total Budget Forecast</t>
  </si>
  <si>
    <t>capTotalTrainingBudForecast</t>
  </si>
  <si>
    <t>Global Service Lines</t>
  </si>
  <si>
    <t>Global Service Line</t>
  </si>
  <si>
    <t>Outsourcing V3 Consultant Salary Expense</t>
  </si>
  <si>
    <t>capEmp3Req</t>
  </si>
  <si>
    <t>capBusAEmp3BaseExp</t>
  </si>
  <si>
    <t>capBusBEmp3BaseExp</t>
  </si>
  <si>
    <t>capEmp3BusAV1Alloc</t>
  </si>
  <si>
    <t>Sim Location</t>
  </si>
  <si>
    <t>Changed By</t>
  </si>
  <si>
    <t>Date</t>
  </si>
  <si>
    <t>Approved By</t>
  </si>
  <si>
    <t>Ending Outsourcing SE count not updating</t>
  </si>
  <si>
    <t>capBusACurrProjV1Emp4Output</t>
  </si>
  <si>
    <t>capBusACurrProjV2Emp1Output</t>
  </si>
  <si>
    <r>
      <t>·</t>
    </r>
    <r>
      <rPr>
        <sz val="7"/>
        <rFont val="Times New Roman"/>
        <family val="1"/>
      </rPr>
      <t xml:space="preserve">        </t>
    </r>
    <r>
      <rPr>
        <sz val="14"/>
        <rFont val="Arial"/>
        <family val="2"/>
      </rPr>
      <t>To open the Dealer_Feedbacks.xls file, select ‘Open Feedback File’ from the simulation drop-down menu.</t>
    </r>
  </si>
  <si>
    <t>Reported By</t>
  </si>
  <si>
    <t>Add Check Boxes to Mini Master Menu</t>
  </si>
  <si>
    <t>Prod2Seg5</t>
  </si>
  <si>
    <t>Prod2Seg1</t>
  </si>
  <si>
    <t>Prod3Seg2</t>
  </si>
  <si>
    <t>Prod3Seg3</t>
  </si>
  <si>
    <t>Prod3Seg4</t>
  </si>
  <si>
    <t>obalY3V2H3COS</t>
  </si>
  <si>
    <t>Consulting Revenue % of Total Rev. Y4</t>
  </si>
  <si>
    <t>cbalEmp1</t>
  </si>
  <si>
    <t>cbalEmp2</t>
  </si>
  <si>
    <t>cbalEmp3</t>
  </si>
  <si>
    <t>cbalEmp4</t>
  </si>
  <si>
    <t>capBusBY2OpsSavings</t>
  </si>
  <si>
    <t>capBusBY3OpsSavings</t>
  </si>
  <si>
    <t>Total ACN Cost</t>
  </si>
  <si>
    <t>BPO Headcount</t>
  </si>
  <si>
    <t xml:space="preserve"> Hire   </t>
  </si>
  <si>
    <t>finPNLTotalBusDevExp</t>
  </si>
  <si>
    <t>finPNLTotalGenMktExp</t>
  </si>
  <si>
    <t>Total Y1</t>
  </si>
  <si>
    <t>SP6</t>
  </si>
  <si>
    <t>SP7</t>
  </si>
  <si>
    <t>decSpecProg6</t>
  </si>
  <si>
    <t>decSpecProg7</t>
  </si>
  <si>
    <t>Sales Support Level</t>
  </si>
  <si>
    <t>Macro That import Decisions Take you to Dec Page.</t>
  </si>
  <si>
    <t>Global WF Expense (Consulting)</t>
  </si>
  <si>
    <t>Industry Specific Best Practice Formula Sheets – ex TTM calculations</t>
  </si>
  <si>
    <t>Year 1 Dollarized Cost Savings</t>
  </si>
  <si>
    <t>capEmp3BusBGeneralTrainingAllocExp</t>
  </si>
  <si>
    <t>capBusAEmp4EndHrsAvailable</t>
  </si>
  <si>
    <t>capBusBEmp4EndHrsAvailable</t>
  </si>
  <si>
    <t>capEmp4BusAV1AllocSalesV1</t>
  </si>
  <si>
    <t>capEmp4BusAV1AllocSalesV2</t>
  </si>
  <si>
    <t>capEmp4BusAV1AllocSalesV3</t>
  </si>
  <si>
    <t>capEmp4BusACompDevAlloc</t>
  </si>
  <si>
    <t>capEmp4BusAGeneralTrainingAlloc</t>
  </si>
  <si>
    <t>capEmp4BusBOpsImprovement</t>
  </si>
  <si>
    <t>capEmp4BusBCompDevAlloc</t>
  </si>
  <si>
    <t>xxProd2BaseUnits</t>
  </si>
  <si>
    <t>xxProd3BaseUnits</t>
  </si>
  <si>
    <t>xxProd4BaseUnits</t>
  </si>
  <si>
    <t>xxProd5BaseUnits</t>
  </si>
  <si>
    <t>FMATDBoardBorder</t>
  </si>
  <si>
    <t>SimFormat</t>
  </si>
  <si>
    <t>&amp;Format Sim</t>
  </si>
  <si>
    <t>xxProd6BaseUnits</t>
  </si>
  <si>
    <t>xxProd1BaseUnits</t>
  </si>
  <si>
    <t>Unallocated Time Salary Expense</t>
  </si>
  <si>
    <t>finPNLBusBOpsImproveExp</t>
  </si>
  <si>
    <t>General Marketing Allocation</t>
  </si>
  <si>
    <t>finPNLBusBV3Emp2OpsImproveExp</t>
  </si>
  <si>
    <t>finPNLBusBV3UnallocTimeExp</t>
  </si>
  <si>
    <t>finPNLBusBV3FixedAdminExp</t>
  </si>
  <si>
    <t>finPNLBusBV2TotalGlobalSalaryExp</t>
  </si>
  <si>
    <t>finPNLBusBV2TtlEmpAdminExp</t>
  </si>
  <si>
    <t>finPNLBusBV2EmpRecDismExp</t>
  </si>
  <si>
    <t xml:space="preserve">Expected Attrition  </t>
  </si>
  <si>
    <t xml:space="preserve">Total Hiring Plan  </t>
  </si>
  <si>
    <t>A. After some negotiations and initial due diligence, you decide that Monet Systems is an excellent acquisition target. You advise Accenture, which negotiates to buy Monet for $24M. The acquisition includes all Intellectual Property (IP) as well as key people resources that will join your Business Unit at various levels as experienced hires. Allocate 1 SI&amp;T senior executive, 3 SI&amp;T senior manager/managers, 6 SI&amp;T consultant/analysts, and 4 Enterprise resources to manage the acquisition process.</t>
  </si>
  <si>
    <t>There are no easy choices when it comes to product quality issues.  Obviously your customers and consumers are frustrated with the past three recalls and are wary of purchasing the feature once again.  While this time all the problems were solved, acceptance of the product was weak.</t>
  </si>
  <si>
    <t>&amp;Outsourcing</t>
  </si>
  <si>
    <t>Headcount Dismissal</t>
  </si>
  <si>
    <t>Hiring Plan</t>
  </si>
  <si>
    <t>Marketing Expense</t>
  </si>
  <si>
    <t>Bid Forecast Revenue</t>
  </si>
  <si>
    <t>capBusACurrProjV1Emp8Output</t>
  </si>
  <si>
    <t>capBusACurrProjV1Emp9Output</t>
  </si>
  <si>
    <t>capBusACurrProjV2Emp7Output</t>
  </si>
  <si>
    <t>capBusACurrProjV2Emp8Output</t>
  </si>
  <si>
    <t>capBusACurrProjV2Emp9Output</t>
  </si>
  <si>
    <t>capBusACurrProjV3Emp7Output</t>
  </si>
  <si>
    <t>capBusACurrProjV3Emp8Output</t>
  </si>
  <si>
    <t>Need to move Solutions WF Recruiting cells down from the Mgmt Consulting area down to the SI&amp;T area</t>
  </si>
  <si>
    <t>toolPeople tab, k57-61</t>
  </si>
  <si>
    <t>MPR</t>
  </si>
  <si>
    <t>This option kept senior management’s workload low.   While you see slight improvements in the workplace environment, you wonder whether employees would have taken the effort seriously if you had championed the effort.</t>
  </si>
  <si>
    <t>Late Deliveries</t>
  </si>
  <si>
    <t>obalY2V1H1COS</t>
  </si>
  <si>
    <t>obalY2V1H2COS</t>
  </si>
  <si>
    <t>C. Sasha recommends Samatha, one of her direct reports, to replace her. You know that Sasha has been developing Samantha to replace her as part of the leadership initiatives you have implemented over the past two years, but you still aren't sure if Samantha is ready to take Sasha’s place.</t>
  </si>
  <si>
    <t>B.  The reorganization was done to make employees happier and therefore more productive and efficient on the job.  Concerned about the failure of the reorganization, you take responsibility and set aside your own time to give lectures and attend luncheons with groups of employees to hear their concerns about the workplace environment and engage them in a discussion of the appropriate actions that should be taken.</t>
  </si>
  <si>
    <t>finPNLTotalFixedAdminExp</t>
  </si>
  <si>
    <t>finPNLTotalOtherOpExp</t>
  </si>
  <si>
    <t>cbalConsultingCCIPctRevY2</t>
  </si>
  <si>
    <t>cbalConsultingCCIPctRevY3</t>
  </si>
  <si>
    <t>cbalNetEarnValue</t>
  </si>
  <si>
    <t>cbalCStockValue</t>
  </si>
  <si>
    <t>PROFIT AND LOSS</t>
  </si>
  <si>
    <t>after importing, ran market model.  #Value errors and N/A all over the analysis page.  Traced back to MMProd1 tab, macro-pasted #VALUE in E150:I152.  Cleared the contents, then re-ran market model and all is fine..?</t>
  </si>
  <si>
    <t>Credit Days</t>
  </si>
  <si>
    <t>finPNLBusBV3OtherExp</t>
  </si>
  <si>
    <t>finPNLBusBV3SpecProgExp</t>
  </si>
  <si>
    <t>COS (Direct Delivery)</t>
  </si>
  <si>
    <t>Operations Improvement Salary Expense (Outsourcing)</t>
  </si>
  <si>
    <t>Manager to Soln WF Ratio</t>
  </si>
  <si>
    <t>Ideal</t>
  </si>
  <si>
    <t>capY1V1H1COSRealized</t>
  </si>
  <si>
    <t>Print All Teams Annual Reports</t>
  </si>
  <si>
    <t>Print Competitor Report</t>
  </si>
  <si>
    <t>obalBusAV2PricePerHr</t>
  </si>
  <si>
    <t>obalBusAV3PricePerHr</t>
  </si>
  <si>
    <t>Format &amp;Closed Hood</t>
  </si>
  <si>
    <t>finBusBV1BusDevNonPayroll</t>
  </si>
  <si>
    <t>finBusBV2BusDevNonPayroll</t>
  </si>
  <si>
    <t>finBusBV3BusDevNonPayroll</t>
  </si>
  <si>
    <t>paramEmp9AttRate</t>
  </si>
  <si>
    <t>paramEmp9Exp</t>
  </si>
  <si>
    <t>paramEmp9RecDismCost</t>
  </si>
  <si>
    <t>paramEmp9AdminCostPct</t>
  </si>
  <si>
    <t>paramEmp9OTRate</t>
  </si>
  <si>
    <t>finPNLBusAV3Emp2CompDevTimeExp</t>
  </si>
  <si>
    <t>finPNLBusAV3Emp3CompDevTimeExp</t>
  </si>
  <si>
    <t>finPNLBusAV3Emp4CompDevTimeExp</t>
  </si>
  <si>
    <t>finPNLBusAEmp1GeneralTrainingExp</t>
  </si>
  <si>
    <t xml:space="preserve"> Analyst</t>
  </si>
  <si>
    <t>Consultant/Analyst</t>
  </si>
  <si>
    <t>Consultant/</t>
  </si>
  <si>
    <t>Sr. Mgr./</t>
  </si>
  <si>
    <t>Delivery</t>
  </si>
  <si>
    <t>Productivity Gains</t>
  </si>
  <si>
    <t>Attrition Rate</t>
  </si>
  <si>
    <t>Headcount This Year</t>
  </si>
  <si>
    <t xml:space="preserve">Headcount This Year  </t>
  </si>
  <si>
    <t xml:space="preserve">Forecasted Usage Next Year  </t>
  </si>
  <si>
    <t>capBusACurrProjV3Emp5Output</t>
  </si>
  <si>
    <t>Current Yr. Headcount</t>
  </si>
  <si>
    <t>obalY3V3H1BidWon</t>
  </si>
  <si>
    <t>obalY3V3H2BidWon</t>
  </si>
  <si>
    <t>obalY3V1H3BidRev</t>
  </si>
  <si>
    <t>obalY3V2H1BidRev</t>
  </si>
  <si>
    <t>obalY3V2H2BidRev</t>
  </si>
  <si>
    <t>obalY3V2H3BidRev</t>
  </si>
  <si>
    <t>obalY3V3H1BidRev</t>
  </si>
  <si>
    <t>obalY3V3H2BidRev</t>
  </si>
  <si>
    <t>obalY3V3H3BidRev</t>
  </si>
  <si>
    <t>cbalY1V1H1BidRev</t>
  </si>
  <si>
    <t>cbalY1V1H2BidRev</t>
  </si>
  <si>
    <t>Consulting Revenue % of Total Rev. Y2</t>
  </si>
  <si>
    <t>Consulting Revenue % of Total Rev. Y3</t>
  </si>
  <si>
    <t>xxPopupWobblerOption3Text</t>
  </si>
  <si>
    <t>xxPopupWobblerExplain1Text</t>
  </si>
  <si>
    <t>xxPopupWobblerExplain1Next</t>
  </si>
  <si>
    <t>cbalTotalSalesGrowthY1</t>
  </si>
  <si>
    <t>DataPageBusBV3BorrowAvail</t>
  </si>
  <si>
    <t>DataPageBusBV2BorrowAvail</t>
  </si>
  <si>
    <t>finPNLBusAOpsMargin</t>
  </si>
  <si>
    <t>Lvl Affected</t>
  </si>
  <si>
    <t>Profile Choice</t>
  </si>
  <si>
    <t>Total Current Liabilities</t>
  </si>
  <si>
    <t>Long-term debt</t>
  </si>
  <si>
    <t>Total Liabilities</t>
  </si>
  <si>
    <t>Equity</t>
  </si>
  <si>
    <t>Ent WF Over-Util effect on Outsource/Cons</t>
  </si>
  <si>
    <t>Total Training Hours Effect on Quality Cost</t>
  </si>
  <si>
    <t>cbalOutsourcingProductivityGainY4</t>
  </si>
  <si>
    <t>cbalEnterpriseWFUtilizationY1</t>
  </si>
  <si>
    <t>cbalEnterpriseWFUtilizationY2</t>
  </si>
  <si>
    <t>cbalEnterpriseWFUtilizationY3</t>
  </si>
  <si>
    <t>cbalEnterpriseWFUtilizationY4</t>
  </si>
  <si>
    <t>obalTotalRevY1</t>
  </si>
  <si>
    <t>obalTotalRevY2</t>
  </si>
  <si>
    <t>obalTotalRevY3</t>
  </si>
  <si>
    <t>obalTotalRevY4</t>
  </si>
  <si>
    <t>obalTotalSalesGrowthY1</t>
  </si>
  <si>
    <t>obalTotalSalesGrowthY2</t>
  </si>
  <si>
    <t>obalTotalSalesGrowthY3</t>
  </si>
  <si>
    <t>obalTotalSalesGrowthY4</t>
  </si>
  <si>
    <t>obalTotalCIPctRevY1</t>
  </si>
  <si>
    <t>obalTotalCIPctRevY2</t>
  </si>
  <si>
    <t>decEmp3BusADismiss</t>
  </si>
  <si>
    <t>decEmp2BusADismiss</t>
  </si>
  <si>
    <t>decEmp1BusADismiss</t>
  </si>
  <si>
    <t>decEmp4BusBDismiss</t>
  </si>
  <si>
    <t>decEmp3BusBDismiss</t>
  </si>
  <si>
    <t>decEmp2BusBDismiss</t>
  </si>
  <si>
    <t>decEmp1BusBDismiss</t>
  </si>
  <si>
    <t>Hire</t>
  </si>
  <si>
    <t>Dismiss</t>
  </si>
  <si>
    <t>decEntWFDismiss</t>
  </si>
  <si>
    <t>decEntWFTraining</t>
  </si>
  <si>
    <t>bidProd4Seg3BidWon</t>
  </si>
  <si>
    <t>Resource Borrowing</t>
  </si>
  <si>
    <t>Global Resources</t>
  </si>
  <si>
    <t>Global Borrowing</t>
  </si>
  <si>
    <t>decBusAV1HrsBorrowed</t>
  </si>
  <si>
    <t>decBusAV2HrsBorrowed</t>
  </si>
  <si>
    <t>decBusAV3HrsBorrowed</t>
  </si>
  <si>
    <t>DataPageBusAV1BorrowAvail</t>
  </si>
  <si>
    <t>DataPageBusAV2BorrowAvail</t>
  </si>
  <si>
    <t>DataPageBusAV3BorrowAvail</t>
  </si>
  <si>
    <t>xxMMProd5Seg1Units</t>
  </si>
  <si>
    <t>xxMMProd5Seg2Units</t>
  </si>
  <si>
    <t>xxMMProd5Seg3Units</t>
  </si>
  <si>
    <t>xxMMProd5Seg4Units</t>
  </si>
  <si>
    <t>cbalEmp6GeneralTrainingHrsCompleted</t>
  </si>
  <si>
    <t>obalY3V2H2COSRealized</t>
  </si>
  <si>
    <t>obalY3V2H3COSRealized</t>
  </si>
  <si>
    <t>obalY3V3H1COSRealized</t>
  </si>
  <si>
    <t>obalY3V3H2COSRealized</t>
  </si>
  <si>
    <t>Sum of</t>
  </si>
  <si>
    <t>Effects</t>
  </si>
  <si>
    <t>Emp2</t>
  </si>
  <si>
    <t>Initiatives Selected in Year 1</t>
  </si>
  <si>
    <t>Initiatives Selected in Year 2</t>
  </si>
  <si>
    <t>decBusAEmp9HrsSalesV2</t>
  </si>
  <si>
    <t>decBusAEmp9HrsSalesV3</t>
  </si>
  <si>
    <t>paramEmp7ProductivityCoef</t>
  </si>
  <si>
    <t>paramEmp7LoadPctSalary</t>
  </si>
  <si>
    <t>paramEmp7CompMltplr</t>
  </si>
  <si>
    <t>paramEmp7BusAHrsReqPerCompDevLevel</t>
  </si>
  <si>
    <t>paramEmp7BusBHrsReqPerCompDevLevel</t>
  </si>
  <si>
    <t>paramEmp7BusBGenOpsPctCostReducPerHr</t>
  </si>
  <si>
    <t>paramEmp7TrainingHrsPerDollar</t>
  </si>
  <si>
    <t>SI &amp; T Sr. Mgr</t>
  </si>
  <si>
    <t>SI &amp; T Consultant</t>
  </si>
  <si>
    <r>
      <t>o</t>
    </r>
    <r>
      <rPr>
        <sz val="7"/>
        <rFont val="Times New Roman"/>
        <family val="1"/>
      </rPr>
      <t xml:space="preserve">       </t>
    </r>
    <r>
      <rPr>
        <sz val="14"/>
        <rFont val="Arial"/>
        <family val="2"/>
      </rPr>
      <t>Change the Satisfaction Indices as an additive adjustment.  Add 1%, or subtract 2%, etc.</t>
    </r>
  </si>
  <si>
    <t>Total</t>
  </si>
  <si>
    <t>Net Cash from Operations</t>
  </si>
  <si>
    <t>Other invest(-)/divest(+)</t>
  </si>
  <si>
    <t>Net Cash Used in Investing</t>
  </si>
  <si>
    <t>capBusACurrProjV2HrsReq</t>
  </si>
  <si>
    <t>finPNLTotalEmpAdminExp</t>
  </si>
  <si>
    <t>The client is temporarily pacified and agrees to give you the three months that you asked for. The deliver recovers but in order to do so several senior SI&amp;T resources have to be allocated to the delivery. Reputation in Practice 1 improves from the effort</t>
  </si>
  <si>
    <t>PrintAnnualReportsT2</t>
  </si>
  <si>
    <t>capEmp4RecDismExp</t>
  </si>
  <si>
    <t>capEmp4AdminExp</t>
  </si>
  <si>
    <t>capEmp6Att</t>
  </si>
  <si>
    <t>capEmp6End</t>
  </si>
  <si>
    <t>capEmp6Utiliz</t>
  </si>
  <si>
    <t>capEmp6OTCost</t>
  </si>
  <si>
    <t>capEmp6Exp</t>
  </si>
  <si>
    <t>cbalY1V1H1COS</t>
  </si>
  <si>
    <t>cbalY1V1H2COS</t>
  </si>
  <si>
    <t>cbalY1V1H3COS</t>
  </si>
  <si>
    <t>EncapError</t>
  </si>
  <si>
    <t>Encap Round (Ctrl+Shft+R)</t>
  </si>
  <si>
    <t>EncapRound</t>
  </si>
  <si>
    <t>Encap Max (Ctrl+Shft+M)</t>
  </si>
  <si>
    <t>EncapMax</t>
  </si>
  <si>
    <t>Toolbar</t>
  </si>
  <si>
    <t>BTS Tools</t>
  </si>
  <si>
    <t>icon</t>
  </si>
  <si>
    <t>type</t>
  </si>
  <si>
    <t>ACN</t>
  </si>
  <si>
    <t>Out V1</t>
  </si>
  <si>
    <t>Out V2</t>
  </si>
  <si>
    <t>Practice 3 Sr. Executive Allocation - Sales</t>
  </si>
  <si>
    <t>You return to your office and the message waiting light is flashing.
The buyer at one of GECo’s largest channel partners has called.  She is extremely unhappy with her experience with Sam, your sales manager, calling him incompetent, unprofessional, and difficult to work with.   Deliveries from GECo to the retailer’s distribution center are frequently late and she wants Sam to take blame and responsibility, something he adamantly refuses to do.  Even though it’s already 6:30PM, you think it would be best to address the situation immediately.  What is the best course of action?</t>
  </si>
  <si>
    <t>Practice 3 Consulting Hrs. Manager Slary Expense</t>
  </si>
  <si>
    <t>Non-Billable Consulting Hrs. Manager Slary Expense</t>
  </si>
  <si>
    <t>Outsourcing Manager Expense Allocation</t>
  </si>
  <si>
    <t>capBusBEmp2BaseExp</t>
  </si>
  <si>
    <t>capBusAV1H2Y1RevFromPullThru</t>
  </si>
  <si>
    <t>capBusAV1H3Y1RevFromPullThru</t>
  </si>
  <si>
    <t>STEP 7</t>
  </si>
  <si>
    <t>finPNLBusBV1Emp4OpsImproveExp</t>
  </si>
  <si>
    <t>finPNLBusBV1OpsImproveExp</t>
  </si>
  <si>
    <t>finPNLBusBV2Emp1OpsImproveExp</t>
  </si>
  <si>
    <t>finPNLBusBV2Emp2OpsImproveExp</t>
  </si>
  <si>
    <t xml:space="preserve">A client in Practice 1 has escalated delivery issues to your team. Milestones have not been met and the promised value creation is suddenly become value destroyed. The client is a mid-sized account and is very upset. The delivery missteps have had enough of an impact on their business that shareholders and analysts have raised red flags. The client has hinted that Accenture may take the fall for the negative public sentiment and that they will not be satisfied unless the fee is refunded.  You have a limited amount of time to react before the situation escalates. </t>
  </si>
  <si>
    <t>Client value market model driver needs to be greater then 10% to allow the bid to go through. This is the minimum client value that clients need to agree to the deal</t>
  </si>
  <si>
    <t>finPNLBusAV2TotalGeneralTrainingBudgetExpense</t>
  </si>
  <si>
    <t>finPNLBusBV1GeneralTrainingBudgetExpense</t>
  </si>
  <si>
    <t>finPNLBusBV2GeneralTrainingBudgetExpense</t>
  </si>
  <si>
    <r>
      <t>·</t>
    </r>
    <r>
      <rPr>
        <sz val="7"/>
        <rFont val="Times New Roman"/>
        <family val="1"/>
      </rPr>
      <t xml:space="preserve">        </t>
    </r>
    <r>
      <rPr>
        <sz val="14"/>
        <rFont val="Arial"/>
        <family val="2"/>
      </rPr>
      <t>On each of the teams’ computers, open each tool by double-clicking on the file.</t>
    </r>
  </si>
  <si>
    <t>cbalY1V3H1COS</t>
  </si>
  <si>
    <t>cbalY1V3H2COS</t>
  </si>
  <si>
    <t>cbalY1V3H3COS</t>
  </si>
  <si>
    <t>cbalY2V1H1COS</t>
  </si>
  <si>
    <t>cbalY2V1H2COS</t>
  </si>
  <si>
    <t>cbalY2V1H3COS</t>
  </si>
  <si>
    <t>cbalY2V2H1COS</t>
  </si>
  <si>
    <t>cbalY2V2H2COS</t>
  </si>
  <si>
    <t>cbalY2V2H3COS</t>
  </si>
  <si>
    <t>cbalY2V3H1COS</t>
  </si>
  <si>
    <t>cbalY2V3H2COS</t>
  </si>
  <si>
    <t>cbalY2V3H3COS</t>
  </si>
  <si>
    <t>cbalY3V1H1COS</t>
  </si>
  <si>
    <t>FMATDAreaFont</t>
  </si>
  <si>
    <t>The five newly created tools must be loaded onto the teams’ computers.  STEP 1 created five unique tools, each with its own team number.  Please ensure that the appropriate tool is loaded on the correct team computers (the team numbers is stored in the file name, e.g. “Dealer_T1Y1” where ‘T’ represents the team number and ‘Y’ represents the decision round or year).</t>
  </si>
  <si>
    <r>
      <t>·</t>
    </r>
    <r>
      <rPr>
        <sz val="7"/>
        <rFont val="Times New Roman"/>
        <family val="1"/>
      </rPr>
      <t xml:space="preserve">        </t>
    </r>
    <r>
      <rPr>
        <sz val="14"/>
        <rFont val="Arial"/>
        <family val="2"/>
      </rPr>
      <t>Create a folder on the desktop of the team computer to store all simulation files for the competition.</t>
    </r>
  </si>
  <si>
    <t>decEntWFTrainingBudget</t>
  </si>
  <si>
    <t>7.8.9</t>
  </si>
  <si>
    <r>
      <t>o</t>
    </r>
    <r>
      <rPr>
        <sz val="7"/>
        <rFont val="Times New Roman"/>
        <family val="1"/>
      </rPr>
      <t xml:space="preserve">       </t>
    </r>
    <r>
      <rPr>
        <sz val="14"/>
        <rFont val="Arial"/>
        <family val="2"/>
      </rPr>
      <t>Change initial market shares for each segment by placing the actual market share awarded (pre-stockout).</t>
    </r>
  </si>
  <si>
    <t>Direct Delivery Exp</t>
  </si>
  <si>
    <t>obalOutsourcingCCIPctofRevenueY2</t>
  </si>
  <si>
    <t>capBusAEmp1PureHrsAvail</t>
  </si>
  <si>
    <t>capBusAEmp2PureHrsAvail</t>
  </si>
  <si>
    <t>xxMMProd6Driver2</t>
  </si>
  <si>
    <t>xxMMProd6Driver3</t>
  </si>
  <si>
    <t>xxMMProd6Driver4</t>
  </si>
  <si>
    <t>xxMMProd6Driver5</t>
  </si>
  <si>
    <t>xxMMProd6Driver6</t>
  </si>
  <si>
    <t>xxMMProd6Driver7</t>
  </si>
  <si>
    <t>xxMMProd6Driver8</t>
  </si>
  <si>
    <t>xxMMProd6Driver9</t>
  </si>
  <si>
    <t>obalY2V1H2BidRev</t>
  </si>
  <si>
    <t>obalY2V1H3BidRev</t>
  </si>
  <si>
    <t>obalY2V2H1BidRev</t>
  </si>
  <si>
    <t>obalY2V2H2BidRev</t>
  </si>
  <si>
    <t>obalY2V2H3BidRev</t>
  </si>
  <si>
    <t>Print M&amp;arket Model Report</t>
  </si>
  <si>
    <t>Current Engagements</t>
  </si>
  <si>
    <t>Senior Manager /</t>
  </si>
  <si>
    <t>capBusBTotalH2Rev</t>
  </si>
  <si>
    <t>capBusBTotalH3Rev</t>
  </si>
  <si>
    <t>Outsourcing Profitability</t>
  </si>
  <si>
    <t>cbalBusBV1ControllableIncome</t>
  </si>
  <si>
    <t>cbalBusBV2ControllableIncome</t>
  </si>
  <si>
    <t>&amp;Reset Year 0</t>
  </si>
  <si>
    <t>&amp;Create Tool</t>
  </si>
  <si>
    <t>Change to Paper &amp;A4</t>
  </si>
  <si>
    <t>Change to Paper &amp;Letter</t>
  </si>
  <si>
    <t>&amp;Print PC Tool</t>
  </si>
  <si>
    <t>Format &amp;Opened Hood</t>
  </si>
  <si>
    <t xml:space="preserve">Partnering with Monet has added to your reputation in Practice 2 and improved the efficacy of deal pursuit. Access to their technology has led to additional innovations in related Business Unit products, improving Practice 2 expertise by 1 level. Partnering with Monet has also allowed you to gain additional margin by including their technology in your offering.  </t>
  </si>
  <si>
    <t xml:space="preserve">C. Advise Accenture not to invest in Monet or its technology. </t>
  </si>
  <si>
    <t xml:space="preserve">There is no change in expertise or selling advantage. </t>
  </si>
  <si>
    <t>capEmp3BusAV1Exp</t>
  </si>
  <si>
    <t>Consulting Solutions WF Base Expense</t>
  </si>
  <si>
    <t>Increase (+)/ Decrease (-) in Special Loans</t>
  </si>
  <si>
    <t>NET CASH FROM FINANCING ACTIVITIES</t>
  </si>
  <si>
    <t>NET CASH FLOW</t>
  </si>
  <si>
    <t>capEmp3BusAV2SalesExp</t>
  </si>
  <si>
    <t>capEmp3BusAV3SalesExp</t>
  </si>
  <si>
    <t>capEmp3BusACompDevExp</t>
  </si>
  <si>
    <t>capEmp3BusAGeneralTrainingExp</t>
  </si>
  <si>
    <t>Outsourcing Consultant Base Expense</t>
  </si>
  <si>
    <t>obalEmpEngagementY3</t>
  </si>
  <si>
    <t>obalEmpEngagementY4</t>
  </si>
  <si>
    <t>decClientIntCostBid1</t>
  </si>
  <si>
    <t>decClientIntCostBid2</t>
  </si>
  <si>
    <t>decClientIntCostBid3</t>
  </si>
  <si>
    <t>decClientIntCostBid4</t>
  </si>
  <si>
    <t>decClientIntCostBid5</t>
  </si>
  <si>
    <t>decClientIntCostBid6</t>
  </si>
  <si>
    <t>decClientIntCostBid7</t>
  </si>
  <si>
    <t>decClientIntCostBid8</t>
  </si>
  <si>
    <t>decClientIntCostBid9</t>
  </si>
  <si>
    <t>Client Cost Bid 1</t>
  </si>
  <si>
    <t>Client Cost Bid 2</t>
  </si>
  <si>
    <t>Client Cost Bid 3</t>
  </si>
  <si>
    <t>Client Cost Bid 4</t>
  </si>
  <si>
    <t>Client Cost Bid 5</t>
  </si>
  <si>
    <t>Driver 7</t>
  </si>
  <si>
    <t>TOTAL CASH EXPENSE</t>
  </si>
  <si>
    <t>Profit and Loss Statement - Outsourcing</t>
  </si>
  <si>
    <t>Mod. Top Heavy</t>
  </si>
  <si>
    <t>Mod. Bottom Heavy</t>
  </si>
  <si>
    <t>Capacity Calculations</t>
  </si>
  <si>
    <t>Base Value</t>
  </si>
  <si>
    <t>ABSOLUTE</t>
  </si>
  <si>
    <t>RELATIVE</t>
  </si>
  <si>
    <t>ADJUSTMENTS</t>
  </si>
  <si>
    <t>finPNLProd1Rev</t>
  </si>
  <si>
    <t>finCashExpense</t>
  </si>
  <si>
    <t>finCashFlowDep</t>
  </si>
  <si>
    <t>Priority</t>
  </si>
  <si>
    <t>Complexity</t>
  </si>
  <si>
    <t>Change</t>
  </si>
  <si>
    <t>No MM balancing required/ Fixed Std Dev</t>
  </si>
  <si>
    <t>Too Complex</t>
  </si>
  <si>
    <t>nope/ depends on market model chosen  Maybe add more Names to dataname (PNL Statement) &amp; link</t>
  </si>
  <si>
    <t>Revenues</t>
  </si>
  <si>
    <t>Prod5Seg4</t>
  </si>
  <si>
    <t>Prod5Seg5</t>
  </si>
  <si>
    <t>Prod5Seg1</t>
  </si>
  <si>
    <t>Prod6Seg2</t>
  </si>
  <si>
    <t>Prod6Seg3</t>
  </si>
  <si>
    <t>Prod6Seg4</t>
  </si>
  <si>
    <t>Report Area Color Header</t>
  </si>
  <si>
    <t>Report Area Font Type Header</t>
  </si>
  <si>
    <t>Decision Area Border Header</t>
  </si>
  <si>
    <t>xxMMProd1Driver2</t>
  </si>
  <si>
    <t>Bid 6</t>
  </si>
  <si>
    <t>Bid 7</t>
  </si>
  <si>
    <t>Bid 8</t>
  </si>
  <si>
    <t>Bid 9</t>
  </si>
  <si>
    <t>capBusBForecastRevBid9</t>
  </si>
  <si>
    <t>Total Revenue Forecast</t>
  </si>
  <si>
    <t>capBusAV1ForecastRev</t>
  </si>
  <si>
    <t>finPNLBusAUnallocTimeExp</t>
  </si>
  <si>
    <t>finPNLBusAV1UnallocTimeExp</t>
  </si>
  <si>
    <t>finPNLBusAV2UnallocTimeExp</t>
  </si>
  <si>
    <t>Market Growth Year 3</t>
  </si>
  <si>
    <t>Market Growth Year 4</t>
  </si>
  <si>
    <t>Graph Data</t>
  </si>
  <si>
    <t>obalConsultingRevPctofTotalRevY1</t>
  </si>
  <si>
    <t>obalConsultingRevPctofTotalRevY2</t>
  </si>
  <si>
    <t>obalConsultingRevPctofTotalRevY3</t>
  </si>
  <si>
    <t>obalConsultingRevPctofTotalRevY4</t>
  </si>
  <si>
    <t>obalConsultingCCIPctRevY1</t>
  </si>
  <si>
    <t>obalConsultingCCIPctRevY2</t>
  </si>
  <si>
    <t>obalConsultingCCIPctRevY3</t>
  </si>
  <si>
    <t>obalConsultingCCIPctRevY4</t>
  </si>
  <si>
    <t xml:space="preserve">Attrition is increasing among consulting resources with a highly valued and scarce skill set. This group of resources makes up about 15% of your total consulting workforce. The cause is attributed to below market pay. Internal stakeholders insist that a 6% mid-year bonus is necessary to offer best-in-class compensation. Some of this cost can be passed on to customers without impacting CCI%. However, analysts confirm that the market can only bear a 3% increase without decreasing demand. </t>
  </si>
  <si>
    <r>
      <t>·</t>
    </r>
    <r>
      <rPr>
        <sz val="7"/>
        <rFont val="Times New Roman"/>
        <family val="1"/>
      </rPr>
      <t xml:space="preserve">        </t>
    </r>
    <r>
      <rPr>
        <sz val="14"/>
        <rFont val="Arial"/>
        <family val="2"/>
      </rPr>
      <t>To link the source file to the Feedback.ppt file, first open the appropriate Feedback.ppt file (e.g. Dealer Feedback 1).</t>
    </r>
  </si>
  <si>
    <r>
      <t>o</t>
    </r>
    <r>
      <rPr>
        <sz val="7"/>
        <rFont val="Times New Roman"/>
        <family val="1"/>
      </rPr>
      <t xml:space="preserve">       </t>
    </r>
    <r>
      <rPr>
        <sz val="14"/>
        <rFont val="Arial"/>
        <family val="2"/>
      </rPr>
      <t>If the links have not been updated, it will be necessary to ‘Change the Source’ of each slide.  If the links have already been created, select ‘Update Links’ when prompted.</t>
    </r>
  </si>
  <si>
    <t>STEP 9</t>
  </si>
  <si>
    <t>capY1V2H3COS</t>
  </si>
  <si>
    <t>capY1V3H1COS</t>
  </si>
  <si>
    <t>capY1V3H2COS</t>
  </si>
  <si>
    <t>capY1V3H3COS</t>
  </si>
  <si>
    <t>capY2V1H1COS</t>
  </si>
  <si>
    <t>capY2V1H2COS</t>
  </si>
  <si>
    <t>capY2V1H3COS</t>
  </si>
  <si>
    <t>capY2V2H1COS</t>
  </si>
  <si>
    <t>capY2V2H2COS</t>
  </si>
  <si>
    <t>capY2V2H3COS</t>
  </si>
  <si>
    <t>obalY2V1H1BidWon</t>
  </si>
  <si>
    <t>obalY2V1H2BidWon</t>
  </si>
  <si>
    <t>obalY2V1H3BidWon</t>
  </si>
  <si>
    <t>obalY2V2H1BidWon</t>
  </si>
  <si>
    <t>obalY2V2H2BidWon</t>
  </si>
  <si>
    <t>obalY2V2H3BidWon</t>
  </si>
  <si>
    <t>obalY2V3H1BidWon</t>
  </si>
  <si>
    <t>obalY2V3H2BidWon</t>
  </si>
  <si>
    <t>cbalTotalRevY4</t>
  </si>
  <si>
    <t xml:space="preserve">SI &amp; T </t>
  </si>
  <si>
    <t xml:space="preserve">Percentage </t>
  </si>
  <si>
    <t>cbalOutsourcingRevPctofTotalRevenueY2</t>
  </si>
  <si>
    <t>cbalOutsourcingRevPctofTotalRevenueY3</t>
  </si>
  <si>
    <t>cbalOutsourcingRevPctofTotalRevenueY4</t>
  </si>
  <si>
    <t>cbalOutsourcingCCIPctofRevenueY1</t>
  </si>
  <si>
    <t>cbalOutsourcingCCIPctofRevenueY2</t>
  </si>
  <si>
    <t>cbalOutsourcingCCIPctofRevenueY3</t>
  </si>
  <si>
    <t>cbalOutsourcingCCIPctofRevenueY4</t>
  </si>
  <si>
    <t>cbalOutsourcingProductivityGainY1</t>
  </si>
  <si>
    <t>cbalOutsourcingProductivityGainY2</t>
  </si>
  <si>
    <t>cbalOutsourcingProductivityGainY3</t>
  </si>
  <si>
    <t>Special Program Outsourcing Soln WF Initiative Hrs Required</t>
  </si>
  <si>
    <t>Special Program Outsourcing Consultant Initiative Hrs Required</t>
  </si>
  <si>
    <t>Special Program % Cost reduc. BPO H1 (+ Only; Once/init!)</t>
  </si>
  <si>
    <t>finPNLBusBV3H2GlobalSalaryExp</t>
  </si>
  <si>
    <t>finPNLBusBV3Emp1CompDevExp</t>
  </si>
  <si>
    <t>finPNLBusBV3Emp2CompDevExp</t>
  </si>
  <si>
    <t>finPNLBusBV3Emp3CompDevExp</t>
  </si>
  <si>
    <t>xxMMProd4Driver4</t>
  </si>
  <si>
    <t>cbalY2V3H3BidRev</t>
  </si>
  <si>
    <t>cbalY3V1H1BidRev</t>
  </si>
  <si>
    <t>cbalY3V1H2BidRev</t>
  </si>
  <si>
    <t>cbalY3V1H3BidRev</t>
  </si>
  <si>
    <t>cbalY3V2H1BidRev</t>
  </si>
  <si>
    <t>cbalY3V2H2BidRev</t>
  </si>
  <si>
    <t>cbalY3V2H3BidRev</t>
  </si>
  <si>
    <t>cbalY3V3H1BidRev</t>
  </si>
  <si>
    <t>cbalY3V3H2BidRev</t>
  </si>
  <si>
    <t>cbalY3V3H3BidRev</t>
  </si>
  <si>
    <t>Cust Cost</t>
  </si>
  <si>
    <t>Y1 V1 H1</t>
  </si>
  <si>
    <t>Y1 V1 H2</t>
  </si>
  <si>
    <t>Y1 V1 H3</t>
  </si>
  <si>
    <t>Y1 V2 H1</t>
  </si>
  <si>
    <t>paramSpecProgPursuitEfficiencyH1</t>
  </si>
  <si>
    <t>Emp 3: 230</t>
  </si>
  <si>
    <t>Emp 4: 61</t>
  </si>
  <si>
    <t>Emp 7: 36</t>
  </si>
  <si>
    <t>EMp 8: 159 (no change)</t>
  </si>
  <si>
    <t>Emp 9: 410</t>
  </si>
  <si>
    <t>Practice 3 Sales Hrs. Solutions WF Slary Expense</t>
  </si>
  <si>
    <t>Comp. Dev Hrs. Solutions WF Slary Expense</t>
  </si>
  <si>
    <t>General Training Salary Exp</t>
  </si>
  <si>
    <t>Total Hours Per Employee</t>
  </si>
  <si>
    <t>capEmp1BusAGeneralTrainingHrs</t>
  </si>
  <si>
    <t>cbalY3V3H1COSRealized</t>
  </si>
  <si>
    <t>DLA</t>
  </si>
  <si>
    <t>GST</t>
  </si>
  <si>
    <t>FSP</t>
  </si>
  <si>
    <t>Update Maket Model Drivers Per Year</t>
  </si>
  <si>
    <t>B</t>
  </si>
  <si>
    <t>Outsourcing V2 Consultant Allocation</t>
  </si>
  <si>
    <t>Outsourcing V3 Consultant Allocation</t>
  </si>
  <si>
    <t>Outsourcing Sales Output - V3H3</t>
  </si>
  <si>
    <t>capBusBV3H3BusDevWAvgSalesOutput</t>
  </si>
  <si>
    <t xml:space="preserve">Headcount Dismissal  </t>
  </si>
  <si>
    <t>finPNLBusBV1Emp1GeneralTrainingExp</t>
  </si>
  <si>
    <t>finPNLBusBV1Emp2GeneralTrainingExp</t>
  </si>
  <si>
    <t>finPNLBusBV1Emp3GeneralTrainingExp</t>
  </si>
  <si>
    <t>Outsourcing Sales Output - V2H1</t>
  </si>
  <si>
    <t>capBusBV2H1BusDevWAvgSalesOutput</t>
  </si>
  <si>
    <t>Outsourcing Sales Output - V2H2</t>
  </si>
  <si>
    <t>capBusBV2H2BusDevWAvgSalesOutput</t>
  </si>
  <si>
    <t>Outsourcing Sales Output - V2H3</t>
  </si>
  <si>
    <t>capBusBV2H3BusDevWAvgSalesOutput</t>
  </si>
  <si>
    <t>Sales and Marketing</t>
  </si>
  <si>
    <t>finPNLTotalDirectDeliveryExp</t>
  </si>
  <si>
    <t>finPNLTotalGlobalWFExp</t>
  </si>
  <si>
    <t>finPNLTotalCompDevExp</t>
  </si>
  <si>
    <t>finPNLTotalGeneralTrainingExp</t>
  </si>
  <si>
    <t>finPNLTotalRecDismExp</t>
  </si>
  <si>
    <t>finPNLOpsImproveExp</t>
  </si>
  <si>
    <t>finPNLTotalGrossProfit</t>
  </si>
  <si>
    <t>One of our teams had wobblers popping up; once they had a wobbler pop up with no decisions possible and the data validation on the 'OK' button wouldn't allow them to exit the wobbler without selecting a decision... Not sure why these are being triggered, but this needs to NOT HAPPEN.  Denys walked me through removing the trigger times on the Data Page in Column Q (note that this Y1 version doesn't have this change made, as I wasn't sure what else might need to be done).  Please make sure that all wobbler triggers are removed.</t>
  </si>
  <si>
    <t>See toolBusinessA (2) C17:P22 for an example of how we might reorganize it to be easier to explain and use.  Note that this tab is a copy of the one to its left.  SENT EMAIL TO NDR FOR APPROVAL.</t>
  </si>
  <si>
    <t>decBusABusDevNonPayrollBud</t>
  </si>
  <si>
    <t>decBusBBusDevNonPayrollBud</t>
  </si>
  <si>
    <t>cbalV3H2Comp</t>
  </si>
  <si>
    <t>obalV1H1Comp</t>
  </si>
  <si>
    <t>obalV1H2Comp</t>
  </si>
  <si>
    <t>obalV1H3Comp</t>
  </si>
  <si>
    <t>obalV2H1Comp</t>
  </si>
  <si>
    <t>obalV2H2Comp</t>
  </si>
  <si>
    <t>capBusAEmp3Req</t>
  </si>
  <si>
    <t>capBusBEmp3Req</t>
  </si>
  <si>
    <t>capBusAEmp3Utiliz</t>
  </si>
  <si>
    <t>capBusBEmp3Utiliz</t>
  </si>
  <si>
    <t>capBusAEmp4Att</t>
  </si>
  <si>
    <t>capBusBEmp4Att</t>
  </si>
  <si>
    <t>capBusAEmp4End</t>
  </si>
  <si>
    <t>capBusBEmp4End</t>
  </si>
  <si>
    <t>capBusAEmp4Req</t>
  </si>
  <si>
    <t>capBusBEmp4Req</t>
  </si>
  <si>
    <t>capBusAEmp4Utiliz</t>
  </si>
  <si>
    <t>capBusBEmp4Utiliz</t>
  </si>
  <si>
    <t>xxMMProd1Driver6</t>
  </si>
  <si>
    <t>xxMMProd1Driver7</t>
  </si>
  <si>
    <t>xxMMProd1Driver8</t>
  </si>
  <si>
    <t>xxMMProd1Driver9</t>
  </si>
  <si>
    <t>xxMMProd1Driver10</t>
  </si>
  <si>
    <t>Market Model Prod1 Drivers</t>
  </si>
  <si>
    <t>xxMMProd1Seg1Units</t>
  </si>
  <si>
    <t>Total Recruits</t>
  </si>
  <si>
    <t>Total Recruiting Effect on Time Demanded of Ent WF</t>
  </si>
  <si>
    <t>DataPageEmp6RecruitEffectOnTimeDemand</t>
  </si>
  <si>
    <t>Total Number of Recruits</t>
  </si>
  <si>
    <t>Hours Required to Support Recruiting</t>
  </si>
  <si>
    <t>NDR: you can adjust in the green area below…these are the house required to support hiring volume</t>
  </si>
  <si>
    <t>capEmp7BusAV2Alloc</t>
  </si>
  <si>
    <t>capEmp7BusAV3Alloc</t>
  </si>
  <si>
    <t>capEmp7BusAV1AllocSalesV1</t>
  </si>
  <si>
    <t>capEmp7BusAV1AllocSalesV2</t>
  </si>
  <si>
    <t>capEmp7BusAV1AllocSalesV3</t>
  </si>
  <si>
    <t>capEmp7BusACompDevAlloc</t>
  </si>
  <si>
    <t>capEmp7BusAGeneralTrainingAlloc</t>
  </si>
  <si>
    <t>capEmp7BusAInitHrsAlloc</t>
  </si>
  <si>
    <t>Manager RFQ Hrs. Bid 5</t>
  </si>
  <si>
    <t>Manager RFQ Hrs. Bid 6</t>
  </si>
  <si>
    <t>Manager RFQ Hrs. Bid 7</t>
  </si>
  <si>
    <t>Manager RFQ Hrs. Bid 8</t>
  </si>
  <si>
    <t>Manager RFQ Hrs. Bid 9</t>
  </si>
  <si>
    <t>Consltant RFQ Hrs. Bid 1</t>
  </si>
  <si>
    <t>Consltant RFQ Hrs. Bid 2</t>
  </si>
  <si>
    <t>Consltant RFQ Hrs. Bid 3</t>
  </si>
  <si>
    <t>Consltant RFQ Hrs. Bid 4</t>
  </si>
  <si>
    <t>Consltant RFQ Hrs. Bid 5</t>
  </si>
  <si>
    <t>Consltant RFQ Hrs. Bid 6</t>
  </si>
  <si>
    <t>Consltant RFQ Hrs. Bid 7</t>
  </si>
  <si>
    <t>Consltant RFQ Hrs. Bid 8</t>
  </si>
  <si>
    <t>Consltant RFQ Hrs. Bid 9</t>
  </si>
  <si>
    <t>cbalV1Competency</t>
  </si>
  <si>
    <t>cbalV2Competency</t>
  </si>
  <si>
    <t>cbalV3Competency</t>
  </si>
  <si>
    <t>paramEmp9HoursPYear</t>
  </si>
  <si>
    <t>paramEmp10AttRate</t>
  </si>
  <si>
    <t>paramEmp10Exp</t>
  </si>
  <si>
    <t>paramEmp10RecDismCost</t>
  </si>
  <si>
    <t>paramEmp10AdminCostPct</t>
  </si>
  <si>
    <t>paramEmp10OTRate</t>
  </si>
  <si>
    <t>B. Although acquiring Monet is a very compelling acquisition target, you recommend that Accenture partner with them instead. Invest $5M to create a strategic alliance with Monet and support them in developing a more robust set of solutions for Practice 2.  Allocate 2 Enterprise resources, 1 SI&amp;T senior executives, 2 SI&amp;T senior managers, and 2 SI&amp;T consultants to manage the partnership.</t>
  </si>
  <si>
    <r>
      <t>o</t>
    </r>
    <r>
      <rPr>
        <sz val="7"/>
        <rFont val="Times New Roman"/>
        <family val="1"/>
      </rPr>
      <t xml:space="preserve">       </t>
    </r>
    <r>
      <rPr>
        <sz val="14"/>
        <rFont val="Arial"/>
        <family val="2"/>
      </rPr>
      <t>After each team’s decisions are imported, you will be asked whether to import another; select appropriately.</t>
    </r>
  </si>
  <si>
    <t>capBusATotalRevFromPullThru</t>
  </si>
  <si>
    <t>Best in Class</t>
  </si>
  <si>
    <t>finPNLBusAV2CompDevTimeExp</t>
  </si>
  <si>
    <t>finPNLBusAV3CompDevTimeExp</t>
  </si>
  <si>
    <t>finPNLBusAGeneralTrainingExp</t>
  </si>
  <si>
    <t>finPNLBusAV1GeneralTrainingExp</t>
  </si>
  <si>
    <t>finPNLBusAV2GeneralTrainingExp</t>
  </si>
  <si>
    <t>Calculator in Sim</t>
  </si>
  <si>
    <t>Comment Toggler</t>
  </si>
  <si>
    <t>Generic Competitor Report with Formatting</t>
  </si>
  <si>
    <t>Autobuilder Macro</t>
  </si>
  <si>
    <t>finPNLBusAV3Emp8CompDevTimeExp</t>
  </si>
  <si>
    <t>finPNLBusAV3Emp7CompDevTimeExp</t>
  </si>
  <si>
    <t>finPNLBusAV1Emp9CompDevTimeExp</t>
  </si>
  <si>
    <t>the tool will export the client value % as one of their decisions.  If this value is greater than 10%, they can bid, otherwise the mkt model will award no share.</t>
  </si>
  <si>
    <t>Locked all cells except for decision inputs.</t>
  </si>
  <si>
    <t>I don't have triggering symptoms, but tools had a surprising frequency of losing their menus (menus disappear, replaced by formula bar).  This was easily solved by opening and closing the hood, but I don't know why it's happening, and it looks unprofessional.</t>
  </si>
  <si>
    <t>Y1V1H1</t>
  </si>
  <si>
    <t>Beginning COS</t>
  </si>
  <si>
    <t>Solutions WF % of pyramid is confusing since it is separated from the % it's part of (on the left, SI&amp;T, MC consulting workforces) and is near a different set of percentages (SE/Mgr/Cons).</t>
  </si>
  <si>
    <t>toolBusinessA C17:P23</t>
  </si>
  <si>
    <t>CompetitorReport tab rows97, 104, 111</t>
  </si>
  <si>
    <t>We don't use the Global Services anymore, so I've hidden these references on the competitor report (I didn't delete them, just in case we need them in the future).</t>
  </si>
  <si>
    <t>SWO: Cut and pasted toolPeople tab K57:61 to the SI&amp;T workforce lines (K63:70).  Pasted formats from L57:61 to cover what was left over in the cut space.  Verified that the decision cell (now K70) had a range name.</t>
  </si>
  <si>
    <t>rows and columns are showing up in tools; had to manually delete them</t>
  </si>
  <si>
    <t>not sure; either cap 401 or params #146,167,189,211,244</t>
  </si>
  <si>
    <t>Reduce impact of Training Budget increases; several teams were able to game the system a bit with this.  Reduce the impact by half. NOTE: REQUESTED APPROVAL FROM NDR BY EMAIL.</t>
  </si>
  <si>
    <t>not sure, but someplace in the market models</t>
  </si>
  <si>
    <t>Mkt Shares in Y2 and Y3 to be 'sticky' depending on prior success or failure in each consulting mass market.  Make 'stickiness' equal to half of gain or loss from 20% in prior period.</t>
  </si>
  <si>
    <t>toolBusinessB D51:L58</t>
  </si>
  <si>
    <t>Vertical Comp. Cost Reduction</t>
  </si>
  <si>
    <t>Horizontal Comp. Cost Reduction</t>
  </si>
  <si>
    <t>paramEmp1BusAHrsReqPerCompDevLevel</t>
  </si>
  <si>
    <t>paramEmp1BusBHrsReqPerCompDevLevel</t>
  </si>
  <si>
    <t>Initiative Effect</t>
  </si>
  <si>
    <t>Ending COS</t>
  </si>
  <si>
    <t xml:space="preserve">Consulting: </t>
  </si>
  <si>
    <t>SE: 50</t>
  </si>
  <si>
    <t>SM: 213</t>
  </si>
  <si>
    <t>C/A: 360</t>
  </si>
  <si>
    <t>SE: 49</t>
  </si>
  <si>
    <t>SM: 154</t>
  </si>
  <si>
    <t>C/A:440</t>
  </si>
  <si>
    <t>paramBusBH3RevPullThruWeight</t>
  </si>
  <si>
    <t>finPNLBusBV2OpsImproveExp</t>
  </si>
  <si>
    <t>finPNLBusBV3Emp1OpsImproveExp</t>
  </si>
  <si>
    <r>
      <t>§</t>
    </r>
    <r>
      <rPr>
        <sz val="7"/>
        <rFont val="Times New Roman"/>
        <family val="1"/>
      </rPr>
      <t xml:space="preserve">        </t>
    </r>
    <r>
      <rPr>
        <sz val="14"/>
        <rFont val="Arial"/>
        <family val="2"/>
      </rPr>
      <t>“Do you want to create multiple tools?”: YES</t>
    </r>
  </si>
  <si>
    <t>Outsourcing Sales Output - V1H1</t>
  </si>
  <si>
    <t>capBusBV1H1BusDevWAvgSalesOutput</t>
  </si>
  <si>
    <t>SI&amp;T Consultant</t>
  </si>
  <si>
    <t>SI&amp;T Manager</t>
  </si>
  <si>
    <t>SI&amp;T Executive</t>
  </si>
  <si>
    <t>Cons/An/Soln</t>
  </si>
  <si>
    <t>dataListProfileSIT</t>
  </si>
  <si>
    <t>dataListProfileValuesSE</t>
  </si>
  <si>
    <t>dataListProfileValuesSM/Mgr</t>
  </si>
  <si>
    <t>dataListProfileValuesConsAnl</t>
  </si>
  <si>
    <t>dataListProfileMC</t>
  </si>
  <si>
    <t>capBusAV3ForecastHrs</t>
  </si>
  <si>
    <t>capBusATotalForecastHrs</t>
  </si>
  <si>
    <t>Data Validation</t>
  </si>
  <si>
    <t>Manager RFQ Hrs. Bid 3</t>
  </si>
  <si>
    <t>Manager RFQ Hrs. Bid 4</t>
  </si>
  <si>
    <t>xxPopupWobblerStartY3</t>
  </si>
  <si>
    <t>Example of Swedish Type Extrapolation Table</t>
  </si>
  <si>
    <t>Calculation</t>
  </si>
  <si>
    <t>Calucation</t>
  </si>
  <si>
    <t>Combined</t>
  </si>
  <si>
    <t>List of Available Programs</t>
  </si>
  <si>
    <t>Special Programs Drop Downs</t>
  </si>
  <si>
    <t>Print &amp;Board Report</t>
  </si>
  <si>
    <t>PrintBoardReport</t>
  </si>
  <si>
    <t>N/A</t>
  </si>
  <si>
    <t>finPNLBusAV1Emp4SalaryExp</t>
  </si>
  <si>
    <t>capEmp3AdminExp</t>
  </si>
  <si>
    <t>capEmp3RecDismExp</t>
  </si>
  <si>
    <t>capEmp3Exp</t>
  </si>
  <si>
    <t>paramSpecProgProd3Exp</t>
  </si>
  <si>
    <t>paramSpecProgProd4Exp</t>
  </si>
  <si>
    <t>paramSpecProgProd5Exp</t>
  </si>
  <si>
    <t>paramSpecProgProd6Exp</t>
  </si>
  <si>
    <t>B.  You decide the problem can wait until the next morning.  First thing, Sam walks into your office to proactively seek assistance with the situation.  You assure Sam that you will handle the problem and smooth things over as long as he promises to work on fixing future delivery performance.  You then call the retailer back and apologize profusely, accepting full responsibility for the delivery problems and communicate Sam’s promise not to let it occur again.  While this has fixed the short term issues, you remain concerned that it may not be solved in the long term.</t>
  </si>
  <si>
    <t>OPENING CASH BALANCE</t>
  </si>
  <si>
    <t>CASH FROM OPERATING ACTIVITIES</t>
  </si>
  <si>
    <t>Changes In Working Capital</t>
  </si>
  <si>
    <t>Compensation</t>
  </si>
  <si>
    <t>Internal</t>
  </si>
  <si>
    <t xml:space="preserve">Proposed Client Savings %:  </t>
  </si>
  <si>
    <t>Client's</t>
  </si>
  <si>
    <t>cbalEmp4GeneralTrainingHrsCompleted</t>
  </si>
  <si>
    <t>paramProd1DistCostPUnit</t>
  </si>
  <si>
    <t>paramProd1FixedAdmin</t>
  </si>
  <si>
    <t>Cash</t>
  </si>
  <si>
    <t>Total Current Assets</t>
  </si>
  <si>
    <t>Current Assets</t>
  </si>
  <si>
    <t>Total Assets</t>
  </si>
  <si>
    <t>Equity and Liabilities</t>
  </si>
  <si>
    <t>Current Liabilities</t>
  </si>
  <si>
    <t>Accounts Payable</t>
  </si>
  <si>
    <t>Other Current Liabilities</t>
  </si>
  <si>
    <t>Special Loans</t>
  </si>
  <si>
    <t>DataPageEmp6TotalTrainingEffectOnTimeDemandFuture</t>
  </si>
  <si>
    <t>Y2V3H2</t>
  </si>
  <si>
    <t>Y2V3H3</t>
  </si>
  <si>
    <t>Y3V1H1</t>
  </si>
  <si>
    <t>P3 NonPayroll Allocation</t>
  </si>
  <si>
    <t>finBusAV1BusDevNonPayroll</t>
  </si>
  <si>
    <t>finBusAV2BusDevNonPayroll</t>
  </si>
  <si>
    <t>finBusAV3BusDevNonPayroll</t>
  </si>
  <si>
    <t>Valid</t>
  </si>
  <si>
    <t>Not used Previously</t>
  </si>
  <si>
    <t>Not used This Year</t>
  </si>
  <si>
    <t>Prod4Seg2</t>
  </si>
  <si>
    <t>Prod5Seg2</t>
  </si>
  <si>
    <t>Prod5Seg3</t>
  </si>
  <si>
    <t>Consulting Competency Development</t>
  </si>
  <si>
    <t>paramEmp1CompMltplr</t>
  </si>
  <si>
    <t>capBusBY3V3OpsSavings</t>
  </si>
  <si>
    <t>finPNLBusAV2Emp1SalaryExp</t>
  </si>
  <si>
    <t>finPNLBusAV2Emp2SalaryExp</t>
  </si>
  <si>
    <t>finPNLBusAV2Emp3SalaryExp</t>
  </si>
  <si>
    <t>finPNLBusAV2Emp4SalaryExp</t>
  </si>
  <si>
    <t>finPNLBusAV2TotalSalaryExp</t>
  </si>
  <si>
    <t>finPNLBusAV3Emp1SalaryExp</t>
  </si>
  <si>
    <t>finPNLBusAV3Emp2SalaryExp</t>
  </si>
  <si>
    <t>finPNLBusAV3Emp3SalaryExp</t>
  </si>
  <si>
    <t>obalEmp6GeneralTrainingHrsAvail</t>
  </si>
  <si>
    <t>cbalEmp1GeneralTrainingHrsAvail</t>
  </si>
  <si>
    <t>cbalEmp2GeneralTrainingHrsAvail</t>
  </si>
  <si>
    <t>cbalEmp3GeneralTrainingHrsAvail</t>
  </si>
  <si>
    <t>cbalEmp4GeneralTrainingHrsAvail</t>
  </si>
  <si>
    <t>cbalEmp6GeneralTrainingHrsAvail</t>
  </si>
  <si>
    <t>Practice 1 Sales Hrs. Solutions WF Slary Expense</t>
  </si>
  <si>
    <t>Consulting Manager % Product Allocation</t>
  </si>
  <si>
    <t>Outsourcing Manager % Product Allocation</t>
  </si>
  <si>
    <t>Outsourcing V1 Manager Allocation</t>
  </si>
  <si>
    <t>Outsourcing V2 Manager Allocation</t>
  </si>
  <si>
    <t>Outsourcing V3 Manager Allocation</t>
  </si>
  <si>
    <t>Consulting Manager Expense Allocation</t>
  </si>
  <si>
    <t>Practice 1 Consulting Hrs. Manager Slary Expense</t>
  </si>
  <si>
    <t>Practice 2 Consulting Hrs. Manager Slary Expense</t>
  </si>
  <si>
    <t>cbalTotalGeneralTrainingHrsCompleted</t>
  </si>
  <si>
    <t>&amp;Decision Summary</t>
  </si>
  <si>
    <t>&amp;Profit and Loss</t>
  </si>
  <si>
    <t>finEntSvcsExpAllocPctBusA</t>
  </si>
  <si>
    <t>capBusBV1CompDevExpAllocPct</t>
  </si>
  <si>
    <t>capBusBV2CompDevExpAllocPct</t>
  </si>
  <si>
    <t>capBusBV3CompDevExpAllocPct</t>
  </si>
  <si>
    <t>General Training Salary Expense</t>
  </si>
  <si>
    <t>Vertical Overhead Cost Allocation Basis</t>
  </si>
  <si>
    <t>finPNLBusAV1FixedAdminExp</t>
  </si>
  <si>
    <t>Bonus Consulting Revenue From Outsourcing</t>
  </si>
  <si>
    <t>BPO H1 Revenue Pull Through Weight</t>
  </si>
  <si>
    <t>BPO H2 Revenue Pull Through Weight</t>
  </si>
  <si>
    <t>BPO H3 Revenue Pull Through Weight</t>
  </si>
  <si>
    <t>paramBusBH1RevPullThruWeight</t>
  </si>
  <si>
    <t>Offering and Practice Development</t>
  </si>
  <si>
    <t>Offering/Pr&amp;actice Development</t>
  </si>
  <si>
    <t>Business Development Non-Payroll $</t>
  </si>
  <si>
    <t>cbalBusABusDevNonPayroll</t>
  </si>
  <si>
    <t>cbalBusBBusDevNonPayroll</t>
  </si>
  <si>
    <t>obalBusABusDevNonPayroll</t>
  </si>
  <si>
    <t>obalBusBBusDevNonPayroll</t>
  </si>
  <si>
    <t>Total SWF Project 1</t>
  </si>
  <si>
    <t>Total SWF Project 2</t>
  </si>
  <si>
    <t>Total SWF Project 3</t>
  </si>
  <si>
    <t>Total BC Project 2</t>
  </si>
  <si>
    <t>Total BC Project 1</t>
  </si>
  <si>
    <t>Total BC Project 3</t>
  </si>
  <si>
    <t>Total SI&amp;T Project 1</t>
  </si>
  <si>
    <t>Total SI&amp;T Project 2</t>
  </si>
  <si>
    <t>Total SI&amp;T Project 3</t>
  </si>
  <si>
    <t>Total SWF</t>
  </si>
  <si>
    <t>feedbackTS row 239</t>
  </si>
  <si>
    <t>feedback 3 EE slide shows different starting values for EE for each team, ranging from 23% to 97%..?</t>
  </si>
  <si>
    <t>All teams should start with identical values; I think that the base default is something like 30%</t>
  </si>
  <si>
    <t>cap D414</t>
  </si>
  <si>
    <t>Y3 EE scores showing as 0 for many teams</t>
  </si>
  <si>
    <t>The cap page looks like it's subtracting 40 from each team's closing EE score every year.  Since teams aren't able to add 40 points each year, they are really getting hammered.  By Y3, we have multiple teams with scores of 0, no matter what they do (in reality, the score is displaying a MAX formula of their score or 0).  This needs to change; I ended up simply deleting the cap D414 value in Y3 during the rounds, but now that I've looked at it, I think we can probably just reduce this value (by at least half).  However, I wanted a developer to look into this mechanic and see what is intended here.  I don't understand why we have a D414 value at all; shouldn't the opening EE be lower, and not have this adjustment?</t>
  </si>
  <si>
    <t>cbalConsultingCCIPctRevY4</t>
  </si>
  <si>
    <t>cbalConsultingConsultantUtilY1</t>
  </si>
  <si>
    <t>cbalConsultingConsultantUtilY2</t>
  </si>
  <si>
    <t>cbalConsultingConsultantUtilY3</t>
  </si>
  <si>
    <t>cbalConsultingConsultantUtilY4</t>
  </si>
  <si>
    <t>cbalConsultingSolnWFUtilY1</t>
  </si>
  <si>
    <t>cbalConsultingSolnWFUtilY2</t>
  </si>
  <si>
    <t>cbalConsultingSolnWFUtilY3</t>
  </si>
  <si>
    <t>Practice 3 Consulting Hrs. Solutions WF Slary Expense</t>
  </si>
  <si>
    <t>capBusAV3Emp4CompDevTtlHrReq</t>
  </si>
  <si>
    <t>Select Program</t>
  </si>
  <si>
    <t>listDataSpecProgs</t>
  </si>
  <si>
    <t>&amp;Cash Flow</t>
  </si>
  <si>
    <t>&amp;Save Tool</t>
  </si>
  <si>
    <t>&amp;New Year</t>
  </si>
  <si>
    <t>deltaX</t>
  </si>
  <si>
    <t>deltaY</t>
  </si>
  <si>
    <t>FTEs</t>
  </si>
  <si>
    <t>xxMMProd6Seg3Units</t>
  </si>
  <si>
    <t>xxMMProd6Seg4Units</t>
  </si>
  <si>
    <t>xxMMProd6Seg5Units</t>
  </si>
  <si>
    <t>Market Model Prod6 Drivers</t>
  </si>
  <si>
    <t>capBusACurrProjV1Emp3Output</t>
  </si>
  <si>
    <t>The SVP lauds your good judgment and passes the good news to Sandra and she thanks you for the opportunity. She will start her job bright and early on the first Monday of the new year. When you return to your headquarters at the start of year 3, the leadership criteria scores for your Sales Manger will be updated to reflect the change in management.</t>
  </si>
  <si>
    <t>Creating Round 1 Simulation and Team Tools</t>
  </si>
  <si>
    <t>Loading Tools on Team Computers</t>
  </si>
  <si>
    <t>Contract Controllable Income ($M)</t>
  </si>
  <si>
    <t>Check Boxes</t>
  </si>
  <si>
    <t>Bid1</t>
  </si>
  <si>
    <t>Bid2</t>
  </si>
  <si>
    <t>Bid3</t>
  </si>
  <si>
    <t>Bid4</t>
  </si>
  <si>
    <t>Bid5</t>
  </si>
  <si>
    <t>Bid6</t>
  </si>
  <si>
    <t>Bid7</t>
  </si>
  <si>
    <t>Bid8</t>
  </si>
  <si>
    <t>Bid9</t>
  </si>
  <si>
    <t>Total Y2</t>
  </si>
  <si>
    <t>Total Y3</t>
  </si>
  <si>
    <t>Y1H1</t>
  </si>
  <si>
    <t>Y1H2</t>
  </si>
  <si>
    <t>Y1H3</t>
  </si>
  <si>
    <t>Y2H1</t>
  </si>
  <si>
    <t>Y2H2</t>
  </si>
  <si>
    <t>Y2H3</t>
  </si>
  <si>
    <t>Y3H1</t>
  </si>
  <si>
    <t>Y3H2</t>
  </si>
  <si>
    <t>Y3H3</t>
  </si>
  <si>
    <t>Encap Error (Ctrl+Shft+E)</t>
  </si>
  <si>
    <t>SWO: It's actually row 108 that is zeroing out.  The cells should not be zero when opening the sim; if you need it to default to something it should be the budget in row 110.</t>
  </si>
  <si>
    <t>Matt is asking for the slides that show rankings per balanced scorecard metric; I will email them to him - they're already in another slide deck.</t>
  </si>
  <si>
    <t>Oops, had sent you one that didn't have this change; redid it so that they are Practice 1,2 and 3.</t>
  </si>
  <si>
    <t>I will be increasing the market share mm value when I run the program.</t>
  </si>
  <si>
    <t>obalBusAEmp4</t>
  </si>
  <si>
    <t>obalBusBEmp4</t>
  </si>
  <si>
    <t>paramEmp4BusBHrsReqPerCompDevLevel</t>
  </si>
  <si>
    <t>Consulting Business Comp Dev Hours requirement</t>
  </si>
  <si>
    <t>capBusAEmp1CompDevTtlHrReq</t>
  </si>
  <si>
    <t>capBusAEmp2CompDevTtlHrReq</t>
  </si>
  <si>
    <t>capBusAEmp3CompDevTtlHrReq</t>
  </si>
  <si>
    <t>capBusAEmp4CompDevTtlHrReq</t>
  </si>
  <si>
    <t>BPO Business Comp Dev Levels</t>
  </si>
  <si>
    <t>capBusBEmp1CompDevTtlHrReq</t>
  </si>
  <si>
    <t>obalOtherLTLiab</t>
  </si>
  <si>
    <t>Inc(-)/dec(+) in other long-term Liability</t>
  </si>
  <si>
    <t>Component Competency - BPO</t>
  </si>
  <si>
    <t>Composite Competency - BPO</t>
  </si>
  <si>
    <t>obalBusACompDevV1</t>
  </si>
  <si>
    <t>finPNLBusBV3Emp2UnallocTimeExp</t>
  </si>
  <si>
    <t>finPNLBusBV3Emp3UnallocTimeExp</t>
  </si>
  <si>
    <t>finPNLBusBV3Emp4UnallocTimeExp</t>
  </si>
  <si>
    <t>obalY1V2H3COSRealized</t>
  </si>
  <si>
    <t>obalY1V3H1COSRealized</t>
  </si>
  <si>
    <t>obalY1V3H2COSRealized</t>
  </si>
  <si>
    <t>obalY1V3H3COSRealized</t>
  </si>
  <si>
    <t>obalY2V1H1COSRealized</t>
  </si>
  <si>
    <t>obalY2V1H2COSRealized</t>
  </si>
  <si>
    <t>obalY2V1H3COSRealized</t>
  </si>
  <si>
    <t>obalY2V2H1COSRealized</t>
  </si>
  <si>
    <t>obalY2V2H2COSRealized</t>
  </si>
  <si>
    <t>obalY2V2H3COSRealized</t>
  </si>
  <si>
    <t>obalY2V3H1COSRealized</t>
  </si>
  <si>
    <t>obalY2V3H3BidWon</t>
  </si>
  <si>
    <t>xxMMProd4Driver5</t>
  </si>
  <si>
    <t>xxMMProd4Driver6</t>
  </si>
  <si>
    <t>xxMMProd4Driver7</t>
  </si>
  <si>
    <t>xxMMProd4Driver8</t>
  </si>
  <si>
    <t>xxMMProd4Driver9</t>
  </si>
  <si>
    <t>xxMMProd4Driver10</t>
  </si>
  <si>
    <t>finPNLBusBV3Emp3GeneralTrainingExp</t>
  </si>
  <si>
    <t>finPNLBusBV3Emp4GeneralTrainingExp</t>
  </si>
  <si>
    <t>Forecasted Enterprise WF Hours Needed - Sales Support</t>
  </si>
  <si>
    <t>capEmp6TotalForecastHours</t>
  </si>
  <si>
    <t>Total Base Forecasted Hours</t>
  </si>
  <si>
    <t>capEmp2BusANonBillAlloc</t>
  </si>
  <si>
    <t>capEmp3BusANonBillAlloc</t>
  </si>
  <si>
    <t>capEmp4BusANonBillAlloc</t>
  </si>
  <si>
    <t>capEmp2BusBNonBillAlloc</t>
  </si>
  <si>
    <t>decEmp3Training</t>
  </si>
  <si>
    <t>decEmp2Training</t>
  </si>
  <si>
    <t>decEmp1Training</t>
  </si>
  <si>
    <t>Marketing Spend</t>
  </si>
  <si>
    <t>Using formulas in reset obal.</t>
  </si>
  <si>
    <t>Flexibility for regional settings</t>
  </si>
  <si>
    <t>capBusBV3H2BusDevWAvgSalesOutput</t>
  </si>
  <si>
    <t>capBusBV1H1BusDevWAvgSalesOutputRank</t>
  </si>
  <si>
    <t>capBusBV1H2BusDevWAvgSalesOutputRank</t>
  </si>
  <si>
    <t>capBusBV1H3BusDevWAvgSalesOutputRank</t>
  </si>
  <si>
    <t>capBusBV2H1BusDevWAvgSalesOutputRank</t>
  </si>
  <si>
    <t>capBusBV2H2BusDevWAvgSalesOutputRank</t>
  </si>
  <si>
    <t>&amp;Error Check</t>
  </si>
  <si>
    <t>ToolSave</t>
  </si>
  <si>
    <t>Outsourcing Revenue % of Total Rev. Y2</t>
  </si>
  <si>
    <t>Outsourcing Revenue % of Total Rev. Y3</t>
  </si>
  <si>
    <t>Outsourcing Revenue % of Total Rev. Y4</t>
  </si>
  <si>
    <t>Outsourcing Productivity Gains Y1</t>
  </si>
  <si>
    <t>paramEmp4TrainingHrsPerDollar</t>
  </si>
  <si>
    <t>paramEmp6TrainingHrsPerDollar</t>
  </si>
  <si>
    <t>Hours/Employee Level Available</t>
  </si>
  <si>
    <t>capBusAV1H1Y3RevFromPullThru</t>
  </si>
  <si>
    <t>capBusAV1H2Y3RevFromPullThru</t>
  </si>
  <si>
    <t>Outsourcing Cost of Quality % of COS</t>
  </si>
  <si>
    <t>paramBusBQualityCostPctCOS</t>
  </si>
  <si>
    <t>HR lauds your good judgment and lets you know that the new manager, Sarah, will begin work on the first day of the new year. When you return to your headquarters at the start of year 3, the leadership criteria scores for your Sales Manger will be updated to reflect the change in management.</t>
  </si>
  <si>
    <t>capEmp3BusAV2Exp</t>
  </si>
  <si>
    <t>capEmp3BusANonBillExp</t>
  </si>
  <si>
    <t>capEmp3BusBV1Exp</t>
  </si>
  <si>
    <t>Other Operating Expense</t>
  </si>
  <si>
    <t>cbalConsultingSolnWFUtilY4</t>
  </si>
  <si>
    <t>Y2V3H1</t>
  </si>
  <si>
    <t xml:space="preserve">C. You call a meeting with the client to discuss options. During the meeting you point out that the missing piece of the puzzle is an additional small piece of work that you are willing to offer with a value-based price structure at a price of $8M. </t>
  </si>
  <si>
    <t>xxDecResetValues</t>
  </si>
  <si>
    <t>Parameters</t>
  </si>
  <si>
    <t>capBusAV1Emp9CompDevTtlHrReq</t>
  </si>
  <si>
    <t>capBusAV2Emp7CompDevTtlHrReq</t>
  </si>
  <si>
    <t>capBusAV2Emp8CompDevTtlHrReq</t>
  </si>
  <si>
    <t>capBusAV2Emp9CompDevTtlHrReq</t>
  </si>
  <si>
    <t>obalOutsourcingRevY3</t>
  </si>
  <si>
    <t>obalOutsourcingRevY4</t>
  </si>
  <si>
    <t>obalOutsourcingSalesGrowthY1</t>
  </si>
  <si>
    <t>obalOutsourcingSalesGrowthY2</t>
  </si>
  <si>
    <t>obalOutsourcingSalesGrowthY3</t>
  </si>
  <si>
    <t>Offering A</t>
  </si>
  <si>
    <t>Offering B</t>
  </si>
  <si>
    <t>Offering C</t>
  </si>
  <si>
    <t>Include replicable Leadership Interface</t>
  </si>
  <si>
    <t>capEmp2BusBNonBillExp</t>
  </si>
  <si>
    <t>Consulting Consultant Base Expense</t>
  </si>
  <si>
    <t xml:space="preserve">Training / Employee (Hours)  </t>
  </si>
  <si>
    <t>Hours Required</t>
  </si>
  <si>
    <t>DataPageBusBV1BorrowAvail</t>
  </si>
  <si>
    <t>decBusBH1HrsBorrowed</t>
  </si>
  <si>
    <t>Loss of Output Due To In-Year Dismissals</t>
  </si>
  <si>
    <t>YEAR 1 Deals</t>
  </si>
  <si>
    <t>YEAR 2 Deals</t>
  </si>
  <si>
    <t>YEAR 3 Deals</t>
  </si>
  <si>
    <t>cbalY1V1H3BidRev</t>
  </si>
  <si>
    <t>Freeze panes add to close hood macro</t>
  </si>
  <si>
    <t>Price (000s)</t>
  </si>
  <si>
    <t>Solutions WF</t>
  </si>
  <si>
    <t>Partner</t>
  </si>
  <si>
    <t>obalPlant1Value</t>
  </si>
  <si>
    <t>obalAPValue</t>
  </si>
  <si>
    <t>obalOtherCurrLiabValue</t>
  </si>
  <si>
    <t>obalSpecLoansValue</t>
  </si>
  <si>
    <t>obalLTDebtValue</t>
  </si>
  <si>
    <t>obalCStockValue</t>
  </si>
  <si>
    <t>R</t>
  </si>
  <si>
    <t>Ideal BC Project 2</t>
  </si>
  <si>
    <t>Ideal BC Project 3</t>
  </si>
  <si>
    <t>Ideal SI&amp;T Project 1</t>
  </si>
  <si>
    <t>Ideal SI&amp;T Project 2</t>
  </si>
  <si>
    <t>Ideal SI&amp;T Project 3</t>
  </si>
  <si>
    <t>Total Hours Required Project 1</t>
  </si>
  <si>
    <t>Total Hours Required Project 2</t>
  </si>
  <si>
    <t>Total Hours Required Project 3</t>
  </si>
  <si>
    <t>Total Hours Staffed</t>
  </si>
  <si>
    <t>SWF</t>
  </si>
  <si>
    <t>BC</t>
  </si>
  <si>
    <t>Total SWF Ideal Hours</t>
  </si>
  <si>
    <t>Total SI&amp;T Ideal Hours</t>
  </si>
  <si>
    <t>Total BC Ideal Hours</t>
  </si>
  <si>
    <t>Actual Delta between Allocation and Ideal</t>
  </si>
  <si>
    <t>Scenario Test Results 1</t>
  </si>
  <si>
    <t>Random? ----&gt;</t>
  </si>
  <si>
    <t>Scenario Test Results 2</t>
  </si>
  <si>
    <t>Scenario Test Counter</t>
  </si>
  <si>
    <t>paramEmp10HoursPYear</t>
  </si>
  <si>
    <t>CONSOLIDATED PNL</t>
  </si>
  <si>
    <t>CI</t>
  </si>
  <si>
    <t>CCI %</t>
  </si>
  <si>
    <t>Sales &amp; Marketing</t>
  </si>
  <si>
    <t>G&amp;A</t>
  </si>
  <si>
    <t>Enterprise Functions</t>
  </si>
  <si>
    <t>cbalTotalSales</t>
  </si>
  <si>
    <t>obalTotalSales</t>
  </si>
  <si>
    <t>Competency Development Salary Expense</t>
  </si>
  <si>
    <t>Global WF Expense</t>
  </si>
  <si>
    <t>capBusAV1Emp1CompDevTtlHrReq</t>
  </si>
  <si>
    <t>cbalRetEarnValue</t>
  </si>
  <si>
    <t>obalOutsourcingSalesGrowthY4</t>
  </si>
  <si>
    <t>obalOutsourcingRevPctofTotalRevenueY1</t>
  </si>
  <si>
    <t>obalOutsourcingRevPctofTotalRevenueY2</t>
  </si>
  <si>
    <t>obalOutsourcingRevPctofTotalRevenueY3</t>
  </si>
  <si>
    <t>obalOutsourcingRevPctofTotalRevenueY4</t>
  </si>
  <si>
    <t>obalOutsourcingCCIPctofRevenueY1</t>
  </si>
  <si>
    <t>capEmp1RecDismExp</t>
  </si>
  <si>
    <t>capEmp2Exp</t>
  </si>
  <si>
    <t>obalH3Competency</t>
  </si>
  <si>
    <t>V1 H1</t>
  </si>
  <si>
    <t>V1 H2</t>
  </si>
  <si>
    <t>V1 H3</t>
  </si>
  <si>
    <t>V2 H1</t>
  </si>
  <si>
    <t>V2 H2</t>
  </si>
  <si>
    <t>V2 H3</t>
  </si>
  <si>
    <t>V3 H1</t>
  </si>
  <si>
    <t>V3 H2</t>
  </si>
  <si>
    <t>V3 H3</t>
  </si>
  <si>
    <t>cbalV1H1Comp</t>
  </si>
  <si>
    <t>cbalV1H2Comp</t>
  </si>
  <si>
    <t>cbalV1H3Comp</t>
  </si>
  <si>
    <t>cbalV2H1Comp</t>
  </si>
  <si>
    <t>cbalV2H2Comp</t>
  </si>
  <si>
    <t>cbalV3H1Comp</t>
  </si>
  <si>
    <t>SI &amp; T Partners</t>
  </si>
  <si>
    <t>SI &amp; T Managers</t>
  </si>
  <si>
    <t>SI &amp;t Consultants</t>
  </si>
  <si>
    <t>obalEmp7Recruited</t>
  </si>
  <si>
    <t>obalEmp8Recruited</t>
  </si>
  <si>
    <t>Increase (+)/ Decrease (-) in Accounts Payable</t>
  </si>
  <si>
    <t>finPNLBusAV1BusDevTimeExp</t>
  </si>
  <si>
    <t>finPNLBusAV2BusDevTimeExp</t>
  </si>
  <si>
    <t>paramProd5CycTimeDays</t>
  </si>
  <si>
    <t>Score Driver 3</t>
  </si>
  <si>
    <t>Less Cool Cats</t>
  </si>
  <si>
    <t>obalBusAV2Y3Rev</t>
  </si>
  <si>
    <t>obalBusAV3Y3Rev</t>
  </si>
  <si>
    <t>cbalBusAV1Y1Rev</t>
  </si>
  <si>
    <t>cbalBusAV2Y1Rev</t>
  </si>
  <si>
    <t>cbalBusAV3Y1Rev</t>
  </si>
  <si>
    <t>cbalBusAV1Y2Rev</t>
  </si>
  <si>
    <t>cbalBusAV2Y2Rev</t>
  </si>
  <si>
    <t>cbalBusAV3Y2Rev</t>
  </si>
  <si>
    <t>cbalBusAV1Y3Rev</t>
  </si>
  <si>
    <t>cbalBusAV2Y3Rev</t>
  </si>
  <si>
    <t>cbalBusAV3Y3Rev</t>
  </si>
  <si>
    <t>Consulting Profitability</t>
  </si>
  <si>
    <t>Product 4 Segment 5</t>
  </si>
  <si>
    <t>Product 5 Segment 1</t>
  </si>
  <si>
    <t>Product 5 Segment 2</t>
  </si>
  <si>
    <t>Product 5 Segment 3</t>
  </si>
  <si>
    <t>Product 5 Segment 4</t>
  </si>
  <si>
    <t>Product 5 Segment 5</t>
  </si>
  <si>
    <t>Product 6 Segment 1</t>
  </si>
  <si>
    <t>Product 6 Segment 2</t>
  </si>
  <si>
    <t>capProd1V1HrsForecast</t>
  </si>
  <si>
    <t>capProd1V2HrsForecast</t>
  </si>
  <si>
    <t>capProd1V3HrsForecast</t>
  </si>
  <si>
    <t>obalBusAV1HrsSold</t>
  </si>
  <si>
    <t>obalBusAV2HrsSold</t>
  </si>
  <si>
    <t>obalBusAV3HrsSold</t>
  </si>
  <si>
    <t>cbalBusAV1HrsSold</t>
  </si>
  <si>
    <t>cbalBusAV2HrsSold</t>
  </si>
  <si>
    <t>cbalBusBEmp1Utiliz</t>
  </si>
  <si>
    <t>The natural state of the simulation is Round or Year 0.  This simulation must be advanced into the Round 1 or Year 1 (from now on, the simulation ‘year’ will be referred to as ‘Round’).</t>
  </si>
  <si>
    <t>Y2V2H1</t>
  </si>
  <si>
    <t>Y2V2H2</t>
  </si>
  <si>
    <t>Y2V2H3</t>
  </si>
  <si>
    <t>Y3 V3 H2</t>
  </si>
  <si>
    <t>Y3 V3 H3</t>
  </si>
  <si>
    <t>DataPageBPOData</t>
  </si>
  <si>
    <t>ACN Cost</t>
  </si>
  <si>
    <t>capEmp1Att</t>
  </si>
  <si>
    <t>capEmp1Utiliz</t>
  </si>
  <si>
    <t>xxMMProd1Seg5Units</t>
  </si>
  <si>
    <t>xxMMProd1Units</t>
  </si>
  <si>
    <t>Prod1Seg1</t>
  </si>
  <si>
    <t>Prod1Seg2</t>
  </si>
  <si>
    <t>Prod1Seg3</t>
  </si>
  <si>
    <t>Prod1Seg4</t>
  </si>
  <si>
    <t>paramEmp1TrainingHrsPerDollar</t>
  </si>
  <si>
    <t>paramEmp2TrainingHrsPerDollar</t>
  </si>
  <si>
    <t>paramEmp3TrainingHrsPerDollar</t>
  </si>
  <si>
    <t>finPNLBusAV1TotalOpExp</t>
  </si>
  <si>
    <r>
      <t>·</t>
    </r>
    <r>
      <rPr>
        <sz val="7"/>
        <rFont val="Times New Roman"/>
        <family val="1"/>
      </rPr>
      <t xml:space="preserve">        </t>
    </r>
    <r>
      <rPr>
        <sz val="14"/>
        <rFont val="Arial"/>
        <family val="2"/>
      </rPr>
      <t>Run the Market Model</t>
    </r>
  </si>
  <si>
    <r>
      <t>o</t>
    </r>
    <r>
      <rPr>
        <sz val="7"/>
        <rFont val="Times New Roman"/>
        <family val="1"/>
      </rPr>
      <t xml:space="preserve">       </t>
    </r>
    <r>
      <rPr>
        <sz val="14"/>
        <rFont val="Arial"/>
        <family val="2"/>
      </rPr>
      <t>From the simulation drop-down menu, select ‘Run Market Model.’</t>
    </r>
  </si>
  <si>
    <t>ENDING CASH BALANCE</t>
  </si>
  <si>
    <t>Costs (000s)</t>
  </si>
  <si>
    <t>Competency Development</t>
  </si>
  <si>
    <t>Cash Interest Rate</t>
  </si>
  <si>
    <t>paramCashIntRate</t>
  </si>
  <si>
    <t>Long Term Debt Interest Rate</t>
  </si>
  <si>
    <t>paramLTDebtIntRate</t>
  </si>
  <si>
    <t>paramSpecLoansIntRate</t>
  </si>
  <si>
    <t>cbalLTDebtValue</t>
  </si>
  <si>
    <t>Taxes</t>
  </si>
  <si>
    <t>Tax Rate</t>
  </si>
  <si>
    <t>Y1V1H2</t>
  </si>
  <si>
    <t>paramProd4LabHrsReqPUnit</t>
  </si>
  <si>
    <t>paramProd4MachHrsReqPUnit</t>
  </si>
  <si>
    <t>paramProd4Emp1Req</t>
  </si>
  <si>
    <t>Update MM as per discussion</t>
  </si>
  <si>
    <t>Remove "New Year" Menu Item</t>
  </si>
  <si>
    <t>Attrition Impacts From:</t>
  </si>
  <si>
    <t xml:space="preserve">Training </t>
  </si>
  <si>
    <t>paramProd5MachHrsReqPUnit</t>
  </si>
  <si>
    <t>paramProd5Emp1Req</t>
  </si>
  <si>
    <t>paramProd5InventoryHndlgPct</t>
  </si>
  <si>
    <t>After Market Models Go To Analysis</t>
  </si>
  <si>
    <t>-Follow up with best practices</t>
  </si>
  <si>
    <t>Tabled</t>
  </si>
  <si>
    <t>Export Check for unreasonable decisions.</t>
  </si>
  <si>
    <t>Status</t>
  </si>
  <si>
    <t>Satisfaction Calculations</t>
  </si>
  <si>
    <t>Utilization from last yr ( vs.Industry Avg)</t>
  </si>
  <si>
    <t>Controllable Income From Last Yr. ( vs.Industry Avg)</t>
  </si>
  <si>
    <t>CI Margin</t>
  </si>
  <si>
    <t>cbalTotalCIMargin</t>
  </si>
  <si>
    <t>obalTotalCIMargin</t>
  </si>
  <si>
    <t>Industry Avg CI Margin</t>
  </si>
  <si>
    <t>Special Programs Expense Outsourcing V3</t>
  </si>
  <si>
    <t>paramSpecProgBusBV2Exp</t>
  </si>
  <si>
    <t>paramSpecProgBusBV3Exp</t>
  </si>
  <si>
    <t>finPNLBusAV1OtherExp</t>
  </si>
  <si>
    <t>finPNLBusAV2OtherExp</t>
  </si>
  <si>
    <t>finPNLBusAV3OtherExp</t>
  </si>
  <si>
    <t>finPNLBusAV1SpecProgExp</t>
  </si>
  <si>
    <t>finPNLBusAV2SpecProgExp</t>
  </si>
  <si>
    <t>finPNLBusAV3SpecProgExp</t>
  </si>
  <si>
    <t>finPNLBusAV2TotalOpExp</t>
  </si>
  <si>
    <t>finPNLBusAV3TotalOpExp</t>
  </si>
  <si>
    <t>finPNLBusBV1Emp1OpsImproveExp</t>
  </si>
  <si>
    <t>finPNLBusBV1Emp2OpsImproveExp</t>
  </si>
  <si>
    <t>finPNLBusBV1Emp3OpsImproveExp</t>
  </si>
  <si>
    <t>Practice 2 Sales Hrs. Solutions WF Slary Expense</t>
  </si>
  <si>
    <t>obalEmp4GeneralTrainingBudget</t>
  </si>
  <si>
    <t>obalEmp6GeneralTrainingBudget</t>
  </si>
  <si>
    <t xml:space="preserve">Non-Payroll Budget /Emp. ($)  </t>
  </si>
  <si>
    <t>Hourly Allocation</t>
  </si>
  <si>
    <t xml:space="preserve"> TRUE/FALSE Bid 1</t>
  </si>
  <si>
    <t xml:space="preserve"> TRUE/FALSE Bid 2</t>
  </si>
  <si>
    <t xml:space="preserve"> TRUE/FALSE Bid 3</t>
  </si>
  <si>
    <t xml:space="preserve"> TRUE/FALSE Bid 4</t>
  </si>
  <si>
    <t xml:space="preserve"> TRUE/FALSE Bid 5</t>
  </si>
  <si>
    <t xml:space="preserve"> TRUE/FALSE Bid 6</t>
  </si>
  <si>
    <t xml:space="preserve"> TRUE/FALSE Bid 7</t>
  </si>
  <si>
    <t xml:space="preserve"> TRUE/FALSE Bid 8</t>
  </si>
  <si>
    <t xml:space="preserve"> TRUE/FALSE Bid 9</t>
  </si>
  <si>
    <t>Price Bid 1</t>
  </si>
  <si>
    <t>Price Bid 2</t>
  </si>
  <si>
    <t>The Hanso Grp.</t>
  </si>
  <si>
    <t>DPS</t>
  </si>
  <si>
    <t>Stabler+Benson</t>
  </si>
  <si>
    <t>Goren Grp.</t>
  </si>
  <si>
    <t>Peterman Inc.</t>
  </si>
  <si>
    <t>Bluth Industries</t>
  </si>
  <si>
    <t>PHQ Systems</t>
  </si>
  <si>
    <t>Thompson Cook</t>
  </si>
  <si>
    <t>H&amp;R Ameriprise</t>
  </si>
  <si>
    <t>Bartlet Processing</t>
  </si>
  <si>
    <t>paramSpecProgramBPOV2CostReducPct</t>
  </si>
  <si>
    <t>paramSpecProgramBPOV3CostReducPct</t>
  </si>
  <si>
    <t>paramSpecProgramBPOH1CostReducPct</t>
  </si>
  <si>
    <t>paramSpecProgramBPOH2CostReducPct</t>
  </si>
  <si>
    <t>paramSpecProgramBPOH3CostReducPct</t>
  </si>
  <si>
    <t>Gen. Ops. Time Allocation Cost Reduc.</t>
  </si>
  <si>
    <t>Initiative Effect Cost Reduc.</t>
  </si>
  <si>
    <t>BPO Bid Won</t>
  </si>
  <si>
    <t>obalY1V1H1BidWon</t>
  </si>
  <si>
    <t>obalY1V1H2BidWon</t>
  </si>
  <si>
    <t>obalY1V1H3BidWon</t>
  </si>
  <si>
    <t>obalY1V2H1BidWon</t>
  </si>
  <si>
    <t>obalY1V2H2BidWon</t>
  </si>
  <si>
    <t>obalY1V2H3BidWon</t>
  </si>
  <si>
    <t>obalY1V3H1BidWon</t>
  </si>
  <si>
    <t>obalY1V3H2BidWon</t>
  </si>
  <si>
    <t>paramEmp8BusAHrsReqPerCompDevLevel</t>
  </si>
  <si>
    <t>paramEmp8BusBHrsReqPerCompDevLevel</t>
  </si>
  <si>
    <t>paramEmp8BusBGenOpsPctCostReducPerHr</t>
  </si>
  <si>
    <t>paramEmp8TrainingHrsPerDollar</t>
  </si>
  <si>
    <t>paramEmp9ProductivityCoef</t>
  </si>
  <si>
    <t>paramEmp9LoadPctSalary</t>
  </si>
  <si>
    <t>paramEmp9CompMltplr</t>
  </si>
  <si>
    <t>paramEmp9BusAHrsReqPerCompDevLevel</t>
  </si>
  <si>
    <t>Special Program Consulting Soln WF Initiative Hrs Required</t>
  </si>
  <si>
    <t>Special Program Consulting Consultant Initiative Hrs Required</t>
  </si>
  <si>
    <t>Special Program Consulting Manager Initiative Hrs Required</t>
  </si>
  <si>
    <t>Special Program Consulting Sr. Exec Initiative Hrs Required</t>
  </si>
  <si>
    <t>paramSpecProgramEmp1BusAInitHrsReq</t>
  </si>
  <si>
    <t>paramSpecProgramEmp2BusAInitHrsReq</t>
  </si>
  <si>
    <t>paramSpecProgramEmp3BusAInitHrsReq</t>
  </si>
  <si>
    <t>obalY3V1H1BidWon</t>
  </si>
  <si>
    <t>paramEmp8ProductivityCoef</t>
  </si>
  <si>
    <t>I believe this is corrected…the source was originally the market model page.  So I ran the market and it cleared the value errors.</t>
  </si>
  <si>
    <t>I went through ALL FB TS slides and updated the Yr 0 starting values…many were unique by team.  Some values were also different when I put it in Yr 0, despite all five teams sharing the pasted value.  So I've pasted the new calculated Yr 0 values for those too.</t>
  </si>
  <si>
    <t>LKR: NDR had a slightly different suggestion that seems to fit nicely.</t>
  </si>
  <si>
    <t>2008Mar18</t>
  </si>
  <si>
    <t>LKR: a row was probably inserted at some point…</t>
  </si>
  <si>
    <t>LKR: Cut budget effect in half.</t>
  </si>
  <si>
    <t>Outsourcing Non-Payroll BD</t>
  </si>
  <si>
    <t>Consulting Non-Payroll BD</t>
  </si>
  <si>
    <t>LKR: I believe this is corrected now, please observe during testing.</t>
  </si>
  <si>
    <t xml:space="preserve">Attrition continues to increase while many valuable people are lost to competitors. On the other hand, you have maintained your current target margin without having to make changes to your pricing which may give you an advantage in the market over companies who must now recover the expense. Those that have stayed are less engaged on average. </t>
  </si>
  <si>
    <t>finPNLBusAV2FixedAdminExp</t>
  </si>
  <si>
    <t>finPNLBusAV3FixedAdminExp</t>
  </si>
  <si>
    <t>SWF Headcount</t>
  </si>
  <si>
    <t>SI&amp;T Headcount</t>
  </si>
  <si>
    <t>I cannot find where the Cost of Poor Quality is calc'd.  I can only find two occurences of the word 'Poor' in this workbook…and they're both right here. SWO: FIN664 HAS THE CONSOLIDATED COST OF QUALITY (FOR SOME REASON THE WORD 'POOR' WAS LEFT OUT OF THE SIM).  ALSO, JUST TO CLARIFY: THE MORE SR MGR PEOPLE ALLOCATED TO A GIVEN PYRAMID, THE MORE THEY DRIVE DOWN COST OF (POOR) QUALITY.</t>
  </si>
  <si>
    <t>Loss of Output Due To Forecast Attrition</t>
  </si>
  <si>
    <t>Dismissal</t>
  </si>
  <si>
    <t>obalY2V3H1COS</t>
  </si>
  <si>
    <t>obalEmp4CumTrainingHrs</t>
  </si>
  <si>
    <t>obalEmp6CumTrainingHrs</t>
  </si>
  <si>
    <t>cbalEmp1CumTrainingHrs</t>
  </si>
  <si>
    <t>capEmp2BusAGeneralTrainingExp</t>
  </si>
  <si>
    <t>capEmp3BusAV1SalesExp</t>
  </si>
  <si>
    <t>obalY2V2H3COS</t>
  </si>
  <si>
    <t>Power</t>
  </si>
  <si>
    <t>capEmp6BusBGeneralTrainingHrs</t>
  </si>
  <si>
    <t>capTotalGeneralTrainingHrs</t>
  </si>
  <si>
    <t>capEmp1BusAGeneralTrainingAlloc</t>
  </si>
  <si>
    <t>General Training Allocation</t>
  </si>
  <si>
    <t>capEmp1BusBCompDevAlloc</t>
  </si>
  <si>
    <t>capEmp1BusBGeneralTrainingAlloc</t>
  </si>
  <si>
    <t>Extraordianary Loss On Sale of Plants</t>
  </si>
  <si>
    <t>cbalCStockShares</t>
  </si>
  <si>
    <t>Internal Credit Days</t>
  </si>
  <si>
    <t>paramInternalCreditDays</t>
  </si>
  <si>
    <t>decProd1CreditDays</t>
  </si>
  <si>
    <t>External Credit Days</t>
  </si>
  <si>
    <t>paramAPDays</t>
  </si>
  <si>
    <t>Balanced?</t>
  </si>
  <si>
    <t>Average</t>
  </si>
  <si>
    <t>While abandoned by many players in the industry, a sudden upswing in demand occurs in Practice 1. Growth is now widely believed to come in at 6-8%.</t>
  </si>
  <si>
    <t>Dissatisfied Client</t>
  </si>
  <si>
    <t>Sasha lauds your good judgment and assures you that she will do all she can to make sure that Samantha is ready and raring to go by the end of the year, noting that she already has a good working relationship with the other staff members, and will slip into her new role quite easily. When you return to your headquarters at the start of year 3, the leadership criteria scores for your Sales Manger will be updated to reflect the change in management.</t>
  </si>
  <si>
    <t>Employee Survey Results</t>
  </si>
  <si>
    <t>obalV3H1Comp</t>
  </si>
  <si>
    <t>obalV3H2Comp</t>
  </si>
  <si>
    <t>obalV2H3Comp</t>
  </si>
  <si>
    <t>obalV3H3Comp</t>
  </si>
  <si>
    <t>MIN(15%,(obalEmp6GeneralTrainingHrsCompleted-cbalEmp6GeneralTrainingHrsCompleted)*0.0025)</t>
  </si>
  <si>
    <t>BPO Business Comp Dev Total Hours requirement</t>
  </si>
  <si>
    <t>BPO Business Comp Dev Hours requirement - V2</t>
  </si>
  <si>
    <t>capBusBV1Emp1CompDevTtlHrReq</t>
  </si>
  <si>
    <t>capBusBV1Emp2CompDevTtlHrReq</t>
  </si>
  <si>
    <t>finPNLTotalGeneralTrainingBudgetExp</t>
  </si>
  <si>
    <t>finPNLBusBTotalGeneralTrainingBudgetExpense</t>
  </si>
  <si>
    <t>ACN Total</t>
  </si>
  <si>
    <t>Overall Usage/Utilization</t>
  </si>
  <si>
    <t>Chargeability %</t>
  </si>
  <si>
    <t>Resource Allocation Report</t>
  </si>
  <si>
    <t>&amp;Strategic Initiatives</t>
  </si>
  <si>
    <t>&amp;Forecasting/People Strategy</t>
  </si>
  <si>
    <t>capY1V1H3COS</t>
  </si>
  <si>
    <t>capEmp6PctOverUtilized</t>
  </si>
  <si>
    <t>Employees</t>
  </si>
  <si>
    <t>Sr. Manager/Manager</t>
  </si>
  <si>
    <t>Ending ESAT</t>
  </si>
  <si>
    <t>Total Comp Dev</t>
  </si>
  <si>
    <t>cbalBusBCompDev</t>
  </si>
  <si>
    <t>obalBusBCompDev</t>
  </si>
  <si>
    <t>capEmp1BusBGeneralTrainingHrs</t>
  </si>
  <si>
    <t>capEmp2BusAGeneralTrainingHrs</t>
  </si>
  <si>
    <t>capEmp2BusBGeneralTrainingHrs</t>
  </si>
  <si>
    <t>capEmp3BusAGeneralTrainingHrs</t>
  </si>
  <si>
    <t>capEmp3BusBGeneralTrainingHrs</t>
  </si>
  <si>
    <t>capEmp4BusAGeneralTrainingHrs</t>
  </si>
  <si>
    <t>Y1V1Total</t>
  </si>
  <si>
    <t>Y1V2Total</t>
  </si>
  <si>
    <t>Y1V3Total</t>
  </si>
  <si>
    <t>capBusBY1V1OpsSavings</t>
  </si>
  <si>
    <t>capBusBY1V2OpsSavings</t>
  </si>
  <si>
    <t>capBusBY1V3OpsSavings</t>
  </si>
  <si>
    <t>Y2V1Total</t>
  </si>
  <si>
    <t>capBusBY2V1OpsSavings</t>
  </si>
  <si>
    <t>Y2V2Total</t>
  </si>
  <si>
    <t>capBusBY2V2OpsSavings</t>
  </si>
  <si>
    <t>Y2V3Total</t>
  </si>
  <si>
    <t>capBusBY2V3OpsSavings</t>
  </si>
  <si>
    <t>Y3V1Total</t>
  </si>
  <si>
    <t>capBusBY3V1OpsSavings</t>
  </si>
  <si>
    <t>Y3V2Total</t>
  </si>
  <si>
    <t>capBusBY3V2OpsSavings</t>
  </si>
  <si>
    <t>Y3V3Total</t>
  </si>
  <si>
    <t>capBusAEmp3PureHrsAvail</t>
  </si>
  <si>
    <t>capBusAEmp4PureHrsAvail</t>
  </si>
  <si>
    <t>paramEmp1LoadPctSalary</t>
  </si>
  <si>
    <t>paramEmp2LoadPctSalary</t>
  </si>
  <si>
    <t>paramEmp3LoadPctSalary</t>
  </si>
  <si>
    <t>paramEmp4LoadPctSalary</t>
  </si>
  <si>
    <t>Business Development</t>
  </si>
  <si>
    <t>P1 Total</t>
  </si>
  <si>
    <t>P2 Total</t>
  </si>
  <si>
    <t>P3 Total</t>
  </si>
  <si>
    <t>finPNLTotalEntWFExp</t>
  </si>
  <si>
    <t>finPNLTotalUnallocWFExp</t>
  </si>
  <si>
    <t>capBusBY2V1H2OpsSavings</t>
  </si>
  <si>
    <t>BPO Business Comp Dev Hours requirement - V1</t>
  </si>
  <si>
    <t>Special Programs Pursuit Efficiency - Offering C</t>
  </si>
  <si>
    <t>Team Number</t>
  </si>
  <si>
    <t>Team Name</t>
  </si>
  <si>
    <t>Price</t>
  </si>
  <si>
    <t>capY1V2H1COS</t>
  </si>
  <si>
    <t>capY1V2H2COS</t>
  </si>
  <si>
    <t>obalY2V3H2COSRealized</t>
  </si>
  <si>
    <t>obalY2V3H3COSRealized</t>
  </si>
  <si>
    <t>obalY3V1H1COSRealized</t>
  </si>
  <si>
    <t>obalBusAV3MktShr</t>
  </si>
  <si>
    <t>cbalBusAV1MktShr</t>
  </si>
  <si>
    <t>cbalBusAV2MktShr</t>
  </si>
  <si>
    <t>cbalBusAV3MktShr</t>
  </si>
  <si>
    <r>
      <t>o</t>
    </r>
    <r>
      <rPr>
        <sz val="7"/>
        <rFont val="Times New Roman"/>
        <family val="1"/>
      </rPr>
      <t xml:space="preserve">       </t>
    </r>
    <r>
      <rPr>
        <sz val="14"/>
        <rFont val="Arial"/>
        <family val="2"/>
      </rPr>
      <t>The simulation will delete unnecessary pages for the tool and remove unneeded columns.  When the five tools are created, a dialogue box will appear to confirm “Tool Created.”</t>
    </r>
  </si>
  <si>
    <t>decBid5Emp2HrsRFQ</t>
  </si>
  <si>
    <t>decBid6Price</t>
  </si>
  <si>
    <t>decBid6Emp4HrsRFQ</t>
  </si>
  <si>
    <t>decBid6Emp3HrsRFQ</t>
  </si>
  <si>
    <t>decBid6Emp2HrsRFQ</t>
  </si>
  <si>
    <t>decBid7Price</t>
  </si>
  <si>
    <t>decBid7Emp4HrsRFQ</t>
  </si>
  <si>
    <t>decBid7Emp3HrsRFQ</t>
  </si>
  <si>
    <t>decBid7Emp2HrsRFQ</t>
  </si>
  <si>
    <t>decBid8Price</t>
  </si>
  <si>
    <t>decBid8Emp4HrsRFQ</t>
  </si>
  <si>
    <t>decBid8Emp3HrsRFQ</t>
  </si>
  <si>
    <t>decBid8Emp2HrsRFQ</t>
  </si>
  <si>
    <t>decBid9Price</t>
  </si>
  <si>
    <t>decBid9Emp4HrsRFQ</t>
  </si>
  <si>
    <t>capEmp2BusBCompDevAlloc</t>
  </si>
  <si>
    <t>MIN(15%,(obalEmp1GeneralTrainingHrsCompleted-cbalEmp1GeneralTrainingHrsCompleted)*0.0025)</t>
  </si>
  <si>
    <t>finCashFlowARChange</t>
  </si>
  <si>
    <t>finCashFlowAPChange</t>
  </si>
  <si>
    <t>finCashFlowOtherCurrLiabChange</t>
  </si>
  <si>
    <t>finPNLBusAV3Emp4SalaryExp</t>
  </si>
  <si>
    <t>finPNLBusAV3TotalSalaryExp</t>
  </si>
  <si>
    <t>finPNLBusAV1LoadExp</t>
  </si>
  <si>
    <t>finPNLBusAV2LoadExp</t>
  </si>
  <si>
    <t>finPNLBusAV3LoadExp</t>
  </si>
  <si>
    <t>finPNLBusAtotalLoadExp</t>
  </si>
  <si>
    <t>finPNLBusAV1GlobalSalaryExp</t>
  </si>
  <si>
    <t>paramEmp2CompMltplr</t>
  </si>
  <si>
    <t>paramEmp3CompMltplr</t>
  </si>
  <si>
    <t>paramEmp4CompMltplr</t>
  </si>
  <si>
    <r>
      <t>o</t>
    </r>
    <r>
      <rPr>
        <sz val="7"/>
        <rFont val="Times New Roman"/>
        <family val="1"/>
      </rPr>
      <t xml:space="preserve">       </t>
    </r>
    <r>
      <rPr>
        <sz val="14"/>
        <rFont val="Arial"/>
        <family val="2"/>
      </rPr>
      <t>The tool will automatically “close the hood.”  This process will show the appropriate tool pages and format the simulation to full screen.  Drop-down menus to navigate through the simulation appear.  After completing this step, the teams’ tools are ready for decision-making.</t>
    </r>
  </si>
  <si>
    <t>STEP 3</t>
  </si>
  <si>
    <t>paramPlant1DivRevenue</t>
  </si>
  <si>
    <t>Excel Version</t>
  </si>
  <si>
    <t>Total Operating Expense</t>
  </si>
  <si>
    <t>Total Outsourcing PNL</t>
  </si>
  <si>
    <t>finPNLBusBV1H3GlobalSalaryExp</t>
  </si>
  <si>
    <t>finPNLBusBV1TotalGlobalSalaryExp</t>
  </si>
  <si>
    <t>finPNLBusBV2H3GlobalSalaryExp</t>
  </si>
  <si>
    <t>finPNLBusBV3H3GlobalSalaryExp</t>
  </si>
  <si>
    <t>Consulting Sales Growth Y1</t>
  </si>
  <si>
    <t>Consulting Sales Growth Y2</t>
  </si>
  <si>
    <t>Consulting Sales Growth Y3</t>
  </si>
  <si>
    <t>Consulting Sales Growth Y4</t>
  </si>
  <si>
    <t>Consulting Revenue % of Total Rev. Y1</t>
  </si>
  <si>
    <t>capEmp4BusAInitHrsExp</t>
  </si>
  <si>
    <t>Average Assets</t>
  </si>
  <si>
    <t>obalPlantValue</t>
  </si>
  <si>
    <t>cbalPlantValue</t>
  </si>
  <si>
    <t>Add gotoIntro to Close Hood if not on a tool page.</t>
  </si>
  <si>
    <t>decBid3Emp3HrsRFQ</t>
  </si>
  <si>
    <t>decBid3Emp2HrsRFQ</t>
  </si>
  <si>
    <t>decBid4Price</t>
  </si>
  <si>
    <t>decBid4Emp4HrsRFQ</t>
  </si>
  <si>
    <t>decBid4Emp3HrsRFQ</t>
  </si>
  <si>
    <t>capBusBForecastRevBid5</t>
  </si>
  <si>
    <t>capBusBForecastRevBid6</t>
  </si>
  <si>
    <t>capBusBForecastRevBid7</t>
  </si>
  <si>
    <t>capBusBForecastRevBid8</t>
  </si>
  <si>
    <t>xxMMProd1Seg4Units</t>
  </si>
  <si>
    <t>Practice 1 Sr. Executive Allocation - Sales</t>
  </si>
  <si>
    <t>paramEmp8HoursPYear</t>
  </si>
  <si>
    <t>There are no easy choices when it comes to product quality issues.  This choice is going to take more of Maria’s time but is the best option for protecting GECo’s brand image.  The volume demanded of these sub-branded products is smaller, but you have kept GECo in this necessary market segment, therefore preserving some of the brand’s value while attempting to put the product quality issues behind you.</t>
  </si>
  <si>
    <t>Scenario</t>
  </si>
  <si>
    <t>Training Cancellation</t>
  </si>
  <si>
    <t>capBusATotalOutput</t>
  </si>
  <si>
    <t>Consulting Sr. Executive Expense Allocation</t>
  </si>
  <si>
    <t>Practice 1 Consulting Hrs. Sr. Executive Slary Expense</t>
  </si>
  <si>
    <t>Practice 2 Consulting Hrs. Sr. Executive Slary Expense</t>
  </si>
  <si>
    <t>Practice 3 Consulting Hrs. Sr. Executive Slary Expense</t>
  </si>
  <si>
    <t xml:space="preserve">The client’s anger escalates when they realize that you are suggesting that they buy more work from you while the rest is in serious trouble. A crisis is averted when it is explained that your team is willing to complete the work for free and recover fees from the value created from the project. The additional work is agreed to and eventually the value delivered. Increase revenue by $8M. Margins are somewhat lower due to a large capital charge. </t>
  </si>
  <si>
    <t>P1 NonPayroll Allocation</t>
  </si>
  <si>
    <t>P2 NonPayroll Allocation</t>
  </si>
  <si>
    <t>Below market</t>
  </si>
  <si>
    <t>At Market</t>
  </si>
  <si>
    <t>Above Market</t>
  </si>
  <si>
    <t>dataListSalary</t>
  </si>
  <si>
    <t xml:space="preserve">Increases in compensation provide short term improvements in both employee engagement and attrition. However, in the long-term, look for the root cause of employee engagement and attrition issues. The one time bonus is paid and you may now raise prices 3%. </t>
  </si>
  <si>
    <t xml:space="preserve">C. Not wanting to set a precedent at this time, you decide not offer a bonus. </t>
  </si>
  <si>
    <t>cbalY2V1H2BidRev</t>
  </si>
  <si>
    <t>cbalY2V1H3BidRev</t>
  </si>
  <si>
    <t>cbalY2V2H1BidRev</t>
  </si>
  <si>
    <t>cbalY2V2H2BidRev</t>
  </si>
  <si>
    <t>cbalY2V2H3BidRev</t>
  </si>
  <si>
    <t>cbalY2V3H1BidRev</t>
  </si>
  <si>
    <t>cbalY2V3H2BidRev</t>
  </si>
  <si>
    <t>capBusBOverallSolnWFUtil</t>
  </si>
  <si>
    <t>finPNLTotalRev</t>
  </si>
  <si>
    <t>fbslide was referencing the wrong G&amp;A line (row 59).  I re-sourced the data and it works now.  Discovered during FB1.</t>
  </si>
  <si>
    <t>Consulting CI slide fb1000BusACI not graphing correct cost levels</t>
  </si>
  <si>
    <t>feedback slide fb1000BusACI, feedback tab row66</t>
  </si>
  <si>
    <t>capEmp9BusAV1AllocSalesV1</t>
  </si>
  <si>
    <t>capEmp9BusAV1AllocSalesV2</t>
  </si>
  <si>
    <t>capEmp9BusAV1AllocSalesV3</t>
  </si>
  <si>
    <t>capEmp9BusACompDevAlloc</t>
  </si>
  <si>
    <t>capEmp9BusAGeneralTrainingAlloc</t>
  </si>
  <si>
    <t>capY3V1H3COSRealized</t>
  </si>
  <si>
    <t>capY3V2H1COSRealized</t>
  </si>
  <si>
    <t>General Training Budget</t>
  </si>
  <si>
    <t>cbalEmp1GeneralTrainingBudget</t>
  </si>
  <si>
    <t>cbalEmp2GeneralTrainingBudget</t>
  </si>
  <si>
    <t>cbalEmp3GeneralTrainingBudget</t>
  </si>
  <si>
    <t>cbalEmp4GeneralTrainingBudget</t>
  </si>
  <si>
    <t>cbalEmp6GeneralTrainingBudget</t>
  </si>
  <si>
    <t>obalEmp1GeneralTrainingBudget</t>
  </si>
  <si>
    <t>obalEmp2GeneralTrainingBudget</t>
  </si>
  <si>
    <t>obalEmp3GeneralTrainingBudget</t>
  </si>
  <si>
    <t>capEmp1BusACompDevExp</t>
  </si>
  <si>
    <t>capEmp1BusAGeneralTrainingExp</t>
  </si>
  <si>
    <t>capEmp2BusAV1SalesExp</t>
  </si>
  <si>
    <t>capEmp2BusAV2SalesExp</t>
  </si>
  <si>
    <t>capEmp2BusAV3SalesExp</t>
  </si>
  <si>
    <t>Starting Decisions</t>
  </si>
  <si>
    <t>Consulting Hours Total</t>
  </si>
  <si>
    <t>Compensation Expense</t>
  </si>
  <si>
    <t>Current Staffing Profile</t>
  </si>
  <si>
    <t>Scenarios Tested</t>
  </si>
  <si>
    <t>Tests Remaining</t>
  </si>
  <si>
    <t>Price per Hour P1</t>
  </si>
  <si>
    <t>Price per Hour P2</t>
  </si>
  <si>
    <t>Price per Hour P3</t>
  </si>
  <si>
    <t>Forecast Hours P1</t>
  </si>
  <si>
    <t>Forecast Hours P2</t>
  </si>
  <si>
    <t>Forecast Hours P3</t>
  </si>
  <si>
    <t>cbalEmp6</t>
  </si>
  <si>
    <t>obalEmp6</t>
  </si>
  <si>
    <t>cbalEmp6Utiliz</t>
  </si>
  <si>
    <t>obalEmp6Utiliz</t>
  </si>
  <si>
    <t>paramEmp6ReqPMilRev</t>
  </si>
  <si>
    <t>paramEmp6ProductivityCoef</t>
  </si>
  <si>
    <t>obalBusACompDevV2</t>
  </si>
  <si>
    <t>obalBusACompDevV3</t>
  </si>
  <si>
    <t>cbalBusACompDevV1</t>
  </si>
  <si>
    <t>cbalBusACompDevV2</t>
  </si>
  <si>
    <t>cbalBusACompDevV3</t>
  </si>
  <si>
    <t>System Integration &amp; Tech</t>
  </si>
  <si>
    <t>capEmp8BusAV3Exp</t>
  </si>
  <si>
    <t>capEmp8BusAV1SalesExp</t>
  </si>
  <si>
    <t>capEmp8BusAV2SalesExp</t>
  </si>
  <si>
    <t>capEmp8BusAV3SalesExp</t>
  </si>
  <si>
    <t>capEmp8BusACompDevExp</t>
  </si>
  <si>
    <t>capEmp8BusAGeneralTrainingExp</t>
  </si>
  <si>
    <t>capEmp8BusAInitHrsExp</t>
  </si>
  <si>
    <t>capEmp8BusANonBillExp</t>
  </si>
  <si>
    <t>capEmp9Att</t>
  </si>
  <si>
    <t>capBusAEmp9Att</t>
  </si>
  <si>
    <t>capBusAEmp9End</t>
  </si>
  <si>
    <t>capBusAEmp9EndHrsAvailable</t>
  </si>
  <si>
    <t>capEmp9Req</t>
  </si>
  <si>
    <t>capBusAEmp9Req</t>
  </si>
  <si>
    <t>capEmp9Utiliz</t>
  </si>
  <si>
    <t>capBusAEmp9Utiliz</t>
  </si>
  <si>
    <t>capBusAEmp9CompDevTtlHrReq</t>
  </si>
  <si>
    <t>A SI &amp; T</t>
  </si>
  <si>
    <t>capEmp9BusAGeneralTrainingHrs</t>
  </si>
  <si>
    <t>cbalBusAEmp7</t>
  </si>
  <si>
    <t>cbalBusAEmp8</t>
  </si>
  <si>
    <t>cbalBusAEmp9</t>
  </si>
  <si>
    <t xml:space="preserve">Ending Headcount  </t>
  </si>
  <si>
    <t>Rank</t>
  </si>
  <si>
    <t>Outsourcing Solutions WF Expense Allocation</t>
  </si>
  <si>
    <t>capEmp2BusAV2Exp</t>
  </si>
  <si>
    <t>Practice 2 Sr. Executive Allocation - Sales</t>
  </si>
  <si>
    <t>Training Hours</t>
  </si>
  <si>
    <t>Revenue This Year</t>
  </si>
  <si>
    <t>CI%</t>
  </si>
  <si>
    <t>Cnsultant/Analyst</t>
  </si>
  <si>
    <t>capBusBEmp2Utiliz</t>
  </si>
  <si>
    <t>Consulting Solutions WF Utilization Y4</t>
  </si>
  <si>
    <t>Outsourcing Revenue Y1</t>
  </si>
  <si>
    <t>Outsourcing Revenue Y2</t>
  </si>
  <si>
    <t>Outsourcing Revenue Y3</t>
  </si>
  <si>
    <t>Outsourcing Revenue Y4</t>
  </si>
  <si>
    <t>Outsourcing Sales Growth % Y1</t>
  </si>
  <si>
    <t>Outsourcing Sales Growth % Y2</t>
  </si>
  <si>
    <t>Outsourcing Sales Growth % Y3</t>
  </si>
  <si>
    <t>Outsourcing Sales Growth % Y4</t>
  </si>
  <si>
    <t>Outsourcing CCI % of Revenue Y1</t>
  </si>
  <si>
    <t>Outsourcing CCI % of Revenue Y2</t>
  </si>
  <si>
    <t>Outsourcing CCI % of Revenue Y3</t>
  </si>
  <si>
    <t>Outsourcing CCI % of Revenue Y4</t>
  </si>
  <si>
    <t>A.  Recognizing this problem is important, you instruct your HR department to develop a solution and implement it.  You support any action they deem necessary with a very generous financial allocation to their budget.</t>
  </si>
  <si>
    <t>Gen. Ops. Time Allocation</t>
  </si>
  <si>
    <t>Y1V1H3</t>
  </si>
  <si>
    <t>Y1V2H1</t>
  </si>
  <si>
    <t>Y1V2H2</t>
  </si>
  <si>
    <t>Y1V2H3</t>
  </si>
  <si>
    <t>Y1V3H1</t>
  </si>
  <si>
    <t>Y1V3H2</t>
  </si>
  <si>
    <t>Y1V3H3</t>
  </si>
  <si>
    <t>Y2V1H1</t>
  </si>
  <si>
    <t>Y2V1H2</t>
  </si>
  <si>
    <t>Y2V1H3</t>
  </si>
  <si>
    <t>capBusAEmp2Att</t>
  </si>
  <si>
    <t>capBusBEmp2Att</t>
  </si>
  <si>
    <t>capBusAEmp3End</t>
  </si>
  <si>
    <t>What was the specific occurrence being recognized.  I mean, what steps were being taken and what was the result that created this bullet point?  With that info I could suggest a better solution.  Right now I'm still unclear what this represented or why it was asked.</t>
  </si>
  <si>
    <t>obalY2V1H1BidRev</t>
  </si>
  <si>
    <t>Montecito Group</t>
  </si>
  <si>
    <t>The Calistoga Company</t>
  </si>
  <si>
    <t>Wyndham Guidence Ops.</t>
  </si>
  <si>
    <t>Vigilant Technologies</t>
  </si>
  <si>
    <t>Client Cost</t>
  </si>
  <si>
    <t>The Hanso Group</t>
  </si>
  <si>
    <t>The Goren Group</t>
  </si>
  <si>
    <t>H&amp;R Ameriprise Block</t>
  </si>
  <si>
    <t>Vandaley Industry</t>
  </si>
  <si>
    <t>Northern Pacific Inc.</t>
  </si>
  <si>
    <t>Total Revenue V3</t>
  </si>
  <si>
    <t>Total Revenue H1</t>
  </si>
  <si>
    <t>Total Revenue H2</t>
  </si>
  <si>
    <t>Total Revenue H3</t>
  </si>
  <si>
    <t>capEmp1BusANonBillExp</t>
  </si>
  <si>
    <t>capEmp1BusBNonBillExp</t>
  </si>
  <si>
    <t>Decision Page Template - Multiple</t>
  </si>
  <si>
    <t>Pop-Up Wobbler</t>
  </si>
  <si>
    <t>Standard Bid Model</t>
  </si>
  <si>
    <t>Clean up Data Page</t>
  </si>
  <si>
    <t>Controls row 126</t>
  </si>
  <si>
    <t>It would be handy to have the Print Market Model Report show up immediately after the Run Market Model in the sim menu.  I tried moving the row to the right place and renumbering the menu item #, but then I got VB error when I opened the file; I've replaced and renumbered to its original spot.</t>
  </si>
  <si>
    <t>Add a Client Savings market model driver to Outsourcing deals</t>
  </si>
  <si>
    <r>
      <t>·</t>
    </r>
    <r>
      <rPr>
        <sz val="7"/>
        <rFont val="Times New Roman"/>
        <family val="1"/>
      </rPr>
      <t xml:space="preserve">        </t>
    </r>
    <r>
      <rPr>
        <sz val="14"/>
        <rFont val="Arial"/>
        <family val="2"/>
      </rPr>
      <t>From each team tool, select ‘Export Decisions’ from the ‘Actions’ drop-down menu.</t>
    </r>
  </si>
  <si>
    <t>STEP 5</t>
  </si>
  <si>
    <t>All five sets of team decisions must be imported into the master simulation for processing.</t>
  </si>
  <si>
    <r>
      <t>·</t>
    </r>
    <r>
      <rPr>
        <sz val="7"/>
        <rFont val="Times New Roman"/>
        <family val="1"/>
      </rPr>
      <t xml:space="preserve">        </t>
    </r>
    <r>
      <rPr>
        <sz val="14"/>
        <rFont val="Arial"/>
        <family val="2"/>
      </rPr>
      <t>Import teams’ decisions</t>
    </r>
  </si>
  <si>
    <r>
      <t>o</t>
    </r>
    <r>
      <rPr>
        <sz val="7"/>
        <rFont val="Times New Roman"/>
        <family val="1"/>
      </rPr>
      <t xml:space="preserve">       </t>
    </r>
    <r>
      <rPr>
        <sz val="14"/>
        <rFont val="Arial"/>
        <family val="2"/>
      </rPr>
      <t>From the simulation drop-down menu, select ‘Import Decisions.’</t>
    </r>
  </si>
  <si>
    <t>Umbrella Corp.</t>
  </si>
  <si>
    <t>Virtucon</t>
  </si>
  <si>
    <t>Wyndam Guidance Ops.</t>
  </si>
  <si>
    <t>Vigilent Tech.</t>
  </si>
  <si>
    <t>Warner Machinery</t>
  </si>
  <si>
    <t>VersaCorp</t>
  </si>
  <si>
    <t>Dharma Industries</t>
  </si>
  <si>
    <t>Innotech</t>
  </si>
  <si>
    <t>Liab</t>
  </si>
  <si>
    <t>Other Long Term Liabilities</t>
  </si>
  <si>
    <t>obalOtherAsstesValue</t>
  </si>
  <si>
    <t>cbalOtherAsstesValue</t>
  </si>
  <si>
    <t>finPNLTotalDeprExp</t>
  </si>
  <si>
    <t>finPNLTotalInterestExp</t>
  </si>
  <si>
    <t>finPNLTotalTaxes</t>
  </si>
  <si>
    <t>cbalY3V2H1BidWon</t>
  </si>
  <si>
    <t>cbalY3V2H2BidWon</t>
  </si>
  <si>
    <t>cbalY3V2H3BidWon</t>
  </si>
  <si>
    <t>cbalY3V3H1BidWon</t>
  </si>
  <si>
    <t>cbalY3V3H2BidWon</t>
  </si>
  <si>
    <t>cbalY3V3H3BidWon</t>
  </si>
  <si>
    <t>obalY1V1H1BidRev</t>
  </si>
  <si>
    <t>obalY1V1H2BidRev</t>
  </si>
  <si>
    <t>obalY1V1H3BidRev</t>
  </si>
  <si>
    <t>obalY1V2H1BidRev</t>
  </si>
  <si>
    <t>obalY1V2H2BidRev</t>
  </si>
  <si>
    <t>obalY1V2H3BidRev</t>
  </si>
  <si>
    <t>obalY1V3H1BidRev</t>
  </si>
  <si>
    <t>obalY1V3H2BidRev</t>
  </si>
  <si>
    <t>SI&amp;T</t>
  </si>
  <si>
    <t>The new balances must be imported into the teams’ tools.  With the media device in place (e.g. floppy disk, USB drive, etc.), select ‘New Year.’</t>
  </si>
  <si>
    <r>
      <t>·</t>
    </r>
    <r>
      <rPr>
        <sz val="7"/>
        <rFont val="Times New Roman"/>
        <family val="1"/>
      </rPr>
      <t xml:space="preserve">        </t>
    </r>
    <r>
      <rPr>
        <sz val="14"/>
        <rFont val="Arial"/>
        <family val="2"/>
      </rPr>
      <t>When prompted, use the following case-sensitive password “import”</t>
    </r>
  </si>
  <si>
    <t>Common Stock Shares</t>
  </si>
  <si>
    <t>obalCStockShares</t>
  </si>
  <si>
    <t>Common Stock Price Per Share</t>
  </si>
  <si>
    <t>obalCStockPricePShare</t>
  </si>
  <si>
    <t>obalCSAT</t>
  </si>
  <si>
    <t>decSpecProg1</t>
  </si>
  <si>
    <t>decSpecProg2</t>
  </si>
  <si>
    <t>decSpecProg3</t>
  </si>
  <si>
    <t>decSpecProg4</t>
  </si>
  <si>
    <t>decSpecProg5</t>
  </si>
  <si>
    <t>paramSpecProgExp</t>
  </si>
  <si>
    <t>cbalBusBEmp3</t>
  </si>
  <si>
    <t>cbalBusAEmp4</t>
  </si>
  <si>
    <t>cbalBusBEmp4</t>
  </si>
  <si>
    <t>Financials</t>
  </si>
  <si>
    <t>&amp;Balance Sheet</t>
  </si>
  <si>
    <t>Run &amp;Market Model</t>
  </si>
  <si>
    <t>I&amp;mport Balances</t>
  </si>
  <si>
    <t>ToolDataImportBalances</t>
  </si>
  <si>
    <t>Score</t>
  </si>
  <si>
    <t>capBusBV3Emp2CompDevTtlHrReq</t>
  </si>
  <si>
    <t>finPNLBusAV3TotalGeneralTrainingBudgetExpense</t>
  </si>
  <si>
    <t>cbalBusAEmp2</t>
  </si>
  <si>
    <t>cbalBusBEmp2</t>
  </si>
  <si>
    <t>cbalBusAEmp3</t>
  </si>
  <si>
    <t>paramProd2MatCostPUnitPFtr1Level</t>
  </si>
  <si>
    <t>paramProd2MatCostPUnit</t>
  </si>
  <si>
    <t>paramProd2MatPctOfProduction</t>
  </si>
  <si>
    <t>paramProd2LabHrsReqPUnit</t>
  </si>
  <si>
    <t>Client Cost Bid 9</t>
  </si>
  <si>
    <t># Common Stock Issued (Bought Back)</t>
  </si>
  <si>
    <t>capBusBForecastRevBid2</t>
  </si>
  <si>
    <t>finPNLBusBV1EmpRecDismExp</t>
  </si>
  <si>
    <t>finPNLBusBV1TtlEmpAdminExp</t>
  </si>
  <si>
    <t>finPNLBusBV1TotalOpExp</t>
  </si>
  <si>
    <t>finPNLBusBV1OpsMargin</t>
  </si>
  <si>
    <t>finPNLBusBV1OpsMarginPct</t>
  </si>
  <si>
    <t>paramH2PctCostReducPerHCompLvl</t>
  </si>
  <si>
    <t>paramH3PctCostReducPerHCompLvl</t>
  </si>
  <si>
    <t>paramSpecProgramBPOV1CostReducPct</t>
  </si>
  <si>
    <t>capEmp9BusAInitHrsAlloc</t>
  </si>
  <si>
    <t>capEmp9BusANonBillAlloc</t>
  </si>
  <si>
    <t>capEmp9BusAV1Exp</t>
  </si>
  <si>
    <t>Industry Avg. Utilization</t>
  </si>
  <si>
    <t>cbalBusAEmp1IndAvgUtiliz</t>
  </si>
  <si>
    <t>cbalBusBEmp1IndAvgUtiliz</t>
  </si>
  <si>
    <t>cbalBusAEmp2IndAvgUtiliz</t>
  </si>
  <si>
    <t>STEP 2</t>
  </si>
  <si>
    <t>obalBusBEmp3Utiliz</t>
  </si>
  <si>
    <t>obalBusAEmp4Utiliz</t>
  </si>
  <si>
    <t>obalBusBEmp4Utiliz</t>
  </si>
  <si>
    <t>finCumBalCardScore</t>
  </si>
  <si>
    <t>finCumBalCardRank</t>
  </si>
  <si>
    <t>cbalBusBEmp2IndAvgUtiliz</t>
  </si>
  <si>
    <t>cbalBusAEmp3IndAvgUtiliz</t>
  </si>
  <si>
    <t>cbalBusBEmp3IndAvgUtiliz</t>
  </si>
  <si>
    <t>cbalBusAEmp4IndAvgUtiliz</t>
  </si>
  <si>
    <t>cbalBusBEmp4IndAvgUtiliz</t>
  </si>
  <si>
    <t>cbalEmp6IndAvgUtiliz</t>
  </si>
  <si>
    <t>finPNLBusAV3Emp7BusDevTimeExp</t>
  </si>
  <si>
    <t>finPNLBusAV3Emp9unallocTimeExp</t>
  </si>
  <si>
    <t>finPNLBusAV3Emp8unallocTimeExp</t>
  </si>
  <si>
    <t>finPNLBusAV3Emp7unallocTimeExp</t>
  </si>
  <si>
    <t>English (AUS)</t>
  </si>
  <si>
    <t>English (SA)</t>
  </si>
  <si>
    <t>paramPlant1InvCost</t>
  </si>
  <si>
    <t>paramPlant1MachHrsPUnit</t>
  </si>
  <si>
    <t>paramPlant1MachCostPHr</t>
  </si>
  <si>
    <t>paramPlant1DepRate</t>
  </si>
  <si>
    <t>Prod4Seg4</t>
  </si>
  <si>
    <t>Prod4Seg5</t>
  </si>
  <si>
    <t>Prod4Seg1</t>
  </si>
  <si>
    <t>cbalTotalRealizedRev</t>
  </si>
  <si>
    <t>Total Revenues</t>
  </si>
  <si>
    <t>Special Programs Expense Product 4</t>
  </si>
  <si>
    <t>New Hires exceeding hiring limit decision.</t>
  </si>
  <si>
    <t>Senior Execs not error checked to prevent export &gt; 100%.  Sorry, don't know which SE's.</t>
  </si>
  <si>
    <t>Common stock</t>
  </si>
  <si>
    <t>Retained Earnings</t>
  </si>
  <si>
    <t>Net Earnings</t>
  </si>
  <si>
    <t>Total Equity</t>
  </si>
  <si>
    <t>Total Equity and Liabilities</t>
  </si>
  <si>
    <t>BPO Business Comp Exp Dev % Alloc</t>
  </si>
  <si>
    <t>capBusACurrProjV3Emp1Output</t>
  </si>
  <si>
    <t>Training</t>
  </si>
  <si>
    <t>Company Performance</t>
  </si>
  <si>
    <t>Opening ESAT</t>
  </si>
  <si>
    <t xml:space="preserve">Ending ESAT  </t>
  </si>
  <si>
    <t>obalESAT</t>
  </si>
  <si>
    <t>cbalESAT</t>
  </si>
  <si>
    <t>capBusBEmp1Utiliz</t>
  </si>
  <si>
    <t>capEmp1BusAV1Exp</t>
  </si>
  <si>
    <t>capEmp2BusAV1Exp</t>
  </si>
  <si>
    <t>Special Programs Expense Product 6</t>
  </si>
  <si>
    <t>finAssetTurnover</t>
  </si>
  <si>
    <t>Special Program Outsourcing Manager Initiative Hrs Required</t>
  </si>
  <si>
    <t>Add Processing Instruction Page</t>
  </si>
  <si>
    <t>Add Initiative Validation/ As per Sony 501</t>
  </si>
  <si>
    <t>Drop Down</t>
  </si>
  <si>
    <t>HideRowtoolPNL</t>
  </si>
  <si>
    <t>Growth</t>
  </si>
  <si>
    <t>Done by User Interface group</t>
  </si>
  <si>
    <t>AS per Sony 501</t>
  </si>
  <si>
    <t>finPNLBusBV3Emp3OpsImproveExp</t>
  </si>
  <si>
    <t>finPNLBusBV3Emp4OpsImproveExp</t>
  </si>
  <si>
    <t>finPNLBusBV3OpsImproveExp</t>
  </si>
  <si>
    <t>finPNLBusBTotalRev</t>
  </si>
  <si>
    <t>finPNLBusBTotalCOS</t>
  </si>
  <si>
    <t>finPNLBusBTotalGrossProfit</t>
  </si>
  <si>
    <t>finPNLBusBTotalBusDevExp</t>
  </si>
  <si>
    <t>Outsourcing Sr. Executive % Product Allocation</t>
  </si>
  <si>
    <t>Outsourcing V1 Sr. Executive Allocation</t>
  </si>
  <si>
    <t>Outsourcing V2 Sr. Executive Allocation</t>
  </si>
  <si>
    <t>Outsourcing V3 Sr. Executive Allocation</t>
  </si>
  <si>
    <t>capBusAV1H1Y1RevFromPullThru</t>
  </si>
  <si>
    <t>finPNLBusAFixedAdminExp</t>
  </si>
  <si>
    <t>CCI Overhead Cost Allocation Basis</t>
  </si>
  <si>
    <t>Decision Area Color Header</t>
  </si>
  <si>
    <t>FMATDAreaColorHeader</t>
  </si>
  <si>
    <t>FMATDAreaBorderHeader</t>
  </si>
  <si>
    <t>cbalARValue</t>
  </si>
  <si>
    <t>Consultant Salary</t>
  </si>
  <si>
    <t>Consultant Load Costs</t>
  </si>
  <si>
    <t>Executive</t>
  </si>
  <si>
    <t>Other Administrative Expense</t>
  </si>
  <si>
    <t>Non-Payroll Training Expense</t>
  </si>
  <si>
    <t>paramPlant3MachCostPHr</t>
  </si>
  <si>
    <t>paramPlant3DepRate</t>
  </si>
  <si>
    <t>paramPlant3RampUpPct</t>
  </si>
  <si>
    <t>paramPlant2DivRevenue</t>
  </si>
  <si>
    <t>paramPlant2InvCost</t>
  </si>
  <si>
    <t>paramPlant2MachHrsPUnit</t>
  </si>
  <si>
    <t>paramPlant2MachCostPHr</t>
  </si>
  <si>
    <t>paramPlant2DepRate</t>
  </si>
  <si>
    <t>paramPlant2RampUpPct</t>
  </si>
  <si>
    <t>decBid1Price</t>
  </si>
  <si>
    <t>decBid1Emp4HrsRFQ</t>
  </si>
  <si>
    <t>decBid1Emp3HrsRFQ</t>
  </si>
  <si>
    <t>decBid1Emp2HrsRFQ</t>
  </si>
  <si>
    <t>Y1 V2 H2</t>
  </si>
  <si>
    <t>Y1 V2 H3</t>
  </si>
  <si>
    <t>Index Row for Popup Wobbler (formula, do not change manually)</t>
  </si>
  <si>
    <t>xxPopupWobblerCurrent</t>
  </si>
  <si>
    <t>finPNLBusAV2Emp4CompDevTimeExp</t>
  </si>
  <si>
    <t>finPNLBusAV3Emp1CompDevTimeExp</t>
  </si>
  <si>
    <t>Increase (+)/ Decrease (-) in Other Current Liabilities</t>
  </si>
  <si>
    <t>Net Change in Working Capital</t>
  </si>
  <si>
    <t>capBusAV2ForecastRev</t>
  </si>
  <si>
    <t>capBusAV3ForecastRev</t>
  </si>
  <si>
    <t>capBusBTotalForecastRev</t>
  </si>
  <si>
    <t>capBusATotalForecastRev</t>
  </si>
  <si>
    <t>capTotalForecastRev</t>
  </si>
  <si>
    <t>Revenue Forecast</t>
  </si>
  <si>
    <t>capEmp4BusBV3Alloc</t>
  </si>
  <si>
    <t>capEmp4BusAV1Exp</t>
  </si>
  <si>
    <t>capEmp4BusAV2Exp</t>
  </si>
  <si>
    <t>capEmp4BusAV3Exp</t>
  </si>
  <si>
    <t>capEmp4BusANonBillExp</t>
  </si>
  <si>
    <t>capEmp4BusBV1Exp</t>
  </si>
  <si>
    <t>capEmp4BusBV2Exp</t>
  </si>
  <si>
    <t>capEmp4BusBV3Exp</t>
  </si>
  <si>
    <t>capEmp4BusBNonBillExp</t>
  </si>
  <si>
    <t>Bid4 Pursuit</t>
  </si>
  <si>
    <t>Pursuit Team Cost Savings</t>
  </si>
  <si>
    <t>obalConsultingRevenueY2</t>
  </si>
  <si>
    <t>obalConsultingRevenueY3</t>
  </si>
  <si>
    <t>obalConsultingRevenueY4</t>
  </si>
  <si>
    <t>obalConsultingSalesGrowthY1</t>
  </si>
  <si>
    <t>obalConsultingSalesGrowthY2</t>
  </si>
  <si>
    <t>Wobblers</t>
  </si>
  <si>
    <t>cbalCashValue</t>
  </si>
  <si>
    <t>B. A Senior Vice President recommends Sandra, a Sales Manager from a smaller division, for the job. You know that Sandra had done an excellent job over the past year and is well liked by her current colleagues, though you are unsure about her ability to handle the increased workload and her leadership attributes.  Your SVP seems confident that she will do a fine job.</t>
  </si>
  <si>
    <t>Consulting Forecast</t>
  </si>
  <si>
    <t>Consulting Tme Allocation</t>
  </si>
  <si>
    <t>Current Proj.</t>
  </si>
  <si>
    <t>Sales Time</t>
  </si>
  <si>
    <t>Business Process Outsourcing</t>
  </si>
  <si>
    <t>Total Operating Expenses</t>
  </si>
  <si>
    <t>ASSETS</t>
  </si>
  <si>
    <t>Accounts Receivable</t>
  </si>
  <si>
    <t>TOTAL ASSETS</t>
  </si>
  <si>
    <t>Liabilities</t>
  </si>
  <si>
    <t>Long Term Debt</t>
  </si>
  <si>
    <t>cbalBusBCompDevCurrYrTotal</t>
  </si>
  <si>
    <t>paramV1BaseRevenue</t>
  </si>
  <si>
    <t>capEmp4BusBGeneralTrainingAlloc</t>
  </si>
  <si>
    <t>capEmp4BusBOpsImprovementExp</t>
  </si>
  <si>
    <t>capEmp4BusBCompDevAllocExp</t>
  </si>
  <si>
    <t>capEmp4BusBGeneralTrainingAllocExp</t>
  </si>
  <si>
    <t>Customer Value Map in Feedbacks</t>
  </si>
  <si>
    <t>capBusAEmp1Att</t>
  </si>
  <si>
    <t>capBusBEmp1Att</t>
  </si>
  <si>
    <t>capBusAEmp1Req</t>
  </si>
  <si>
    <t>capBusBEmp1Req</t>
  </si>
  <si>
    <t>capBusAEmp1Utiliz</t>
  </si>
  <si>
    <t>finCashFlowInvest</t>
  </si>
  <si>
    <t>Practice 1 Sr. Executive Allocation - Current Projects</t>
  </si>
  <si>
    <t>STEP 6</t>
  </si>
  <si>
    <t>Deal Pursuit Time Allocation (Hrs.)</t>
  </si>
  <si>
    <t>Hours Borrowed</t>
  </si>
  <si>
    <t xml:space="preserve">In-Year  </t>
  </si>
  <si>
    <t>Big Company 4</t>
  </si>
  <si>
    <t>Big Company 5</t>
  </si>
  <si>
    <t>Product 4 Segment 1</t>
  </si>
  <si>
    <t>Product 4 Segment 2</t>
  </si>
  <si>
    <t>Product 4 Segment 3</t>
  </si>
  <si>
    <t>Product 4 Segment 4</t>
  </si>
  <si>
    <t>obalEmp1TrainingBudgetDelta</t>
  </si>
  <si>
    <t>obalEmp2TrainingBudgetDelta</t>
  </si>
  <si>
    <t>obalEmp3TrainingBudgetDelta</t>
  </si>
  <si>
    <t>obalEmp4TrainingBudgetDelta</t>
  </si>
  <si>
    <t>obalEmp6TrainingBudgetDelta</t>
  </si>
  <si>
    <t>paramProd3CycTimeDays</t>
  </si>
  <si>
    <t>paramProd3MatCostPUnitPFtr1Level</t>
  </si>
  <si>
    <t>paramProd3MatCostPUnit</t>
  </si>
  <si>
    <t>paramProd3MatPctOfProduction</t>
  </si>
  <si>
    <t>paramProd3LabHrsReqPUnit</t>
  </si>
  <si>
    <t xml:space="preserve">Enterprise WF  </t>
  </si>
  <si>
    <t>Employee lvl</t>
  </si>
  <si>
    <t>decBid2Price</t>
  </si>
  <si>
    <t>decBid2Emp4HrsRFQ</t>
  </si>
  <si>
    <t>decBid2Emp3HrsRFQ</t>
  </si>
  <si>
    <t>decBid2Emp2HrsRFQ</t>
  </si>
  <si>
    <t xml:space="preserve">The initial integration period created some temporary declines in productivity but the new resources have now integrated with their respective teams and synergies are being realized. Employee engagement initially declines but has now settled higher then before the acquisition as people acquire skills from their new colleagues. Expertise in Practice 2 increases by 3 levels. You now have a distinct advantage in selling new working in Practice 2.  </t>
  </si>
  <si>
    <r>
      <t>o</t>
    </r>
    <r>
      <rPr>
        <sz val="7"/>
        <rFont val="Times New Roman"/>
        <family val="1"/>
      </rPr>
      <t xml:space="preserve">       </t>
    </r>
    <r>
      <rPr>
        <sz val="14"/>
        <rFont val="Arial"/>
        <family val="2"/>
      </rPr>
      <t>In most cases, if the USB drive is used, this should be set to ‘E:\,’ but verify the drive actually used.</t>
    </r>
  </si>
  <si>
    <r>
      <t>·</t>
    </r>
    <r>
      <rPr>
        <sz val="7"/>
        <rFont val="Times New Roman"/>
        <family val="1"/>
      </rPr>
      <t xml:space="preserve">        </t>
    </r>
    <r>
      <rPr>
        <sz val="14"/>
        <rFont val="Arial"/>
        <family val="2"/>
      </rPr>
      <t>Create the Team Tools</t>
    </r>
  </si>
  <si>
    <t>paramBusBH2RevPullThruWeight</t>
  </si>
  <si>
    <t>finPNLBusATotalGlobalSalaryExp</t>
  </si>
  <si>
    <t>finPNLBusAV1CCI</t>
  </si>
  <si>
    <t>finPNLBusAV2CCI</t>
  </si>
  <si>
    <t>finPNLBusAV3CCI</t>
  </si>
  <si>
    <t>finPNLBusATotalCCI</t>
  </si>
  <si>
    <t>finPNLBusAV1OverheadPctAlloc</t>
  </si>
  <si>
    <t>finPNLBusAV2OverheadPctAlloc</t>
  </si>
  <si>
    <t>finPNLBusAV3OverheadPctAlloc</t>
  </si>
  <si>
    <t xml:space="preserve">Hiring Plan  </t>
  </si>
  <si>
    <t>Report Title in Text Box linked to Controls Page</t>
  </si>
  <si>
    <t>Data Extrapolation Tables with Charts template for Data Page</t>
  </si>
  <si>
    <t>Organize Adj. Page to allow sorting</t>
  </si>
  <si>
    <t>Board Report Data</t>
  </si>
  <si>
    <t>Total Revenue Y1</t>
  </si>
  <si>
    <t>Total Revenue Y2</t>
  </si>
  <si>
    <t>Total Revenue Y3</t>
  </si>
  <si>
    <t>Total Revenue Y4</t>
  </si>
  <si>
    <t>Total Revenue Growth Y1</t>
  </si>
  <si>
    <t>Total Revenue Growth Y2</t>
  </si>
  <si>
    <t>Total Revenue Growth Y3</t>
  </si>
  <si>
    <t>I don't have triggering symptoms, but tools are having row and column headers show up; we had to manually select each tab and go to Tools:Options:View to uncheck the box for every tool.  Weird.</t>
  </si>
  <si>
    <t>Yes, quite odd…I ran the market model for the above fix, but it wasn't until I just ran it again that it cleared the value errors from the mmProd1 page.  Perhaps it had something to do with the timing of when I evened up the teams on the obal page (between runnings of the mkt mdl).</t>
  </si>
  <si>
    <t>&lt;-- this might be why some of the teams had unique values?</t>
  </si>
  <si>
    <t>NOT FINISHED.  Is this supposed to measure esat variance?  The formula still calcs zero because of the prelim basis number.  I've made it so the expense figure will never be less than $0.0001 so the formula won't zero out.</t>
  </si>
  <si>
    <t>Done, but make sure you use this new Feedback.xls…it has the source location for this chart moved.</t>
  </si>
  <si>
    <t>Done in Feedback.xls…should update in existing ppts</t>
  </si>
  <si>
    <t>C.  Intent to solve the problem to prevent further decline, you form a group of team leaders to discuss the results.  After seeking feedback from their team members, you facilitate discussions within the group on appropriate solutions.  Once you are satisfied that the group has developed good solutions, you send them back to implement the suggestions within their teams.</t>
  </si>
  <si>
    <t>capBusAEmp2End</t>
  </si>
  <si>
    <t>capBusBEmp2End</t>
  </si>
  <si>
    <t>capBusAEmp2Req</t>
  </si>
  <si>
    <t>capBusBEmp2Req</t>
  </si>
  <si>
    <t>capBusAEmp2Utiliz</t>
  </si>
  <si>
    <t>obalBusBEmp2</t>
  </si>
  <si>
    <t>obalBusAEmp3</t>
  </si>
  <si>
    <t>obalBusBEmp3</t>
  </si>
  <si>
    <t>cbalTotalSalesGrowthY2</t>
  </si>
  <si>
    <t>cbalTotalSalesGrowthY3</t>
  </si>
  <si>
    <t>cbalTotalSalesGrowthY4</t>
  </si>
  <si>
    <t>cbalTotalCIPctRevY1</t>
  </si>
  <si>
    <t>cbalTotalCIPctRevY2</t>
  </si>
  <si>
    <t>cbalTotalCIPctRevY3</t>
  </si>
  <si>
    <t>cbalTotalCIPctRevY4</t>
  </si>
  <si>
    <t>cbalEmpEngagementY1</t>
  </si>
  <si>
    <t>cbalEmpEngagementY2</t>
  </si>
  <si>
    <t>Resource Changes</t>
  </si>
  <si>
    <t>Suggested Change</t>
  </si>
  <si>
    <t>Actual Change</t>
  </si>
  <si>
    <t>Excel 2000</t>
  </si>
  <si>
    <t>R&amp;emove Page Breaks</t>
  </si>
  <si>
    <t>&amp;Zoom 100%</t>
  </si>
  <si>
    <t>BPO COST Of SALES</t>
  </si>
  <si>
    <t>Enterprise Utilization Y3</t>
  </si>
  <si>
    <t>Enterprise Utilization Y4</t>
  </si>
  <si>
    <t>cbalTotalRevY1</t>
  </si>
  <si>
    <t>cbalTotalRevY2</t>
  </si>
  <si>
    <t>cbalTotalRevY3</t>
  </si>
  <si>
    <t>capBusBV2H3BusDevWAvgSalesOutputRank</t>
  </si>
  <si>
    <t>Solutions</t>
  </si>
  <si>
    <t>SI Sr. Exec.</t>
  </si>
  <si>
    <t>SI &amp; T Mgr.</t>
  </si>
  <si>
    <t>cbalEmpEngagementY3</t>
  </si>
  <si>
    <t>cbalEmpEngagementY4</t>
  </si>
  <si>
    <t>cbalTotalAttritionY1</t>
  </si>
  <si>
    <t>cbalTotalAttritionY2</t>
  </si>
  <si>
    <t>cbalTotalAttritionY3</t>
  </si>
  <si>
    <t>PopUP6</t>
  </si>
  <si>
    <t>PopUP7</t>
  </si>
  <si>
    <t>PopUP8</t>
  </si>
  <si>
    <t>PopUP9</t>
  </si>
  <si>
    <t>PopUP10</t>
  </si>
  <si>
    <t>PopUp1</t>
  </si>
  <si>
    <t>PopUp2</t>
  </si>
  <si>
    <t>PopUp3</t>
  </si>
  <si>
    <t>PopUp4</t>
  </si>
  <si>
    <t>PopUp5</t>
  </si>
  <si>
    <t>PopUp6</t>
  </si>
  <si>
    <t>PopUp7</t>
  </si>
  <si>
    <t>PopUp8</t>
  </si>
  <si>
    <t>PopUp9</t>
  </si>
  <si>
    <t>PopUp10</t>
  </si>
  <si>
    <t>xxPopupWobblerCurrentY4</t>
  </si>
  <si>
    <t>Start</t>
  </si>
  <si>
    <t>xxPopupWobblerStartY1</t>
  </si>
  <si>
    <t>xxPopupWobblerStartY2</t>
  </si>
  <si>
    <t>PopUP3</t>
  </si>
  <si>
    <t>PopUP4</t>
  </si>
  <si>
    <t>PopUP5</t>
  </si>
  <si>
    <t>A.  Apologize to your channel partners once again and offer to pay for missed ads and commit yourself to fixing the problem for good.  Once the design team has finished their work, you move to re-launch the new feature through the planned channels.</t>
  </si>
  <si>
    <t>Menu 1</t>
  </si>
  <si>
    <t>Menu2</t>
  </si>
  <si>
    <t>&amp;BA1-MiniMasterSimulation</t>
  </si>
  <si>
    <t>&amp;Sim Tools</t>
  </si>
  <si>
    <t>Import &amp;Final Decisions</t>
  </si>
  <si>
    <t>decBusAEmp2HrsSalesV3</t>
  </si>
  <si>
    <t>decBusAEmp3HrsSalesV3</t>
  </si>
  <si>
    <t>decBusAEmp4HrsSalesV3</t>
  </si>
  <si>
    <t>decBusAEmp1HrsSalesV2</t>
  </si>
  <si>
    <t>decBusAEmp1HrsSalesV3</t>
  </si>
  <si>
    <t>Operating Expense/ Margin</t>
  </si>
  <si>
    <t>Program Owner</t>
  </si>
  <si>
    <t>paramSpecProgPursuitEfficiencyH3</t>
  </si>
  <si>
    <t>Special Programs Pursuit Efficiency - Offering A</t>
  </si>
  <si>
    <t>Special Programs Pursuit Efficiency - Offering B</t>
  </si>
  <si>
    <r>
      <t>·</t>
    </r>
    <r>
      <rPr>
        <sz val="7"/>
        <rFont val="Times New Roman"/>
        <family val="1"/>
      </rPr>
      <t xml:space="preserve">        </t>
    </r>
    <r>
      <rPr>
        <sz val="14"/>
        <rFont val="Arial"/>
        <family val="2"/>
      </rPr>
      <t>Copy one tool for each team into this folder.</t>
    </r>
  </si>
  <si>
    <t>paramSpecProgPursuitEfficiencyV2</t>
  </si>
  <si>
    <t>paramSpecProgPursuitEfficiencyV3</t>
  </si>
  <si>
    <t xml:space="preserve">Attrition Rate  </t>
  </si>
  <si>
    <t>capEmp1BusAV1Alloc</t>
  </si>
  <si>
    <t>capEmp1BusAV2Alloc</t>
  </si>
  <si>
    <t>capEmp1BusAV3Alloc</t>
  </si>
  <si>
    <t>Practice 1 Consulting Hrs. Solutions WF Slary Expense</t>
  </si>
  <si>
    <t>Practice 2 Consulting Hrs. Solutions WF Slary Expense</t>
  </si>
  <si>
    <t>finPNLBusBV2Emp3OpsImproveExp</t>
  </si>
  <si>
    <t>finPNLBusBV2Emp4OpsImproveExp</t>
  </si>
  <si>
    <t>Increase (+) / Decrease (-)</t>
  </si>
  <si>
    <t>Headcount by this %</t>
  </si>
  <si>
    <t>finPNLBusAV3BusDevTimeExp</t>
  </si>
  <si>
    <t>finPNLBusAV1CompDevTimeExp</t>
  </si>
  <si>
    <t>Wobbler 4</t>
  </si>
  <si>
    <t>decWobbler1</t>
  </si>
  <si>
    <t>decWobbler2</t>
  </si>
  <si>
    <t>decWobbler3</t>
  </si>
  <si>
    <t>decWobbler4</t>
  </si>
  <si>
    <t>SP1</t>
  </si>
  <si>
    <t>SP2</t>
  </si>
  <si>
    <t>SP3</t>
  </si>
  <si>
    <t>SP4</t>
  </si>
  <si>
    <t>SP5</t>
  </si>
  <si>
    <t>WB1</t>
  </si>
  <si>
    <t>WB2</t>
  </si>
  <si>
    <t>WB3</t>
  </si>
  <si>
    <t>WB4</t>
  </si>
  <si>
    <t>xxMMProd6Driver1</t>
  </si>
  <si>
    <t>obalTotalCIPctRevY3</t>
  </si>
  <si>
    <t>obalTotalCIPctRevY4</t>
  </si>
  <si>
    <t>obalEmpEngagementY1</t>
  </si>
  <si>
    <t>obalEmpEngagementY2</t>
  </si>
  <si>
    <t>Staffing Profile</t>
  </si>
  <si>
    <t>decBusAStaffProfMC1</t>
  </si>
  <si>
    <t>decBusAStaffProfMC2</t>
  </si>
  <si>
    <t>decBusAStaffProfMC3</t>
  </si>
  <si>
    <t>decBusAStaffProfSIT1</t>
  </si>
  <si>
    <t>decBusAStaffProfSIT2</t>
  </si>
  <si>
    <t>decBusAStaffProfSIT3</t>
  </si>
  <si>
    <t>decBusASalesMC1</t>
  </si>
  <si>
    <t>decBusASalesMC2</t>
  </si>
  <si>
    <t>decBusASalesMC3</t>
  </si>
  <si>
    <t>total</t>
  </si>
  <si>
    <t>Y2 V2 H1</t>
  </si>
  <si>
    <t>Y2 V2 H2</t>
  </si>
  <si>
    <t>Y2 V2 H3</t>
  </si>
  <si>
    <t>Y2 V3 H1</t>
  </si>
  <si>
    <t>Chargeability</t>
  </si>
  <si>
    <t>capBusAOverallConsChargeablitiy</t>
  </si>
  <si>
    <t>capBusBY1V1H1OpsSavings</t>
  </si>
  <si>
    <t>capBusBY1V1H2OpsSavings</t>
  </si>
  <si>
    <t>decBusAEmp3HrsSalesV2</t>
  </si>
  <si>
    <t>decBusAEmp4HrsSalesV2</t>
  </si>
  <si>
    <t>6 month/ annual Review -  Document Code</t>
  </si>
  <si>
    <t>Document Code</t>
  </si>
  <si>
    <t>Get New Hire</t>
  </si>
  <si>
    <t>?</t>
  </si>
  <si>
    <t>Plant Invest(-)</t>
  </si>
  <si>
    <t>Number of</t>
  </si>
  <si>
    <r>
      <t>o</t>
    </r>
    <r>
      <rPr>
        <sz val="7"/>
        <rFont val="Times New Roman"/>
        <family val="1"/>
      </rPr>
      <t xml:space="preserve">       </t>
    </r>
    <r>
      <rPr>
        <sz val="14"/>
        <rFont val="Arial"/>
        <family val="2"/>
      </rPr>
      <t>You will be asked the following questions; answer with the following responses:</t>
    </r>
  </si>
  <si>
    <r>
      <t>§</t>
    </r>
    <r>
      <rPr>
        <sz val="7"/>
        <rFont val="Times New Roman"/>
        <family val="1"/>
      </rPr>
      <t xml:space="preserve">        </t>
    </r>
    <r>
      <rPr>
        <sz val="14"/>
        <rFont val="Arial"/>
        <family val="2"/>
      </rPr>
      <t>“Do you want to create a tool?”: OK</t>
    </r>
  </si>
  <si>
    <t>Attrition Y3</t>
  </si>
  <si>
    <t>Attrition Y4</t>
  </si>
  <si>
    <t>Total In-Year Score Y1</t>
  </si>
  <si>
    <t>Total In-Year Score Y2</t>
  </si>
  <si>
    <t>Total In-Year Score Y3</t>
  </si>
  <si>
    <t>Total In-Year Score Y4</t>
  </si>
  <si>
    <t>Consulting Revenue Y1</t>
  </si>
  <si>
    <t>Consulting Revenue Y2</t>
  </si>
  <si>
    <t>Consulting Revenue Y3</t>
  </si>
  <si>
    <t>Consulting Revenue Y4</t>
  </si>
  <si>
    <t>DataPageEmp2TrainEffectOnProductivity</t>
  </si>
  <si>
    <t>capBusACurrProjV1Emp5Output</t>
  </si>
  <si>
    <t>capBusACurrProjV2Emp5Output</t>
  </si>
  <si>
    <r>
      <t xml:space="preserve">From Manual Adjustments </t>
    </r>
    <r>
      <rPr>
        <b/>
        <sz val="8"/>
        <rFont val="Arial"/>
        <family val="2"/>
      </rPr>
      <t>(do not write over)</t>
    </r>
  </si>
  <si>
    <t>cbalY1V2H1BidRev</t>
  </si>
  <si>
    <t>cbalY1V2H2BidRev</t>
  </si>
  <si>
    <t>cbalY1V2H3BidRev</t>
  </si>
  <si>
    <t>capY2V3H1COS</t>
  </si>
  <si>
    <t>capY2V3H2COS</t>
  </si>
  <si>
    <t>decBusAEmp8HrsSales</t>
  </si>
  <si>
    <t>decBusAEmp8HrsSalesV2</t>
  </si>
  <si>
    <t>Consulting WF</t>
  </si>
  <si>
    <t>Load</t>
  </si>
  <si>
    <t xml:space="preserve">     Training Expense</t>
  </si>
  <si>
    <t>Salary Expense Non-Sales Support</t>
  </si>
  <si>
    <t>capEmp6HrsRequired</t>
  </si>
  <si>
    <t>finEmp6SalesSupportExp</t>
  </si>
  <si>
    <t>Enterprise Sales Support</t>
  </si>
  <si>
    <t>Training Hours Guidance</t>
  </si>
  <si>
    <t>DataPageTrainingTargetEmp4</t>
  </si>
  <si>
    <t>DataPageTrainingTargetEmp1</t>
  </si>
  <si>
    <t>DataPageTrainingTargetEmp2</t>
  </si>
  <si>
    <t>paramProd4MatCostPUnitPFtr1Level</t>
  </si>
  <si>
    <t>paramProd4MatCostPUnit</t>
  </si>
  <si>
    <t>paramProd4MatPctOfProduction</t>
  </si>
  <si>
    <t>Outsourcing Productivity Gains Y2</t>
  </si>
  <si>
    <t>cbalEmp1Salary</t>
  </si>
  <si>
    <t>cbalEmp2Salary</t>
  </si>
  <si>
    <t>cbalEmp3Salary</t>
  </si>
  <si>
    <t>cbalEmp4Salary</t>
  </si>
  <si>
    <t>obalEmp1Salary</t>
  </si>
  <si>
    <t>obalEmp2Salary</t>
  </si>
  <si>
    <t>obalEmp3Salary</t>
  </si>
  <si>
    <t>obalEmp4Salary</t>
  </si>
  <si>
    <t>Parters</t>
  </si>
  <si>
    <t>decCompDevBusAV1</t>
  </si>
  <si>
    <t>decCompDevBusAV2</t>
  </si>
  <si>
    <t>decCompDevBusAV3</t>
  </si>
  <si>
    <t>paramSpecProgProd6Sales</t>
  </si>
  <si>
    <t>You have just received a memorandum from the Senior Management Team: Sasha, your Sales Manager, is being relocated to another division and new location, but will fulfill her duties in her current role until the end of this year. While you are happy about her career advancement, you are also aware that you are losing one of your top performers, and that you must choose a suitable replacement. You currently have three choices:</t>
  </si>
  <si>
    <t>Client cost market model driver is looking at the customer cost. It should reference K 14,17, 20, 25, 28, 31, 36, 39, . This should actually be labelled Customer savings</t>
  </si>
  <si>
    <r>
      <t>o</t>
    </r>
    <r>
      <rPr>
        <sz val="7"/>
        <rFont val="Times New Roman"/>
        <family val="1"/>
      </rPr>
      <t xml:space="preserve">       </t>
    </r>
    <r>
      <rPr>
        <sz val="14"/>
        <rFont val="Arial"/>
        <family val="2"/>
      </rPr>
      <t>When the simulation has advanced to Round 1, a dialogue box will appear to confirm ‘New Year Created.’</t>
    </r>
  </si>
  <si>
    <r>
      <t>·</t>
    </r>
    <r>
      <rPr>
        <sz val="7"/>
        <rFont val="Times New Roman"/>
        <family val="1"/>
      </rPr>
      <t xml:space="preserve">        </t>
    </r>
    <r>
      <rPr>
        <sz val="14"/>
        <rFont val="Arial"/>
        <family val="2"/>
      </rPr>
      <t>Setting the Export/Import Drive Destination</t>
    </r>
  </si>
  <si>
    <t>Y2 V3 H2</t>
  </si>
  <si>
    <t>Y2 V3 H3</t>
  </si>
  <si>
    <t>A. An executive search firm hired by Corporate HR has identified a qualified prospect named Sarah from outside of GECo.  She has over five years of sales experience with a competitor and comes highly recommended by the HR team.  An obviously strong candidate, you recognize that some of your time will be required to educate her on the values, mission and culture of GECo.</t>
  </si>
  <si>
    <t xml:space="preserve">Partner </t>
  </si>
  <si>
    <t xml:space="preserve">Manager </t>
  </si>
  <si>
    <t xml:space="preserve">Consltant </t>
  </si>
  <si>
    <t xml:space="preserve">Soln. WF </t>
  </si>
  <si>
    <t>Horizantal 1</t>
  </si>
  <si>
    <t>Horizantal 2</t>
  </si>
  <si>
    <t>Horizantal 3</t>
  </si>
  <si>
    <t>Vertical 1 Development</t>
  </si>
  <si>
    <t>Vertical 2 Development</t>
  </si>
  <si>
    <t>Vertical 3 Development</t>
  </si>
  <si>
    <t>decV1H1Dev</t>
  </si>
  <si>
    <t>decV1H2Dev</t>
  </si>
  <si>
    <t>decV1H3Dev</t>
  </si>
  <si>
    <t>decV2H1Dev</t>
  </si>
  <si>
    <t>decV2H2Dev</t>
  </si>
  <si>
    <t>decV3H1Dev</t>
  </si>
  <si>
    <t>decV3H2Dev</t>
  </si>
  <si>
    <t>decV3H3Dev</t>
  </si>
  <si>
    <t>decV2H3Dev</t>
  </si>
  <si>
    <t>decEmp4BusAHire</t>
  </si>
  <si>
    <t>decEmp3BusAHire</t>
  </si>
  <si>
    <t>decEmp2BusAHire</t>
  </si>
  <si>
    <t>decEmp1BusAHire</t>
  </si>
  <si>
    <t>decEmp4BusBHire</t>
  </si>
  <si>
    <t>decEmp3BusBHire</t>
  </si>
  <si>
    <t>xxMMProd4Driver1</t>
  </si>
  <si>
    <t>xxMMProd4Driver2</t>
  </si>
  <si>
    <t>xxMMProd4Driver3</t>
  </si>
  <si>
    <t>bidProd4Seg2BidWon</t>
  </si>
  <si>
    <t>capY1V1H2COSRealized</t>
  </si>
  <si>
    <t>capY1V1H3COSRealized</t>
  </si>
  <si>
    <t>capY1V2H1COSRealized</t>
  </si>
  <si>
    <t>Price Bid 3</t>
  </si>
  <si>
    <t>Price Bid 4</t>
  </si>
  <si>
    <t>Price Bid 5</t>
  </si>
  <si>
    <t>Price Bid 6</t>
  </si>
  <si>
    <t>Price Bid 7</t>
  </si>
  <si>
    <t>Price Bid 8</t>
  </si>
  <si>
    <t>capBusAEmp7CompDevTtlHrReq</t>
  </si>
  <si>
    <t>capBusAEmp8CompDevTtlHrReq</t>
  </si>
  <si>
    <t>A new top of the line feature has been added to LOB 2.  This feature is set to revolutionize the market for these products and has been positioned as leading the market for cutting edge technology performance from GECo.  However, GECo has had some major difficulties leading to the product being recalled three times for various quality reasons.  This is serious since this feature represents a significant investment in time and money for GECo and the continued problems threaten to tarnish the GECo brand.  Maria comes to you with three options of how she should proceed after this third recall.</t>
  </si>
  <si>
    <t>capBusACurrProjV3HrsReq</t>
  </si>
  <si>
    <t>capBusACurrProjV1PctStaffed</t>
  </si>
  <si>
    <t xml:space="preserve">Training budget shows 0 on the P&amp;L for all years. </t>
  </si>
  <si>
    <t>P&amp;L</t>
  </si>
  <si>
    <t>cbalOtherLTLiab</t>
  </si>
  <si>
    <t>cbalTotalHeadCount</t>
  </si>
  <si>
    <t>obalTotalHeadCount</t>
  </si>
  <si>
    <t>Importing New Balances into Tool</t>
  </si>
  <si>
    <t>Table of Contents</t>
  </si>
  <si>
    <t>Overall BPO Utilization</t>
  </si>
  <si>
    <t>cbalBusAOverallConsUtil</t>
  </si>
  <si>
    <t>cbalBusAOverallSolnWFUtil</t>
  </si>
  <si>
    <t>cbalBusBOverallConsUtil</t>
  </si>
  <si>
    <t>cbalBusBOverallSolnWFUtil</t>
  </si>
  <si>
    <t>obalBusAOverallConsUtil</t>
  </si>
  <si>
    <t>obalBusAOverallSolnWFUtil</t>
  </si>
  <si>
    <t xml:space="preserve">Training Hrs. / Employee </t>
  </si>
  <si>
    <t>&amp;Print Analysis</t>
  </si>
  <si>
    <t>Print &amp;Annuals</t>
  </si>
  <si>
    <t>Export &amp;Balances</t>
  </si>
  <si>
    <t>&amp;Open Feedback File</t>
  </si>
  <si>
    <t>MC Headcount</t>
  </si>
  <si>
    <t>capBusAEmp9BaseExp</t>
  </si>
  <si>
    <t>capEmp9Exp</t>
  </si>
  <si>
    <t>capEmp9BusARecDismExp</t>
  </si>
  <si>
    <t>capEmp9RecDismExp</t>
  </si>
  <si>
    <t>capEmp9BusAAdminExp</t>
  </si>
  <si>
    <t>capEmp9AdminExp</t>
  </si>
  <si>
    <t>capEmp9BusAV1Alloc</t>
  </si>
  <si>
    <t>capEmp9BusAV2Alloc</t>
  </si>
  <si>
    <t>capEmp9BusAV3Alloc</t>
  </si>
  <si>
    <t>Dec page columns E - I</t>
  </si>
  <si>
    <t>CWO</t>
  </si>
  <si>
    <t>relabeled consulting manual adjustments to be by Practice instead of by Offering</t>
  </si>
  <si>
    <t>ManualAdjustments D8:D10 D15:D17</t>
  </si>
  <si>
    <t>hid global service lines staffing as part of engagement staffing</t>
  </si>
  <si>
    <t>repaired EE slide: source data was missing training cancellation and was graphing salary as datapoints instead of charting it</t>
  </si>
  <si>
    <t>feedbacks.xls, slide fb1234EmpEngagement linking to feedback rows 629:639</t>
  </si>
  <si>
    <t>Not sure why this happened; we didn't get the updated feedbacks.xls; maybe that was it?</t>
  </si>
  <si>
    <t>reduce impact of training budget on EE</t>
  </si>
  <si>
    <t>keep having to open and close the hood because the menus keep going away.</t>
  </si>
  <si>
    <t>Get mkt shares to be more sticky, representing prior year market shares</t>
  </si>
  <si>
    <t>Team 4 had wobblers - remove or include current wobblers into the simulation</t>
  </si>
  <si>
    <t>Change order of Print Market Model in sim menu</t>
  </si>
  <si>
    <t>SWO: New Note: this occurred again for us in Y2.  Had to manually type over the budget numbers.  The teams may have addressed this themselves in Y3, not sure.</t>
  </si>
  <si>
    <t>Training Budget Delta keeps driving ESAT of 0.  SEE NEW NOTE TO RIGHT</t>
  </si>
  <si>
    <t>bidProd4Seg4BidPrice</t>
  </si>
  <si>
    <t>1. MMprod 2, 3, 4 is not showing the client savings at the top. Should be column K, 14, 17, 20, 25, 28, 31, 36, 39, 41</t>
  </si>
  <si>
    <t>MMProd 2, 3, 4</t>
  </si>
  <si>
    <t>Team 4 entered bids for 2a, 2b, 2c, 3a on the Biz B page but the last two showed false on the market model report</t>
  </si>
  <si>
    <t>Still red zeros on B Biz page in year 3, on lower left</t>
  </si>
  <si>
    <t>B Biz page</t>
  </si>
  <si>
    <t>paramProd2MachHrsReqPUnit</t>
  </si>
  <si>
    <t>paramProd2Emp1Req</t>
  </si>
  <si>
    <t>Outsourcing Solutions WF Base Expense</t>
  </si>
  <si>
    <t>capBusAEmp1BaseExp</t>
  </si>
  <si>
    <t>capBusBEmp1BaseExp</t>
  </si>
  <si>
    <t>Consulting Solutions WF Expense Allocation</t>
  </si>
  <si>
    <t>xxDecXDataImport</t>
  </si>
  <si>
    <t>Overall Time Demand</t>
  </si>
  <si>
    <t>cbalEmp2CumTrainingHrs</t>
  </si>
  <si>
    <t>cbalEmp3CumTrainingHrs</t>
  </si>
  <si>
    <t>cbalEmp4CumTrainingHrs</t>
  </si>
  <si>
    <t>Outsourcing Utilization - Consultant</t>
  </si>
  <si>
    <t xml:space="preserve"> Labor &amp; Plant costs @ 100% BREAK OUT COGSPUNIT on Cap page</t>
  </si>
  <si>
    <t>Not required</t>
  </si>
  <si>
    <t>? No</t>
  </si>
  <si>
    <t>GST/UIGroup</t>
  </si>
  <si>
    <t>decBusAEmp7HrsCurrProj</t>
  </si>
  <si>
    <t>decBusAEmp7HrsCurrProjV2</t>
  </si>
  <si>
    <t>decBusAEmp7HrsCurrProjV3</t>
  </si>
  <si>
    <t>LKR: NDR and I walked through the functions of the equations and it looks sound.  Please keep a close eye on specifically the Ent WF group to ensure they don't exceed their hiring decisions (in fact, make one team really low in their recruit dec…like 2 people).</t>
  </si>
  <si>
    <t>cbal62:65</t>
  </si>
  <si>
    <t>LKR: the decision cell (toolpeople, row 105) is designed to clear out when new year balances are imported, so if they didn't change it from zero in the new year, it will remain as such when exporting.</t>
  </si>
  <si>
    <t>Looks fine; moved correctly</t>
  </si>
  <si>
    <t>I reset the sim propoerly to Yr 1, and we'll eventually work on the total reset functionality (or a new developer will for the future)</t>
  </si>
  <si>
    <t>Didn't look like it was done, but I changed it to say 'Practice A' etc. for the consulting section.</t>
  </si>
  <si>
    <t>Finished, removed about 40% of the height</t>
  </si>
  <si>
    <t>Moved it up…works well.</t>
  </si>
  <si>
    <t>finBusBV3BusDevTimeExp</t>
  </si>
  <si>
    <t>finPNLBusBV3H1GlobalSalaryExp</t>
  </si>
  <si>
    <t>DataTableQualityCostReduceFromTraining</t>
  </si>
  <si>
    <t>Total Ops Improvement Hours Effect on Quality Cost</t>
  </si>
  <si>
    <t>Ops Improvement</t>
  </si>
  <si>
    <t>Consulting Utilization - Consultant</t>
  </si>
  <si>
    <t>Consulting Utilization - Soln WF</t>
  </si>
  <si>
    <t>Internal Name</t>
  </si>
  <si>
    <t>Forecasted Enterprise WF Hours Needed - Train All</t>
  </si>
  <si>
    <t>Future Training Hours</t>
  </si>
  <si>
    <r>
      <t>o</t>
    </r>
    <r>
      <rPr>
        <sz val="7"/>
        <rFont val="Times New Roman"/>
        <family val="1"/>
      </rPr>
      <t xml:space="preserve">       </t>
    </r>
    <r>
      <rPr>
        <sz val="14"/>
        <rFont val="Arial"/>
        <family val="2"/>
      </rPr>
      <t>Note: Employee Retention is only a minor adjustment that will not have a lasting effect on attrition.  Adjustments made this round will not help reduce attrition next round.</t>
    </r>
  </si>
  <si>
    <t>STEP 8</t>
  </si>
  <si>
    <t>Create the Feedback Presentation</t>
  </si>
  <si>
    <t>Decision Summary</t>
  </si>
  <si>
    <t>Tool Utilities</t>
  </si>
  <si>
    <t>paramSpecProgProd5Sales</t>
  </si>
  <si>
    <t>Consulting Revenue</t>
  </si>
  <si>
    <t>Total Current Revenue</t>
  </si>
  <si>
    <t>obalBusATotalCurrentRev</t>
  </si>
  <si>
    <t>cbalBusATotalCurrentRev</t>
  </si>
  <si>
    <t>obalBusAV1Y1Rev</t>
  </si>
  <si>
    <t>obalBusAV2Y1Rev</t>
  </si>
  <si>
    <t>obalBusAV3Y1Rev</t>
  </si>
  <si>
    <t>obalBusAV1Y2Rev</t>
  </si>
  <si>
    <t>obalBusAV2Y2Rev</t>
  </si>
  <si>
    <t>obalBusAV3Y2Rev</t>
  </si>
  <si>
    <t>obalBusAV1Y3Rev</t>
  </si>
  <si>
    <t>Manager to Consultant Ratio</t>
  </si>
  <si>
    <t>Driver 8</t>
  </si>
  <si>
    <t>Driver 9</t>
  </si>
  <si>
    <t>Low Priority - don't think it loks good</t>
  </si>
  <si>
    <t>Use Dialog boxes for Path names/  Import Decsion not to reset path until end/ Import Balances so that it ends with Hood Closed and No-Dialogue Box</t>
  </si>
  <si>
    <t>Memory Stick Import/ No Path reset/ Import from menu</t>
  </si>
  <si>
    <t>Work Output of Allocated Hrs for Current Projects V1</t>
  </si>
  <si>
    <t>Work Output of Allocated Hrs for Current Projects V2</t>
  </si>
  <si>
    <t>paramEmp3BusAHrsReqPerCompDevLevel</t>
  </si>
  <si>
    <t>paramEmp3BusBHrsReqPerCompDevLevel</t>
  </si>
  <si>
    <t>paramEmp4BusAHrsReqPerCompDevLevel</t>
  </si>
  <si>
    <t>paramProd5FixedAdmin</t>
  </si>
  <si>
    <t>paramProd5OtherCost</t>
  </si>
  <si>
    <t>paramProd6CycTimeDays</t>
  </si>
  <si>
    <t>paramProd6MatCostPUnitPFtr1Level</t>
  </si>
  <si>
    <t>paramProd6MachHrsReqPUnit</t>
  </si>
  <si>
    <t>paramProd6Emp1Req</t>
  </si>
  <si>
    <t>bidProd4Seg4BidWon</t>
  </si>
  <si>
    <t>bidProd4Seg1BidWon</t>
  </si>
  <si>
    <t>Decision Type</t>
  </si>
  <si>
    <t>Locked Color</t>
  </si>
  <si>
    <t>UnLocked Color</t>
  </si>
  <si>
    <t>xxobalTeam1</t>
  </si>
  <si>
    <t>Regional Setting :</t>
  </si>
  <si>
    <t>capEmp2BusBV1Alloc</t>
  </si>
  <si>
    <t>capEmp2BusBV2Alloc</t>
  </si>
  <si>
    <t>capEmp2BusBV3Alloc</t>
  </si>
  <si>
    <t>capEmp2BusAV3Exp</t>
  </si>
  <si>
    <t>capEmp2BusANonBillExp</t>
  </si>
  <si>
    <t>capEmp2BusBV1Exp</t>
  </si>
  <si>
    <t>Parameter Look-Up</t>
  </si>
  <si>
    <t>Program Effects</t>
  </si>
  <si>
    <t>Not Selected</t>
  </si>
  <si>
    <t>1st Year</t>
  </si>
  <si>
    <t>2nd Year</t>
  </si>
  <si>
    <t>3rd Year</t>
  </si>
  <si>
    <t>4th Year</t>
  </si>
  <si>
    <t>Years in Effect</t>
  </si>
  <si>
    <t>Key Metrics</t>
  </si>
  <si>
    <t>obalAssetsValue</t>
  </si>
  <si>
    <t>cbalAssetsValue</t>
  </si>
  <si>
    <t>xxDecErrorRange</t>
  </si>
  <si>
    <t>capEmp2Req</t>
  </si>
  <si>
    <t>capBusAEmp2BaseExp</t>
  </si>
  <si>
    <t>capBusBV3Emp4CompDevTtlHrReq</t>
  </si>
  <si>
    <t>decProd1Units</t>
  </si>
  <si>
    <t>The customer is pleased by your quick response.  By stepping in and contacting the customer directly, you have set a precedent and the customer begins to call you every time even a small issue pops up, reducing the time you have available for other duties.</t>
  </si>
  <si>
    <t>Sensitivity Analysis</t>
  </si>
  <si>
    <t>50% Compl</t>
  </si>
  <si>
    <t>Quick Sim Stress Test</t>
  </si>
  <si>
    <t>Common Stock Par Value</t>
  </si>
  <si>
    <t>paramCStockParValue</t>
  </si>
  <si>
    <t>MARKET SHARE AND INDEX ADJUSTMENTS</t>
  </si>
  <si>
    <t>cbalY3V3H2COSRealized</t>
  </si>
  <si>
    <t>capEmp2BusACompDevExp</t>
  </si>
  <si>
    <t>paramEmp5Exp</t>
  </si>
  <si>
    <t>paramEmp5RecDismCost</t>
  </si>
  <si>
    <t>paramEmp5AdminCostPct</t>
  </si>
  <si>
    <t>paramEmp5OTRate</t>
  </si>
  <si>
    <t>paramEmp5HoursPYear</t>
  </si>
  <si>
    <t>paramEmp6AttRate</t>
  </si>
  <si>
    <t>paramEmp6Exp</t>
  </si>
  <si>
    <t>BPO</t>
  </si>
  <si>
    <t>Consulting</t>
  </si>
  <si>
    <t>Total Billable Hours</t>
  </si>
  <si>
    <t>capEmp4BusAV2Alloc</t>
  </si>
  <si>
    <t>capEmp4BusAV3Alloc</t>
  </si>
  <si>
    <t>Programs</t>
  </si>
  <si>
    <t>Number</t>
  </si>
  <si>
    <t>Parameter</t>
  </si>
  <si>
    <t>Program 6</t>
  </si>
  <si>
    <t>Program 7</t>
  </si>
  <si>
    <t>finPNLBusBV2Rev</t>
  </si>
  <si>
    <t>finPNLBusBV2COSExp</t>
  </si>
  <si>
    <t>finPNLBusBV2GrossMargin</t>
  </si>
  <si>
    <t>finBusBV2Emp2BusDevTimeExp</t>
  </si>
  <si>
    <t>capEmp9BusACompDevExp</t>
  </si>
  <si>
    <t>capEmp9BusAGeneralTrainingExp</t>
  </si>
  <si>
    <t>capEmp9BusAInitHrsExp</t>
  </si>
  <si>
    <t>Data Page for mmdriver values and new driver input; mmProd2,3,4 for market model report formatting</t>
  </si>
  <si>
    <t>tooBusinessA pyramids for deliveries and for BD teams</t>
  </si>
  <si>
    <t>The pyramids are really tall; they can be reduced to half their height. EMAILED NDR FOR APPROVAL.</t>
  </si>
  <si>
    <t>Data Page starting row 479</t>
  </si>
  <si>
    <t>Special Programs Expense Outsourcing V1</t>
  </si>
  <si>
    <t>paramSpecProgBusBV1Exp</t>
  </si>
  <si>
    <t>Consulting Consultant Expense Allocation</t>
  </si>
  <si>
    <t>finPNLBusBV1Rev</t>
  </si>
  <si>
    <t>finPNLBusBV1GrossMargin</t>
  </si>
  <si>
    <t>finPNLBusBV1COSExp</t>
  </si>
  <si>
    <t>xxMMProd3Seg3Units</t>
  </si>
  <si>
    <t>xxMMProd3Seg4Units</t>
  </si>
  <si>
    <t>xxMMProd3Seg5Units</t>
  </si>
  <si>
    <t>Market Model Prod3 Drivers</t>
  </si>
  <si>
    <t>xxMMProd3Driver1</t>
  </si>
  <si>
    <t>xxMMProd3Driver2</t>
  </si>
  <si>
    <t>xxMMProd3Driver3</t>
  </si>
  <si>
    <t>xxMMProd3Driver4</t>
  </si>
  <si>
    <t>xxMMProd3Driver5</t>
  </si>
  <si>
    <t>xxMMProd3Driver6</t>
  </si>
  <si>
    <t>Diamond</t>
  </si>
  <si>
    <t>Top Heavy</t>
  </si>
  <si>
    <t>Guideline</t>
  </si>
  <si>
    <t>Bottom Heavy</t>
  </si>
  <si>
    <t>Base</t>
  </si>
  <si>
    <t>Error Check</t>
  </si>
  <si>
    <t>obalOutsourcingCCIPctofRevenueY3</t>
  </si>
  <si>
    <t>obalOutsourcingCCIPctofRevenueY4</t>
  </si>
  <si>
    <t>Special Programs Expense Product 5</t>
  </si>
  <si>
    <t>Prod1Seg5</t>
  </si>
  <si>
    <t>Prod2Seg2</t>
  </si>
  <si>
    <t>Prod2Seg3</t>
  </si>
  <si>
    <t>Prod2Seg4</t>
  </si>
  <si>
    <t>By User Interface</t>
  </si>
  <si>
    <t>User Interface group</t>
  </si>
  <si>
    <t>Y1 Reduction</t>
  </si>
  <si>
    <t>Print Team 3 Annual Report</t>
  </si>
  <si>
    <t>Print Team 4 Annual Report</t>
  </si>
  <si>
    <t>Print Team 5 Annual Report</t>
  </si>
  <si>
    <t>cbalTotalAttritionY4</t>
  </si>
  <si>
    <t>cbalTotalInYearScoreY1</t>
  </si>
  <si>
    <t>cbalTotalInYearScoreY2</t>
  </si>
  <si>
    <t>cbalTotalInYearScoreY3</t>
  </si>
  <si>
    <t>cbalTotalInYearScoreY4</t>
  </si>
  <si>
    <t>cbalConsultingRevenueY1</t>
  </si>
  <si>
    <t>cbalConsultingRevenueY2</t>
  </si>
  <si>
    <t>cbalConsultingRevenueY3</t>
  </si>
  <si>
    <t>cbalConsultingRevenueY4</t>
  </si>
  <si>
    <t>cbalConsultingSalesGrowthY1</t>
  </si>
  <si>
    <t>cbalConsultingSalesGrowthY2</t>
  </si>
  <si>
    <t>cbalConsultingSalesGrowthY3</t>
  </si>
  <si>
    <t>cbalConsultingSalesGrowthY4</t>
  </si>
  <si>
    <t>cbalConsultingRevPctofTotalRevY1</t>
  </si>
  <si>
    <t>cbalConsultingRevPctofTotalRevY2</t>
  </si>
  <si>
    <t>cbalConsultingRevPctofTotalRevY3</t>
  </si>
  <si>
    <t>obalY3V1H2BidWon</t>
  </si>
  <si>
    <t>obalY3V1H3BidWon</t>
  </si>
  <si>
    <t>obalY3V2H1BidWon</t>
  </si>
  <si>
    <t>obalY3V2H2BidWon</t>
  </si>
  <si>
    <t>obalY3V2H3BidWon</t>
  </si>
  <si>
    <t>Cost of Quality</t>
  </si>
  <si>
    <t>paramBusAQualityCostPctCOS</t>
  </si>
  <si>
    <t>Consulting Cost of Quality % of COS</t>
  </si>
  <si>
    <t xml:space="preserve">General Outsourcing </t>
  </si>
  <si>
    <t>Excel 2002</t>
  </si>
  <si>
    <t>Excel XP</t>
  </si>
  <si>
    <t>Excel 2003</t>
  </si>
  <si>
    <t xml:space="preserve"> There is often a struggle to balance bonus or compensation increases with profitability. In terms of slowing attrition and improving employee engagement, paying out additional money is often a short term fix. Once a pay out has been made, there is a temporary improvement in employee engagement followed by a return to the previous level. Margins suffer somewhat.</t>
  </si>
  <si>
    <t>capEmp8BusAGeneralTrainingAlloc</t>
  </si>
  <si>
    <t>capEmp8BusAInitHrsAlloc</t>
  </si>
  <si>
    <t>capEmp8BusANonBillAlloc</t>
  </si>
  <si>
    <t>capEmp8BusAV1Exp</t>
  </si>
  <si>
    <t>capEmp8BusAV2Exp</t>
  </si>
  <si>
    <t>% of Total Revenue</t>
  </si>
  <si>
    <t>finPNLBusBV2Emp4GeneralTrainingExp</t>
  </si>
  <si>
    <t>finPNLBusBV2GeneralTrainingExp</t>
  </si>
  <si>
    <t>finPNLBusBV2Emp1UnallocTimeExp</t>
  </si>
  <si>
    <t>finPNLBusBV2Emp2UnallocTimeExp</t>
  </si>
  <si>
    <t>finPNLBusBV2Emp3UnallocTimeExp</t>
  </si>
  <si>
    <t>finPNLBusBV2Emp4UnallocTimeExp</t>
  </si>
  <si>
    <t>obalBusBEmp2Recruited</t>
  </si>
  <si>
    <t>obalBusAEmp3Recruited</t>
  </si>
  <si>
    <t>cbalBusBEmp1</t>
  </si>
  <si>
    <t>capBusAEmp1End</t>
  </si>
  <si>
    <t>capBusBEmp1End</t>
  </si>
  <si>
    <t>Product 5 Segment 8</t>
  </si>
  <si>
    <t>DataNameProd5Seg6</t>
  </si>
  <si>
    <t>DataNameProd5Seg7</t>
  </si>
  <si>
    <t>DataNameProd5Seg8</t>
  </si>
  <si>
    <t>xxMMProd5Seg6Units</t>
  </si>
  <si>
    <t>xxMMProd5Seg7Units</t>
  </si>
  <si>
    <t>Operations Improvement Salary Expense</t>
  </si>
  <si>
    <t>finPNLBusAV3GeneralTrainingExp</t>
  </si>
  <si>
    <t>finPNLBusBV3Emp1UnallocTimeExp</t>
  </si>
  <si>
    <t xml:space="preserve">     Total Competency Development</t>
  </si>
  <si>
    <t xml:space="preserve">   Recruiting/Dismissal Costs</t>
  </si>
  <si>
    <t xml:space="preserve">   Enterprise Expense Allocation</t>
  </si>
  <si>
    <t xml:space="preserve">B.  After the three failures, you determine that continued investment of time and money in this feature is not worth it and you decide to discontinue its rollout.  The product engineering team moves on to developing the next feature, this time thoroughly testing it before launching it. </t>
  </si>
  <si>
    <t>Revenue</t>
  </si>
  <si>
    <t>decBusAEmp4HrsCurrProjV2</t>
  </si>
  <si>
    <t>decBusAEmp4HrsCurrProjV3</t>
  </si>
  <si>
    <t>decBusAEmp3HrsCurrProjV2</t>
  </si>
  <si>
    <t>decBusAEmp3HrsCurrProjV3</t>
  </si>
  <si>
    <t>decBusAEmp2HrsCurrProjV2</t>
  </si>
  <si>
    <t>decBusAEmp2HrsCurrProjV3</t>
  </si>
  <si>
    <t>decBusAEmp1HrsCurrProjV2</t>
  </si>
  <si>
    <t>obalBusACompDev</t>
  </si>
  <si>
    <t>cbalBusACompDev</t>
  </si>
  <si>
    <t>Comp Development - Consulting</t>
  </si>
  <si>
    <t>Market Growth</t>
  </si>
  <si>
    <t>Economy</t>
  </si>
  <si>
    <t>Forecasted Growth Rates</t>
  </si>
  <si>
    <t>Actual Growth Rates</t>
  </si>
  <si>
    <t>finPNLBusAV2Emp9CompDevTimeExp</t>
  </si>
  <si>
    <t>finPNLBusAV2Emp8CompDevTimeExp</t>
  </si>
  <si>
    <t>finPNLBusAV2Emp7CompDevTimeExp</t>
  </si>
  <si>
    <t>finPNLBusAV3Emp9CompDevTimeExp</t>
  </si>
  <si>
    <t>finPNLBusAEmp9GeneralTrainingExp</t>
  </si>
  <si>
    <t>finPNLBusAEmp8GeneralTrainingExp</t>
  </si>
  <si>
    <t>finPNLBusAEmp7GeneralTrainingExp</t>
  </si>
  <si>
    <t>finPNLBusAEmp9recdismExp</t>
  </si>
  <si>
    <t>finPNLBusAEmp8recdismExp</t>
  </si>
  <si>
    <t>finPNLBusAEmp7recdismExp</t>
  </si>
  <si>
    <t>Out V3</t>
  </si>
  <si>
    <t>associated with #40 below, I used that new exported value as the mkt driver too…but still, if it's not greater than 10%, no share will be awarded anyway…they're totally out of the market at that point.</t>
  </si>
  <si>
    <t>checked the code and it seems to written correctly…I added one more thing just to make sure, so please check in testing.</t>
  </si>
  <si>
    <t>not sure why it appears…but to make sure, I totally deleted the code referring to those ranges.</t>
  </si>
  <si>
    <t>capBusACurrProjV3Emp9Output</t>
  </si>
  <si>
    <t>Forecast Growth P1</t>
  </si>
  <si>
    <t>Forecast Growth P2</t>
  </si>
  <si>
    <t>Forecast Growth P3</t>
  </si>
  <si>
    <t>decProd1Growth</t>
  </si>
  <si>
    <t>decProd1V2Growth</t>
  </si>
  <si>
    <t>decProd1V3Growth</t>
  </si>
  <si>
    <t xml:space="preserve">B. You call a meeting with the client and apologize for the missteps. In order to recover the value lost, you agree to complete a small piece of work for free that would typically cost $7M. This program will help the client recover the value lost and save the relationship. </t>
  </si>
  <si>
    <t xml:space="preserve">The client is pleased that you have agreed to complete work for at your own cost. The other original piece of work eventually gets back on track and the new one is successful as well. The immediate problem has been resolved but the only at the cost of diminished margins and chargeability. You have also opened a door in the clients mind to the idea that if they complain, they may be able to get work for free.  </t>
  </si>
  <si>
    <t>Need to research/ need to determine</t>
  </si>
  <si>
    <t>Add a couple But is sim specific</t>
  </si>
  <si>
    <t>Total Revenue Growth Y4</t>
  </si>
  <si>
    <t>CI % of Revenue Y1</t>
  </si>
  <si>
    <t>CI % of Revenue Y2</t>
  </si>
  <si>
    <t>CI % of Revenue Y3</t>
  </si>
  <si>
    <t>CI % of Revenue Y4</t>
  </si>
  <si>
    <t>Emp. Engagement Y1</t>
  </si>
  <si>
    <t>Emp. Engagement Y2</t>
  </si>
  <si>
    <t>Emp. Engagement Y3</t>
  </si>
  <si>
    <t>Emp. Engagement Y4</t>
  </si>
  <si>
    <t>Attrition Y1</t>
  </si>
  <si>
    <t>Attrition Y2</t>
  </si>
  <si>
    <t>paramProd1CycTimeDays</t>
  </si>
  <si>
    <r>
      <t xml:space="preserve">Notes, emailed with LKR on Oct 4.  LKR fixed, but I don't have a sim with the fix?  His notes: </t>
    </r>
    <r>
      <rPr>
        <sz val="8"/>
        <color indexed="48"/>
        <rFont val="Arial"/>
        <family val="2"/>
      </rPr>
      <t>Ok, I added a min statement to the cbal page for the Enterprise WF.  I could only find one hiring decision related to this resource category so I used that as the limiting factor.</t>
    </r>
    <r>
      <rPr>
        <sz val="8"/>
        <rFont val="Arial"/>
        <family val="2"/>
      </rPr>
      <t xml:space="preserve">
</t>
    </r>
  </si>
  <si>
    <t>Needs to import with either last year's decisions or the recommended amount, but is currently importing as 0, thus forcing ESAT to be 0 because it's a factor in the ultimate product that equals ESAT.</t>
  </si>
  <si>
    <t>toolPeople tab, row 105</t>
  </si>
  <si>
    <t>Add data from cap411 to the data chunk in feedback631:640.  We may need to have the SI impact reduced or increased in order to have it appear to be of a scale with the other drivers, but I don't know.</t>
  </si>
  <si>
    <t>Add strategic initiative EE impact to feedback charting data</t>
  </si>
  <si>
    <r>
      <t>·</t>
    </r>
    <r>
      <rPr>
        <sz val="7"/>
        <rFont val="Times New Roman"/>
        <family val="1"/>
      </rPr>
      <t xml:space="preserve">        </t>
    </r>
    <r>
      <rPr>
        <sz val="14"/>
        <rFont val="Arial"/>
        <family val="2"/>
      </rPr>
      <t>Open a new Yr 0 Simulation (in every case, enable macros when prompted)</t>
    </r>
  </si>
  <si>
    <t>capEmp2BusAV3Alloc</t>
  </si>
  <si>
    <t>I think that all weights can stay the same in the MM and we could just look at the client value number instead of the price number. This means that instead of referencing Dec E126 - I134 it would look at the Tool Business B, K 14,17,20,25, 28, 31, 36, 39, 42</t>
  </si>
  <si>
    <t>NDR</t>
  </si>
  <si>
    <t>2008April1</t>
  </si>
  <si>
    <t xml:space="preserve">I update the impacts per the wobbler document descriptions. </t>
  </si>
  <si>
    <t>Total Attrition</t>
  </si>
  <si>
    <t>capTotalAttrition</t>
  </si>
  <si>
    <t xml:space="preserve">     Offering/Practice Development</t>
  </si>
  <si>
    <t>capEmp4BusBRecDismExp</t>
  </si>
  <si>
    <t>capEmp4BusAAdminExp</t>
  </si>
  <si>
    <t>capEmp4BusBAdminExp</t>
  </si>
  <si>
    <t>FORECAST CALCULATION</t>
  </si>
  <si>
    <t>xxPopupWobblerTitle</t>
  </si>
  <si>
    <t>xxPopupWobblerDescription</t>
  </si>
  <si>
    <t>xxPopupWobblerOption1Text</t>
  </si>
  <si>
    <t>finPNLBusBV2UnallocTimeExp</t>
  </si>
  <si>
    <t>Team Names</t>
  </si>
  <si>
    <t>decTeamNumber</t>
  </si>
  <si>
    <t>decTeamName</t>
  </si>
  <si>
    <t>decProd1Price</t>
  </si>
  <si>
    <t>decProd1Adv</t>
  </si>
  <si>
    <t>obalCashValue</t>
  </si>
  <si>
    <t>obalARValue</t>
  </si>
  <si>
    <t>cbalY2V3H2BidWon</t>
  </si>
  <si>
    <t>cbalY2V3H3BidWon</t>
  </si>
  <si>
    <t>cbalY3V1H1BidWon</t>
  </si>
  <si>
    <t>cbalY3V1H2BidWon</t>
  </si>
  <si>
    <t>cbalY3V1H3BidWon</t>
  </si>
  <si>
    <t>capBusBY2V1H3OpsSavings</t>
  </si>
  <si>
    <t>capBusBY2V2H1OpsSavings</t>
  </si>
  <si>
    <t>capBusBY2V2H2OpsSavings</t>
  </si>
  <si>
    <t>capBusBY2V2H3OpsSavings</t>
  </si>
  <si>
    <t>capBusBY2V3H1OpsSavings</t>
  </si>
  <si>
    <t>capBusBY2V3H2OpsSavings</t>
  </si>
  <si>
    <t>capBusBY2V3H3OpsSavings</t>
  </si>
  <si>
    <t>capBusBY3V1H1OpsSavings</t>
  </si>
  <si>
    <t>capBusBV1Emp3CompDevTtlHrReq</t>
  </si>
  <si>
    <t>capBusBV1Emp4CompDevTtlHrReq</t>
  </si>
  <si>
    <t>capBusBV2Emp1CompDevTtlHrReq</t>
  </si>
  <si>
    <t>capBusBV2Emp2CompDevTtlHrReq</t>
  </si>
  <si>
    <t>capBusBV2Emp3CompDevTtlHrReq</t>
  </si>
  <si>
    <t>capBusBV2Emp4CompDevTtlHrReq</t>
  </si>
  <si>
    <t>capEmp2BusBGeneralTrainingAlloc</t>
  </si>
  <si>
    <t>obalV3Competency</t>
  </si>
  <si>
    <t>obalH1Competency</t>
  </si>
  <si>
    <t>obalH2Competency</t>
  </si>
  <si>
    <t>Enterprise Utilization Y1</t>
  </si>
  <si>
    <t>Enterprise Utilization Y2</t>
  </si>
  <si>
    <t>Year 2 Dollarized Cost Savings</t>
  </si>
  <si>
    <t>Year 3 Dollarized Cost Savings</t>
  </si>
  <si>
    <t>Total (In Year)</t>
  </si>
  <si>
    <t>capBusBY1OpsSavings</t>
  </si>
  <si>
    <t>capEmp3BusBCompDevAllocExp</t>
  </si>
  <si>
    <t>Practice 3 Manager Allocation - Sales</t>
  </si>
  <si>
    <t>Total CI</t>
  </si>
  <si>
    <t>obalTotalCI</t>
  </si>
  <si>
    <t>cbalTotalCI</t>
  </si>
  <si>
    <t>capEmp3BusAV3Exp</t>
  </si>
  <si>
    <t>capBusACurrProjV3Emp2Output</t>
  </si>
  <si>
    <t>capBusACurrProjV3Emp3Output</t>
  </si>
  <si>
    <t>capBusACurrProjV3Emp4Output</t>
  </si>
  <si>
    <t>capBusACurrProjV1HrsReq</t>
  </si>
  <si>
    <t>In year 2 the Red zeros are back on theBiz B page: I 53-57</t>
  </si>
  <si>
    <t>Tool Biz B, I 53:57</t>
  </si>
  <si>
    <t>People page</t>
  </si>
  <si>
    <t xml:space="preserve"> Resets for Non-payroll Budget: row 108 should reset to row 110. Currently looking at row 80 I believe. This is correct in year 1 but not in year 2. </t>
  </si>
  <si>
    <t>Set hiring plan (Row 64, 73, 82) decisions to 0. It is doing this for year 1 but not for year 2.</t>
  </si>
  <si>
    <t xml:space="preserve">Tool People page: </t>
  </si>
  <si>
    <t xml:space="preserve">when I increase the non payroll training budget M108, Enterprise usage next year (E90) increases. Why would this increase when $ per head increases.  </t>
  </si>
  <si>
    <t>Lock cells in rows 19, 22, etc. I can write over the formulas</t>
  </si>
  <si>
    <t>Tool Biz a page</t>
  </si>
  <si>
    <t>Tool Biz B</t>
  </si>
  <si>
    <t>Adjusting the Market Allocations</t>
  </si>
  <si>
    <r>
      <t>·</t>
    </r>
    <r>
      <rPr>
        <sz val="7"/>
        <rFont val="Times New Roman"/>
        <family val="1"/>
      </rPr>
      <t xml:space="preserve">        </t>
    </r>
    <r>
      <rPr>
        <sz val="14"/>
        <rFont val="Arial"/>
        <family val="2"/>
      </rPr>
      <t>Adjustments to each segment’s market share and customer satisfaction indices can be made.</t>
    </r>
  </si>
  <si>
    <t>Hood Closed?</t>
  </si>
  <si>
    <t>capEmp1AdminExp</t>
  </si>
  <si>
    <t>capEmp1Exp</t>
  </si>
  <si>
    <t>ROA Avg Assets</t>
  </si>
  <si>
    <t>Asset Turnover (Avg Assets)</t>
  </si>
  <si>
    <t>Marketing</t>
  </si>
  <si>
    <t>CCI</t>
  </si>
  <si>
    <t>Contract Controllable Income</t>
  </si>
  <si>
    <t>% of Revenue</t>
  </si>
  <si>
    <t>paramProd3MachHrsReqPUnit</t>
  </si>
  <si>
    <t>paramProd3Emp1Req</t>
  </si>
  <si>
    <t>paramProd3InventoryHndlgPct</t>
  </si>
  <si>
    <t>paramProd3DistCostPUnit</t>
  </si>
  <si>
    <t>capBusBY1V3H3OpsSavings</t>
  </si>
  <si>
    <t>capBusBY2V1H1OpsSavings</t>
  </si>
  <si>
    <t>Program 5</t>
  </si>
  <si>
    <t>Controls</t>
  </si>
  <si>
    <t>Sim0Tool1</t>
  </si>
  <si>
    <t>cbalY1V2H1COS</t>
  </si>
  <si>
    <t>cbalY1V2H2COS</t>
  </si>
  <si>
    <t>cbalY1V2H3COS</t>
  </si>
  <si>
    <t>paramEmp4BusBGenOpsPctCostReducPerHr</t>
  </si>
  <si>
    <t>Sum Total</t>
  </si>
  <si>
    <t>capBusBGenOpsPctCostReduce</t>
  </si>
  <si>
    <t>Work Intensity Multiplier</t>
  </si>
  <si>
    <t>Current Projects % Staffed</t>
  </si>
  <si>
    <t>Total Forecasted Projects Hrs. Required</t>
  </si>
  <si>
    <t>Overall % Staffed</t>
  </si>
  <si>
    <t>finPNLBusBEntSvcsV2ExpAlloc</t>
  </si>
  <si>
    <t>finPNLBusBEntSvcsV3ExpAlloc</t>
  </si>
  <si>
    <t>Enterprise WF Expenses (Pre-Allocation)</t>
  </si>
  <si>
    <t>EmployeAdminExpense</t>
  </si>
  <si>
    <t>Recruit/DismisallExpense</t>
  </si>
  <si>
    <t>FixedAdminExpense</t>
  </si>
  <si>
    <t>capEmp7BusAGeneralTrainingExp</t>
  </si>
  <si>
    <t>capEmp7BusAInitHrsExp</t>
  </si>
  <si>
    <t>capEmp7BusANonBillExp</t>
  </si>
  <si>
    <t>SI &amp; T Sr. Exec.</t>
  </si>
  <si>
    <t>finPNLBusAV1Emp2SalaryExp</t>
  </si>
  <si>
    <t>finPNLBusAV1Emp3SalaryExp</t>
  </si>
  <si>
    <t>Print Team 1 Annual Report</t>
  </si>
  <si>
    <t>Print Team 2 Annual Report</t>
  </si>
  <si>
    <t>BPO H1 % Cost reduc. Per Horizontal Level</t>
  </si>
  <si>
    <t>BPO H2 % Cost reduc. Per Horizontal Level</t>
  </si>
  <si>
    <t>BPO H3 % Cost reduc. Per Horizontal Level</t>
  </si>
  <si>
    <t>paramH1PctCostReducPerHCompLvl</t>
  </si>
  <si>
    <t>Outsourcing Competency Development</t>
  </si>
  <si>
    <t>paramEmp2BusAHrsReqPerCompDevLevel</t>
  </si>
  <si>
    <t>paramEmp2BusBHrsReqPerCompDevLevel</t>
  </si>
  <si>
    <t>paramSpecProgPursuitEfficiencyH2</t>
  </si>
  <si>
    <t>There are no easy choices when it comes to product quality issues.  This option is attractive to avoid incurring the excess and unnecessary costs of redesigning the product.  However, by giving up on this new feature, GECo has most likely taken itself out of a necessary market segment.  The image of GECo producing the cutting edge products to market is damaged.</t>
  </si>
  <si>
    <t>listDataSpecProgsTempRows</t>
  </si>
  <si>
    <t>listDataSpecProgsTemp</t>
  </si>
  <si>
    <t>listDataSpecProgsNames</t>
  </si>
  <si>
    <t>paramEmp8OTRate</t>
  </si>
  <si>
    <t>finPNLBusBV2FixedAdminExp</t>
  </si>
  <si>
    <t>finPNLBusBV3Rev</t>
  </si>
  <si>
    <t>finPNLBusBV3COSExp</t>
  </si>
  <si>
    <t>finPNLBusBV3GrossMargin</t>
  </si>
  <si>
    <t>finBusBV3Emp2BusDevTimeExp</t>
  </si>
  <si>
    <t>finBusBV3Emp3BusDevTimeExp</t>
  </si>
  <si>
    <t>finBusBV3Emp4BusDevTimeExp</t>
  </si>
  <si>
    <t>capBusBOverallConsUtil</t>
  </si>
  <si>
    <t>Total "Consultant" Hire</t>
  </si>
  <si>
    <t>Enterprise WF Hire</t>
  </si>
  <si>
    <t>decEntWFHire</t>
  </si>
  <si>
    <t>Lookup Table for Pop-Up Popup Wobbler in the Tool</t>
  </si>
  <si>
    <t>One minute =</t>
  </si>
  <si>
    <t>xxPopupWobblerNumber</t>
  </si>
  <si>
    <t>xxPopupWobblerSlotNumber</t>
  </si>
  <si>
    <t>Gain of Output From Forecasted Hires</t>
  </si>
  <si>
    <t>Total Allocated Output Current Yr</t>
  </si>
  <si>
    <t>capBusATotalForecastPctStaffed</t>
  </si>
  <si>
    <r>
      <t>o</t>
    </r>
    <r>
      <rPr>
        <sz val="7"/>
        <rFont val="Times New Roman"/>
        <family val="1"/>
      </rPr>
      <t xml:space="preserve">       </t>
    </r>
    <r>
      <rPr>
        <sz val="14"/>
        <rFont val="Arial"/>
        <family val="2"/>
      </rPr>
      <t>The simulation will copy closing balances from the current round and paste these values into the opening balances for the next round.  Then the simulation round counter is advanced by one.</t>
    </r>
  </si>
  <si>
    <t>xxMMProd5Units</t>
  </si>
  <si>
    <t>Load % of Salary (ALL EMPLOYEES)</t>
  </si>
  <si>
    <t>Load % Salary</t>
  </si>
  <si>
    <t>Recruit/Dismissal</t>
  </si>
  <si>
    <t>Cost of Quality % of COS (ALL ToW)</t>
  </si>
  <si>
    <t>Outsourcing Base COS</t>
  </si>
  <si>
    <t>Outsourcing Base COS (Absolute $ Adjustment)</t>
  </si>
  <si>
    <t>finPNLBusBV3GeneralTrainingBudgetExpense</t>
  </si>
  <si>
    <t>finPNLBusATotalGeneralTrainingBudgetExpense</t>
  </si>
  <si>
    <t>finPNLBusAV1TotalGeneralTrainingBudgetExpense</t>
  </si>
  <si>
    <t>Forecasted Enterprise WF Usage Next Year</t>
  </si>
  <si>
    <t>Ongoing Contracts Revenue</t>
  </si>
  <si>
    <t>capEmp6ForecastUtil</t>
  </si>
  <si>
    <t>Attrition</t>
  </si>
  <si>
    <t>Practice 2 Sr. Executive Allocation - Current Projects</t>
  </si>
  <si>
    <t>finPNLNetIncome</t>
  </si>
  <si>
    <t>Depreciation Expense</t>
  </si>
  <si>
    <t>obalTotalAttritionY1</t>
  </si>
  <si>
    <t>obalTotalAttritionY2</t>
  </si>
  <si>
    <t>obalTotalAttritionY3</t>
  </si>
  <si>
    <t>The Decision Rounds</t>
  </si>
  <si>
    <t>cbalBusBV3ControllableIncome</t>
  </si>
  <si>
    <t>obalBusBV1ControllableIncome</t>
  </si>
  <si>
    <t>Expertise</t>
  </si>
  <si>
    <t>Recruiting</t>
  </si>
  <si>
    <t>cbalH1Competency</t>
  </si>
  <si>
    <t>cbalH2Competency</t>
  </si>
  <si>
    <t>cbalH3Competency</t>
  </si>
  <si>
    <t>obalV1Competency</t>
  </si>
  <si>
    <t>obalV2Competency</t>
  </si>
  <si>
    <t>Forecasted % Staffed of Expected Engagements Next Yr.</t>
  </si>
  <si>
    <t>Add Manual Adjustment Pages</t>
  </si>
  <si>
    <t>Discuss w/ TEAM - which way to do market model best, vs South Africa</t>
  </si>
  <si>
    <t>Set stnd Dev % of Mean  - Price sensitivity graph Fredrik</t>
  </si>
  <si>
    <t>Add Simple Methods</t>
  </si>
  <si>
    <t>Add more Charts</t>
  </si>
  <si>
    <t>finPNLBusAV1Emp1CompDevTimeExp</t>
  </si>
  <si>
    <t>finPNLBusAV1Emp2CompDevTimeExp</t>
  </si>
  <si>
    <t>finPNLBusAV1Emp3CompDevTimeExp</t>
  </si>
  <si>
    <t>obalEmp6GeneralTrainingHrsCompleted</t>
  </si>
  <si>
    <t>obalTotalGeneralTrainingHrsCompleted</t>
  </si>
  <si>
    <t>Total Training Hours Pulled Out</t>
  </si>
  <si>
    <t>obalGeneralTrainingHrsPullOut</t>
  </si>
  <si>
    <t>cbalGeneralTrainingHrsPullOut</t>
  </si>
  <si>
    <t>Total Dismissals</t>
  </si>
  <si>
    <t>GoTotoolCompDev</t>
  </si>
  <si>
    <t>capEmp2GeneralTrainingHrsAvailNextYr</t>
  </si>
  <si>
    <t>Draft Work area</t>
  </si>
  <si>
    <t>SWO</t>
  </si>
  <si>
    <t>Adding Ent WF</t>
  </si>
  <si>
    <t>Impact of training</t>
  </si>
  <si>
    <t>DataPageEmp6TotalTrainingEffectOnTimeDemand</t>
  </si>
  <si>
    <t>Exporting Team Decisions from the Tool</t>
  </si>
  <si>
    <t>cbalEmp3TrainingBudgetDelta</t>
  </si>
  <si>
    <t>cbalEmp4TrainingBudgetDelta</t>
  </si>
  <si>
    <t>cbalEmp6TrainingBudgetDelta</t>
  </si>
  <si>
    <t>cbalAvgTrainingBudgetDelta</t>
  </si>
  <si>
    <t>obalAvgTrainingBudgetDelta</t>
  </si>
  <si>
    <t>Non-Payroll Budget</t>
  </si>
  <si>
    <t xml:space="preserve"> ($000s)</t>
  </si>
  <si>
    <t>Non Payroll Budget</t>
  </si>
  <si>
    <t>T1: ACN</t>
  </si>
  <si>
    <t>xxcbalNewYearCopy</t>
  </si>
  <si>
    <t>Y2 V1 H2</t>
  </si>
  <si>
    <t>Y2 V1 H3</t>
  </si>
  <si>
    <t>cbalBusBEmp4Recruited</t>
  </si>
  <si>
    <t>cbalEmp6Recruited</t>
  </si>
  <si>
    <t>Ending</t>
  </si>
  <si>
    <t>obalBusAEmp1Recruited</t>
  </si>
  <si>
    <t>obalBusBEmp1Recruited</t>
  </si>
  <si>
    <t>obalBusAEmp2Recruited</t>
  </si>
  <si>
    <t>capEmp3BusBInitHrsAlloc</t>
  </si>
  <si>
    <t>Fixed Assets</t>
  </si>
  <si>
    <t>Total Equipment</t>
  </si>
  <si>
    <t>Other Fixed Assets</t>
  </si>
  <si>
    <t>Total Fixed Assets</t>
  </si>
  <si>
    <t>Other Long-Term Liabilities</t>
  </si>
  <si>
    <t>TOTAL LIABILITIES</t>
  </si>
  <si>
    <t>Consulting Credit Days</t>
  </si>
  <si>
    <t>paramBusACreditDays</t>
  </si>
  <si>
    <t>finPNLBusAV1ModCCI</t>
  </si>
  <si>
    <t>finPNLBusAV2ModCCI</t>
  </si>
  <si>
    <t>finPNLBusAV3ModCCI</t>
  </si>
  <si>
    <t>finPNLBusATotalModCCI</t>
  </si>
  <si>
    <t>Modified CCI</t>
  </si>
  <si>
    <t>OutSourcing CCI</t>
  </si>
  <si>
    <t>finPNLBusBV1ModGrossMargin</t>
  </si>
  <si>
    <t>finPNLBusBV2ModGrossMargin</t>
  </si>
  <si>
    <t>finPNLBusBV3ModGrossMargin</t>
  </si>
  <si>
    <t>capEmp3BusBNonBillAlloc</t>
  </si>
  <si>
    <t>decBid3Price</t>
  </si>
  <si>
    <t>decBid3Emp4HrsRFQ</t>
  </si>
  <si>
    <t>Adjustment from manual adjustment page</t>
  </si>
  <si>
    <t>People Adjustments</t>
  </si>
  <si>
    <t>capY3V3H3COSRealized</t>
  </si>
  <si>
    <t>FOR CBAL RECORDING</t>
  </si>
  <si>
    <t>FOR FINANCIALS</t>
  </si>
  <si>
    <t>capY2V3H1COSRealized</t>
  </si>
  <si>
    <t>capY2V3H2COSRealized</t>
  </si>
  <si>
    <t>capY2V3H3COSRealized</t>
  </si>
  <si>
    <t>capY3V1H1COSRealized</t>
  </si>
  <si>
    <t>capY3V1H2COSRealized</t>
  </si>
  <si>
    <t>4.3.2</t>
  </si>
  <si>
    <t>bidProd4Seg1BidPrice</t>
  </si>
  <si>
    <t>bidProd4Seg2BidPrice</t>
  </si>
  <si>
    <t>bidProd4Seg3BidPrice</t>
  </si>
  <si>
    <t>Total BC</t>
  </si>
  <si>
    <t>Total SI&amp;T</t>
  </si>
  <si>
    <t>Weighted Average Based on Hours Required, 1</t>
  </si>
  <si>
    <t>Weighted Average Based on Hours Required, 2</t>
  </si>
  <si>
    <t>Weighted Average Based on Hours Required, 3</t>
  </si>
  <si>
    <t>SWF %</t>
  </si>
  <si>
    <t>BC%</t>
  </si>
  <si>
    <t>SI&amp;T %</t>
  </si>
  <si>
    <t xml:space="preserve">Practice 1:  </t>
  </si>
  <si>
    <t xml:space="preserve">Practice 2:  </t>
  </si>
  <si>
    <t xml:space="preserve">Practice 3:  </t>
  </si>
  <si>
    <t>Ideal SWF Project 1</t>
  </si>
  <si>
    <t>cbalEmp1GeneralTrainingHrsCompleted</t>
  </si>
  <si>
    <t>xxMMProd3Driver7</t>
  </si>
  <si>
    <t>xxMMProd3Driver8</t>
  </si>
  <si>
    <t>xxMMProd3Driver9</t>
  </si>
  <si>
    <t>xxMMProd3Driver10</t>
  </si>
  <si>
    <t>MM Adjust: Abs. Share ? Change in Share</t>
  </si>
  <si>
    <t>finPNLBusAV1Emp9BusDevTimeExp</t>
  </si>
  <si>
    <t>finPNLBusAV1Emp8BusDevTimeExp</t>
  </si>
  <si>
    <t>finPNLBusAV1Emp7BusDevTimeExp</t>
  </si>
  <si>
    <t>finPNLBusAV2Emp9BusDevTimeExp</t>
  </si>
  <si>
    <t>finPNLBusAV2Emp8BusDevTimeExp</t>
  </si>
  <si>
    <t>finPNLBusAV2Emp7BusDevTimeExp</t>
  </si>
  <si>
    <t>finPNLBusAV3Emp9BusDevTimeExp</t>
  </si>
  <si>
    <t>finPNLBusAV3Emp8BusDevTimeExp</t>
  </si>
  <si>
    <t>obalEmp9Recruited</t>
  </si>
  <si>
    <t>SI &amp; T Consulting Workforce Reduction</t>
  </si>
  <si>
    <t>Mgmt Consulting Workforce Reduction</t>
  </si>
  <si>
    <t>Senior Manager/ Manager</t>
  </si>
  <si>
    <t xml:space="preserve"> Consultant/ Analyst</t>
  </si>
  <si>
    <t>SI &amp;T</t>
  </si>
  <si>
    <t>decEmp7BusADismiss</t>
  </si>
  <si>
    <t>decEmp8BusADismiss</t>
  </si>
  <si>
    <t>decEmp9BusADismiss</t>
  </si>
  <si>
    <t>obalBusAEmp7</t>
  </si>
  <si>
    <t>obalBusAEmp8</t>
  </si>
  <si>
    <t>Add Employee Ramp up</t>
  </si>
  <si>
    <t>Add Ramp up Parameter for each Employee</t>
  </si>
  <si>
    <t>Other Op Expense</t>
  </si>
  <si>
    <t>Value</t>
  </si>
  <si>
    <t>Emp1</t>
  </si>
  <si>
    <t>Effect</t>
  </si>
  <si>
    <t>paramSpecProgPursuitEfficiency</t>
  </si>
  <si>
    <t>Special Programs Pursuit Efficiency (All industries)</t>
  </si>
  <si>
    <t>Special Programs Pursuit Efficiency - Industry 1</t>
  </si>
  <si>
    <t>BPO Business Comp Dev Hours requirement - V3</t>
  </si>
  <si>
    <t>capBusBV3Emp1CompDevTtlHrReq</t>
  </si>
  <si>
    <t>obalBusBEmp3Recruited</t>
  </si>
  <si>
    <t>obalBusAEmp4Recruited</t>
  </si>
  <si>
    <t>obalBusBEmp4Recruited</t>
  </si>
  <si>
    <t>obalEmp6Recruited</t>
  </si>
  <si>
    <t>capBusAEmp2EndHrsAvailable</t>
  </si>
  <si>
    <t>capBusBEmp2EndHrsAvailable</t>
  </si>
  <si>
    <t>capEmp2BusAV1AllocSalesV1</t>
  </si>
  <si>
    <t>capEmp2BusAV1AllocSalesV2</t>
  </si>
  <si>
    <t>capEmp2BusAV1AllocSalesV3</t>
  </si>
  <si>
    <t>Special Programs Pursuit Efficiency - Industry 2</t>
  </si>
  <si>
    <t>Special Programs Pursuit Efficiency - Industry 3</t>
  </si>
  <si>
    <t>paramSpecProgPursuitEfficiencyV1</t>
  </si>
  <si>
    <t>capBusAV1H3Y3RevFromPullThru</t>
  </si>
  <si>
    <t>This is a tough situation but by championing the effort yourself, the improvement in the workplace environment is far greater than it would have been with any other choice.  You recognized that certain issues require focused attention and that making GECo a great place to work is one of them.</t>
  </si>
  <si>
    <t>CCI P1</t>
  </si>
  <si>
    <t>CCI P2</t>
  </si>
  <si>
    <t>CCI P3</t>
  </si>
  <si>
    <t>Practice 1 Solutions WF Allocation - Current Projects</t>
  </si>
  <si>
    <t>Practice 2 Solutions WF Allocation - Current Projects</t>
  </si>
  <si>
    <t>Practice 3 Solutions WF Allocation - Current Projects</t>
  </si>
  <si>
    <t>Practice 1 Solutions WF Allocation - Sales</t>
  </si>
  <si>
    <t>cbalPlant1Value</t>
  </si>
  <si>
    <t>cbalAPValue</t>
  </si>
  <si>
    <t>cbalOtherCurrLiabValue</t>
  </si>
  <si>
    <t>Overall Consulting Utilization</t>
  </si>
  <si>
    <t>paramProd1MatCostPUnitPFtr1Level</t>
  </si>
  <si>
    <t>paramProd1MatPctOfProduction</t>
  </si>
  <si>
    <t>Depreciation</t>
  </si>
  <si>
    <t>xxDecValuesPaste</t>
  </si>
  <si>
    <t>xxCommentRange</t>
  </si>
  <si>
    <t>x</t>
  </si>
  <si>
    <t>Add Comments</t>
  </si>
  <si>
    <t>SimCreateComments</t>
  </si>
  <si>
    <t>Delete Comments</t>
  </si>
  <si>
    <t>SimDeleteComments</t>
  </si>
  <si>
    <t>Market Share Consulting</t>
  </si>
  <si>
    <t>obalBusAV1MktShr</t>
  </si>
  <si>
    <t>obalBusAV2MktShr</t>
  </si>
  <si>
    <t>xxResetDecXFormulasCopy</t>
  </si>
  <si>
    <t>SG&amp;A</t>
  </si>
  <si>
    <t>Work Output of Allocated Hrs for Current Projects V3</t>
  </si>
  <si>
    <t>capBusACurrProjV1Emp1Output</t>
  </si>
  <si>
    <t>Prod3Seg5</t>
  </si>
  <si>
    <t>Prod3Seg1</t>
  </si>
  <si>
    <t>Year</t>
  </si>
  <si>
    <t>Market Growth Year 0</t>
  </si>
  <si>
    <t>Market Growth Year 1</t>
  </si>
  <si>
    <t>Market Growth Year 2</t>
  </si>
  <si>
    <t>capBusBEmp3End</t>
  </si>
  <si>
    <t>finPNLBusAV3UnallocTimeExp</t>
  </si>
  <si>
    <t>finPNLBusATtlEmpAdminExp</t>
  </si>
  <si>
    <t>finPNLBusAV1TtlAdminExp</t>
  </si>
  <si>
    <t>finPNLBusAV2TtlAdminExp</t>
  </si>
  <si>
    <t>finPNLBusAV3TtlAdminExp</t>
  </si>
  <si>
    <t>finPNLBusAV1Emp1BusDevTimeExp</t>
  </si>
  <si>
    <t>finPNLBusAV3Emp1BusDevTimeExp</t>
  </si>
  <si>
    <t>finPNLBusAV2Emp1BusDevTimeExp</t>
  </si>
  <si>
    <t>finPNLBusAV1Emp4BusDevTimeExp</t>
  </si>
  <si>
    <t>finPNLBusAV1Emp3BusDevTimeExp</t>
  </si>
  <si>
    <t>finPNLBusAV1Emp2BusDevTimeExp</t>
  </si>
  <si>
    <t>finPNLBusAV2Emp4BusDevTimeExp</t>
  </si>
  <si>
    <t>finPNLBusAV2Emp3BusDevTimeExp</t>
  </si>
  <si>
    <t>finPNLBusAV2Emp2BusDevTimeExp</t>
  </si>
  <si>
    <t>finPNLBusAV3Emp2BusDevTimeExp</t>
  </si>
  <si>
    <t>paramProd6MatCostPUnit</t>
  </si>
  <si>
    <r>
      <t>·</t>
    </r>
    <r>
      <rPr>
        <sz val="7"/>
        <rFont val="Times New Roman"/>
        <family val="1"/>
      </rPr>
      <t xml:space="preserve">        </t>
    </r>
    <r>
      <rPr>
        <sz val="14"/>
        <rFont val="Arial"/>
        <family val="2"/>
      </rPr>
      <t>Following the processing of each decision round, the Feedback presentation must be created.  The presentation format is MS PowerPoint, but the source of the charts is the Dealer_Feedbacks.xls file.</t>
    </r>
  </si>
  <si>
    <t>capY3V1H3COS</t>
  </si>
  <si>
    <t>capY3V2H1COS</t>
  </si>
  <si>
    <t>capY3V2H2COS</t>
  </si>
  <si>
    <t>capY3V2H3COS</t>
  </si>
  <si>
    <t>capY3V3H1COS</t>
  </si>
  <si>
    <t>capY3V3H2COS</t>
  </si>
  <si>
    <t>capY3V3H3COS</t>
  </si>
  <si>
    <t>paramSpecProgProd1Sales</t>
  </si>
  <si>
    <t>finPNLBusAEntSvcsV1ExpAlloc</t>
  </si>
  <si>
    <t>finPNLBusAEntSvcsV2ExpAlloc</t>
  </si>
  <si>
    <t>finPNLBusAEntSvcsV3ExpAlloc</t>
  </si>
  <si>
    <t>finPNLBusBEntSvcsV1ExpAlloc</t>
  </si>
  <si>
    <t>paramProd6InventoryHndlgPct</t>
  </si>
  <si>
    <t>paramProd6DistCostPUnit</t>
  </si>
  <si>
    <t>paramProd6FixedAdmin</t>
  </si>
  <si>
    <t>paramProd6OtherCost</t>
  </si>
  <si>
    <t>paramEmp4AttRate</t>
  </si>
  <si>
    <t>paramEmp4Exp</t>
  </si>
  <si>
    <t>paramEmp4RecDismCost</t>
  </si>
  <si>
    <t>paramEmp4AdminCostPct</t>
  </si>
  <si>
    <t>paramEmp4OTRate</t>
  </si>
  <si>
    <t>paramEmp4HoursPYear</t>
  </si>
  <si>
    <t>paramEmp5AttRate</t>
  </si>
  <si>
    <t>decBusAEmp4HrsSales</t>
  </si>
  <si>
    <t>decBusAEmp3HrsSales</t>
  </si>
  <si>
    <t>decBusAEmp2HrsSales</t>
  </si>
  <si>
    <t>decBusAEmp1HrsSales</t>
  </si>
  <si>
    <t>Managers</t>
  </si>
  <si>
    <t>Consultants</t>
  </si>
  <si>
    <t>Check for conditional formatting in this area; on highlighting it looks like there is still data in these cells from the Global Service Lines, which we no longer use.</t>
  </si>
  <si>
    <t>Red zeros appearing in grey unused area of Outsourcing page.</t>
  </si>
  <si>
    <t>paramEmp8LoadPctSalary</t>
  </si>
  <si>
    <t>paramEmp8CompMltplr</t>
  </si>
  <si>
    <t>cbalY1V3H1BidRev</t>
  </si>
  <si>
    <t>cbalY1V3H2BidRev</t>
  </si>
  <si>
    <t>cbalY1V3H3BidRev</t>
  </si>
  <si>
    <t>cbalY2V1H1BidRev</t>
  </si>
  <si>
    <t>capRandomVariable1</t>
  </si>
  <si>
    <t>capRandomVariable2</t>
  </si>
  <si>
    <t>capBusAOverallSITChargeablitiy</t>
  </si>
  <si>
    <t>finPNLBusBV2QualityCost</t>
  </si>
  <si>
    <t>Cost of Quality V3</t>
  </si>
  <si>
    <t>finPNLBusBV3QualityCost</t>
  </si>
  <si>
    <t>Cost Of Quality</t>
  </si>
  <si>
    <t>Y3 V1 H3</t>
  </si>
  <si>
    <t>Y3 V2 H1</t>
  </si>
  <si>
    <t>Y3 V2 H2</t>
  </si>
  <si>
    <t>Y3 V2 H3</t>
  </si>
  <si>
    <t>Y3 V3 H1</t>
  </si>
  <si>
    <t>capBusAV1ForecastHrs</t>
  </si>
  <si>
    <t>capBusAV2ForecastHrs</t>
  </si>
  <si>
    <t>paramEmp1BusBGenOpsPctCostReducPerHr</t>
  </si>
  <si>
    <t>paramEmp2BusBGenOpsPctCostReducPerHr</t>
  </si>
  <si>
    <t>paramEmp3BusBGenOpsPctCostReducPerHr</t>
  </si>
  <si>
    <r>
      <t>o</t>
    </r>
    <r>
      <rPr>
        <sz val="7"/>
        <rFont val="Times New Roman"/>
        <family val="1"/>
      </rPr>
      <t xml:space="preserve">       </t>
    </r>
    <r>
      <rPr>
        <sz val="14"/>
        <rFont val="Arial"/>
        <family val="2"/>
      </rPr>
      <t>When prompted, choose to ‘Enable Macros.’</t>
    </r>
  </si>
  <si>
    <t>Comments</t>
  </si>
  <si>
    <t>Emp6</t>
  </si>
  <si>
    <t>Emp7</t>
  </si>
  <si>
    <t>Emp8</t>
  </si>
  <si>
    <t>Emp9</t>
  </si>
  <si>
    <t>Emp10</t>
  </si>
  <si>
    <t>Prod1</t>
  </si>
  <si>
    <t>Prod2</t>
  </si>
  <si>
    <t>Prod3</t>
  </si>
  <si>
    <t>Prod4</t>
  </si>
  <si>
    <t>Prod5</t>
  </si>
  <si>
    <t>Prod6</t>
  </si>
  <si>
    <t>Employee 10</t>
  </si>
  <si>
    <t>Location</t>
  </si>
  <si>
    <t>Message</t>
  </si>
  <si>
    <t>Shareholders Equity</t>
  </si>
  <si>
    <t>Closing Balances</t>
  </si>
  <si>
    <t>Error Checking (non decision)</t>
  </si>
  <si>
    <t>COST REDUCTION MANUAL ADJUSTMENts</t>
  </si>
  <si>
    <t>Recruit/Dismissal % of Salary (ALL EMPLOYEES)</t>
  </si>
  <si>
    <t>paramProd3FixedAdmin</t>
  </si>
  <si>
    <t>paramProd3OtherCost</t>
  </si>
  <si>
    <t>paramProd4CycTimeDays</t>
  </si>
  <si>
    <t>Relocation!</t>
  </si>
  <si>
    <t>capBusAEmp4BaseExp</t>
  </si>
  <si>
    <t>capBusBEmp4BaseExp</t>
  </si>
  <si>
    <t>capEmp4BusAV1Alloc</t>
  </si>
  <si>
    <t>capY1V2H2COSRealized</t>
  </si>
  <si>
    <t>capY1V2H3COSRealized</t>
  </si>
  <si>
    <t>capY1V3H1COSRealized</t>
  </si>
  <si>
    <t>capY1V3H2COSRealized</t>
  </si>
  <si>
    <t>capY1V3H3COSRealized</t>
  </si>
  <si>
    <t>capY2V1H1COSRealized</t>
  </si>
  <si>
    <t>capY2V1H2COSRealized</t>
  </si>
  <si>
    <t>capY2V1H3COSRealized</t>
  </si>
  <si>
    <t>capY2V2H1COSRealized</t>
  </si>
  <si>
    <t>capY2V2H2COSRealized</t>
  </si>
  <si>
    <t>capY2V2H3COSRealized</t>
  </si>
  <si>
    <t>Ok, I see what I did before.  However, in order to have the Yr 1 balancing work, that means you'd need a default Ent WF hiring decision of 203.  If you want, I can just put that into the formula so if it's Yr1, it automatically hires 203.  Right now I changed their hiring decision to 203.</t>
  </si>
  <si>
    <t>paramTaxRate</t>
  </si>
  <si>
    <t>Begin Group</t>
  </si>
  <si>
    <t>SubMenuItems</t>
  </si>
  <si>
    <t>Sub Menu Item</t>
  </si>
  <si>
    <t>&amp;Intro</t>
  </si>
  <si>
    <t>GoToToolIntro</t>
  </si>
  <si>
    <t>Outsourcing Productivity Gains Y3</t>
  </si>
  <si>
    <t>Outsourcing Productivity Gains Y4</t>
  </si>
  <si>
    <t>Client Name</t>
  </si>
  <si>
    <t>Language Code</t>
  </si>
  <si>
    <t>Spanish</t>
  </si>
  <si>
    <t>Product Alpha Spanish</t>
  </si>
  <si>
    <t>Per Team</t>
  </si>
  <si>
    <t>xxMMProd5Driver6</t>
  </si>
  <si>
    <t>xxMMProd5Driver7</t>
  </si>
  <si>
    <t>xxMMProd5Driver8</t>
  </si>
  <si>
    <t>DataPageEmp3TrainEffectOnProductivity</t>
  </si>
  <si>
    <t>DataPageEmp4TrainEffectOnProductivity</t>
  </si>
  <si>
    <t>DataPageEmp6TrainEffectOnProductivity</t>
  </si>
  <si>
    <t>Simulation Developer</t>
  </si>
  <si>
    <t>xxMMProd2Seg5Units</t>
  </si>
  <si>
    <t>Market Model Prod2 Drivers</t>
  </si>
  <si>
    <t>xxMMProd2Driver1</t>
  </si>
  <si>
    <t>xxMMProd2Driver2</t>
  </si>
  <si>
    <t>xxMMProd2Driver3</t>
  </si>
  <si>
    <t>xxMMProd2Driver4</t>
  </si>
  <si>
    <t>xxMMProd2Driver5</t>
  </si>
  <si>
    <t>xxMMProd2Driver6</t>
  </si>
  <si>
    <t>capEmp2BusACompDevAlloc</t>
  </si>
  <si>
    <t>capEmp2BusAGeneralTrainingAlloc</t>
  </si>
  <si>
    <t>capEmp2BusBOpsImprovement</t>
  </si>
  <si>
    <t>Ideal SWF Project 2</t>
  </si>
  <si>
    <t>Ideal SWF Project 3</t>
  </si>
  <si>
    <t>Ideal BC Project 1</t>
  </si>
  <si>
    <t>capEmp9BusAV3SalesExp</t>
  </si>
  <si>
    <t>Because of the escalated tensions at the moment, the buyer is relieved by your decision to replace Sam.  However, your quick decision did not leave time for the new Sales Manager to get coaching and training from Sam on the history and background of the account.  The relationship with the customer improves temporarily but deteriorates in the future.</t>
  </si>
  <si>
    <t>decEmp4Training</t>
  </si>
  <si>
    <t>xxMMProd1Driver3</t>
  </si>
  <si>
    <t>xxMMProd1Driver4</t>
  </si>
  <si>
    <t>xxMMProd1Driver5</t>
  </si>
  <si>
    <t>Overall Utilization</t>
  </si>
  <si>
    <t>paramProd2InventoryHndlgPct</t>
  </si>
  <si>
    <t>paramProd2DistCostPUnit</t>
  </si>
  <si>
    <t>paramProd2FixedAdmin</t>
  </si>
  <si>
    <t>paramProd2OtherCost</t>
  </si>
  <si>
    <t>Total Expertise</t>
  </si>
  <si>
    <t>Training Budget Per Employee</t>
  </si>
  <si>
    <t>PrintMktAnalysisReport</t>
  </si>
  <si>
    <t>Utilization Effect on Productivity</t>
  </si>
  <si>
    <t>Inc(-)/dec(+) in Other Curr Liab</t>
  </si>
  <si>
    <t>obalBusAEmp2</t>
  </si>
  <si>
    <t>menuEngCount</t>
  </si>
  <si>
    <t>GoToNone</t>
  </si>
  <si>
    <t>Save Tool</t>
  </si>
  <si>
    <t>Export Decisions</t>
  </si>
  <si>
    <t>GoToToolBusinessA</t>
  </si>
  <si>
    <t>GotoToolPeople</t>
  </si>
  <si>
    <t>GotoToolEntSvcs</t>
  </si>
  <si>
    <t>GotoToolDecSummary</t>
  </si>
  <si>
    <t>menuFinancialActive</t>
  </si>
  <si>
    <t>menuDecsActive</t>
  </si>
  <si>
    <t>menuDecsMacroActive</t>
  </si>
  <si>
    <t>menuDecsList</t>
  </si>
  <si>
    <t>menuDecsMacro</t>
  </si>
  <si>
    <t>MenuFinancialList</t>
  </si>
  <si>
    <t>menuFinancialMacro</t>
  </si>
  <si>
    <t xml:space="preserve">Profit and Loss </t>
  </si>
  <si>
    <t>menuActionActive</t>
  </si>
  <si>
    <t>menuActionMacroActive</t>
  </si>
  <si>
    <t>menuActionList</t>
  </si>
  <si>
    <t>menuActionMacro</t>
  </si>
  <si>
    <t>Import Balances</t>
  </si>
  <si>
    <t>cbalV2H3Comp</t>
  </si>
  <si>
    <t>cbalV3H3Comp</t>
  </si>
  <si>
    <t xml:space="preserve">Next Yr. Salary ($)  </t>
  </si>
  <si>
    <t>Business Development Level</t>
  </si>
  <si>
    <t>Prereq</t>
  </si>
  <si>
    <t>cbalTotalGeneralTrainingHrsAvail</t>
  </si>
  <si>
    <t>obalTotalGeneralTrainingHrsAvail</t>
  </si>
  <si>
    <t>General Training Hours Completed</t>
  </si>
  <si>
    <t>capEmp1BusACompDevAlloc</t>
  </si>
  <si>
    <t>STEP 1</t>
  </si>
  <si>
    <t>After the five tools are created, you may close the simulation and the open tool in MS Excel.</t>
  </si>
  <si>
    <t>Practice Development</t>
  </si>
  <si>
    <t>Industry/Offering Dev.</t>
  </si>
  <si>
    <t>capEmp8GeneralTrainingHrsAvailNextYr</t>
  </si>
  <si>
    <t>capEmp9GeneralTrainingHrsAvailNextYr</t>
  </si>
  <si>
    <t>cbalBusAEmp7Utiliz</t>
  </si>
  <si>
    <t>cbalBusAEmp8Utiliz</t>
  </si>
  <si>
    <t>cbalBusAEmp9Utiliz</t>
  </si>
  <si>
    <t>obalBusAEmp7Utiliz</t>
  </si>
  <si>
    <t>obalBusAEmp8Utiliz</t>
  </si>
  <si>
    <t>obalBusAEmp9Utiliz</t>
  </si>
  <si>
    <t>Sr. Exec. SI &amp; T</t>
  </si>
  <si>
    <t>Sr. Mgr/Mgr SI &amp; T</t>
  </si>
  <si>
    <t>Consultant/Anlyst SI &amp; T</t>
  </si>
  <si>
    <t>Product 5 Segment 6</t>
  </si>
  <si>
    <t>Add Analysis Report</t>
  </si>
  <si>
    <t>Network Simulations with Real Time Impacts</t>
  </si>
  <si>
    <t>obalY3V3H1COS</t>
  </si>
  <si>
    <t>obalY3V3H2COS</t>
  </si>
  <si>
    <t>obalY3V3H3COS</t>
  </si>
  <si>
    <t>Offering</t>
  </si>
  <si>
    <t>Outsourcing Consultant % Product Allocation</t>
  </si>
  <si>
    <t>capY2V3H3COS</t>
  </si>
  <si>
    <t>capY3V1H1COS</t>
  </si>
  <si>
    <t>capY3V1H2COS</t>
  </si>
  <si>
    <t>capBusACurrProjV2Emp2Output</t>
  </si>
  <si>
    <t>paramEmp1OTRate</t>
  </si>
  <si>
    <t>Name Lister</t>
  </si>
  <si>
    <t>NameLister</t>
  </si>
  <si>
    <t>Interactive Zoom</t>
  </si>
  <si>
    <t>InteractiveZoomer</t>
  </si>
  <si>
    <t>finEmp6SalaryExp</t>
  </si>
  <si>
    <t>finEmp6TrainingTimeExp</t>
  </si>
  <si>
    <t>finEmp6RecDismExp</t>
  </si>
  <si>
    <t>finEmp6AdminExp</t>
  </si>
  <si>
    <t>finEntSvcsMarketing</t>
  </si>
  <si>
    <t>decBusAEmp8HrsSalesV3</t>
  </si>
  <si>
    <t>decBusAEmp9HrsSales</t>
  </si>
  <si>
    <t xml:space="preserve">Chargeability  </t>
  </si>
  <si>
    <t>obalY2V3H1BidRev</t>
  </si>
  <si>
    <t>obalY2V3H2BidRev</t>
  </si>
  <si>
    <t>obalY2V3H3BidRev</t>
  </si>
  <si>
    <t>xxPopupWobblerMax</t>
  </si>
  <si>
    <t>Max</t>
  </si>
  <si>
    <t>finPNLBusAV2GlobalSalaryExp</t>
  </si>
  <si>
    <t>finPNLBusAV3GlobalSalaryExp</t>
  </si>
  <si>
    <t>decBid9Emp3HrsRFQ</t>
  </si>
  <si>
    <t>decBid9Emp2HrsRFQ</t>
  </si>
  <si>
    <t>decBusAEmp4HrsCurrProj</t>
  </si>
  <si>
    <t>decBusAEmp3HrsCurrProj</t>
  </si>
  <si>
    <t>decBusAEmp2HrsCurrProj</t>
  </si>
  <si>
    <t>decBusAEmp1HrsCurrProj</t>
  </si>
  <si>
    <r>
      <t>o</t>
    </r>
    <r>
      <rPr>
        <sz val="7"/>
        <rFont val="Times New Roman"/>
        <family val="1"/>
      </rPr>
      <t xml:space="preserve">       </t>
    </r>
    <r>
      <rPr>
        <sz val="14"/>
        <rFont val="Arial"/>
        <family val="2"/>
      </rPr>
      <t>From the simulation drop-down menu, select ‘Sim Tools,’ and then select ‘Create Tool.’</t>
    </r>
  </si>
  <si>
    <t>Segment 5</t>
  </si>
  <si>
    <t>capEmp4BusBGeneralTrainingHrs</t>
  </si>
  <si>
    <t>Year 1</t>
  </si>
  <si>
    <t>Year 2</t>
  </si>
  <si>
    <t>Year 3</t>
  </si>
  <si>
    <t>finCashFlowSpecLoansChange</t>
  </si>
  <si>
    <t>Parterns</t>
  </si>
  <si>
    <t>capBusAOverallSolnWFChargeablitiy</t>
  </si>
  <si>
    <t>finPNLBusBTotalGeneralTrainingBudgetExp</t>
  </si>
  <si>
    <t>Command Bar Menu Name</t>
  </si>
  <si>
    <t>Tool</t>
  </si>
  <si>
    <t>&amp;Decisions</t>
  </si>
  <si>
    <t>&amp;Reports</t>
  </si>
  <si>
    <t>&amp;Actions</t>
  </si>
  <si>
    <t>On Action</t>
  </si>
  <si>
    <t>GoToToolPNL</t>
  </si>
  <si>
    <t>Command Bar Name</t>
  </si>
  <si>
    <t>Enabled</t>
  </si>
  <si>
    <t>Cash &gt;0</t>
  </si>
  <si>
    <t>Initiatives Selected in Year 3</t>
  </si>
  <si>
    <t>Company Profitability (Past Year)</t>
  </si>
  <si>
    <t>Relationship</t>
  </si>
  <si>
    <t>Consulting Reputation</t>
  </si>
  <si>
    <t>Industry Competency</t>
  </si>
  <si>
    <t>Past Wins - Industry</t>
  </si>
  <si>
    <t>Pursuit Team Structure</t>
  </si>
  <si>
    <t>obalY1V1H1COSRealized</t>
  </si>
  <si>
    <t>obalY1V1H2COSRealized</t>
  </si>
  <si>
    <t>obalY1V1H3COSRealized</t>
  </si>
  <si>
    <t>obalY1V2H1COSRealized</t>
  </si>
  <si>
    <t>obalY1V2H2COSRealized</t>
  </si>
  <si>
    <t>PrintAnnualReportsT3</t>
  </si>
  <si>
    <t>PrintAnnualReportsT4</t>
  </si>
  <si>
    <t>PrintAnnualReportsT5</t>
  </si>
  <si>
    <t>PrintAnnualReportsAll</t>
  </si>
  <si>
    <t>PrintCompetitorReport</t>
  </si>
  <si>
    <t>SimDataExportBalances</t>
  </si>
  <si>
    <t>SimFBOpenFile</t>
  </si>
  <si>
    <t>Decision Area Border</t>
  </si>
  <si>
    <t>Report Area Border</t>
  </si>
  <si>
    <t>Decision Cell Font</t>
  </si>
  <si>
    <t>Decision Cell Border</t>
  </si>
  <si>
    <t>Dashboard</t>
  </si>
  <si>
    <t>Dashboard Font</t>
  </si>
  <si>
    <t>Color Scheme</t>
  </si>
  <si>
    <t>Background Color</t>
  </si>
  <si>
    <t>Decision Area Color</t>
  </si>
  <si>
    <t>Decision Area Font Type</t>
  </si>
  <si>
    <t>Report Area Color</t>
  </si>
  <si>
    <t>Report Area Font Type</t>
  </si>
  <si>
    <t>Decision Cell Color</t>
  </si>
  <si>
    <t>FMATDAreaColor</t>
  </si>
  <si>
    <t>Practice 2 takes off</t>
  </si>
  <si>
    <t>Attrition Skyrockets!</t>
  </si>
  <si>
    <t xml:space="preserve">B. At this time, growth is a priority and paying the recommended bonus means that you will have to pass on the cost to clients or face eroding margins. Pay a 3% bonus. </t>
  </si>
  <si>
    <t>obalConsultingConsultantUtilY3</t>
  </si>
  <si>
    <t>obalConsultingConsultantUtilY4</t>
  </si>
  <si>
    <t>obalConsultingSolnWFUtilY1</t>
  </si>
  <si>
    <t>obalConsultingSolnWFUtilY2</t>
  </si>
  <si>
    <t>obalConsultingSolnWFUtilY3</t>
  </si>
  <si>
    <t>obalConsultingSolnWFUtilY4</t>
  </si>
  <si>
    <t>obalOutsourcingRevY1</t>
  </si>
  <si>
    <t>obalOutsourcingRevY2</t>
  </si>
  <si>
    <t>decBusAEmp9HrsCurrProjV3</t>
  </si>
  <si>
    <t xml:space="preserve">SI &amp;T </t>
  </si>
  <si>
    <t>decBusAEmp7HrsSales</t>
  </si>
  <si>
    <t>decBusAEmp7HrsSalesV2</t>
  </si>
  <si>
    <t>decBusAEmp7HrsSalesV3</t>
  </si>
  <si>
    <t>Partner RFQ Hrs. Bid 5</t>
  </si>
  <si>
    <t>Partner RFQ Hrs. Bid 6</t>
  </si>
  <si>
    <t>Partner RFQ Hrs. Bid 7</t>
  </si>
  <si>
    <t>capEmp8BusAV1AllocSalesV2</t>
  </si>
  <si>
    <t>capEmp8BusAV1AllocSalesV3</t>
  </si>
  <si>
    <t>obalBusBV2ControllableIncome</t>
  </si>
  <si>
    <t>obalBusBV3ControllableIncome</t>
  </si>
  <si>
    <t>Overall Profitabil;ity</t>
  </si>
  <si>
    <t>cbalTotalControllableIncome</t>
  </si>
  <si>
    <t>obalTotalControllableIncome</t>
  </si>
  <si>
    <t>Wobbler added Revenue Consulting P1</t>
  </si>
  <si>
    <t>Wobbler added Revenue Consulting P2</t>
  </si>
  <si>
    <t>Wobbler added Revenue Consulting P3</t>
  </si>
  <si>
    <t>paranBusAWobblerAddedRevV1</t>
  </si>
  <si>
    <t>paranBusAWobblerAddedRevV2</t>
  </si>
  <si>
    <t>paranBusAWobblerAddedRevV3</t>
  </si>
  <si>
    <t>Wobbler-Added Work</t>
  </si>
  <si>
    <t>Strategic Initiatives History</t>
  </si>
  <si>
    <t>Management Consultants</t>
  </si>
  <si>
    <t>Current Consulting Hours Required</t>
  </si>
  <si>
    <t>Current Management Consultants</t>
  </si>
  <si>
    <t>Current SI &amp; T</t>
  </si>
  <si>
    <t>Current Solutions Workforce</t>
  </si>
  <si>
    <t>Forecast Hours Required</t>
  </si>
  <si>
    <t>Forecasted Mgmt Consultants</t>
  </si>
  <si>
    <t>Forecasted SI &amp; T</t>
  </si>
  <si>
    <t>Forecasted Solutions Workforce</t>
  </si>
  <si>
    <t>Percentage Change Recommended</t>
  </si>
  <si>
    <t>FOR Chart</t>
  </si>
  <si>
    <t>Simulation</t>
  </si>
  <si>
    <t>SimReset</t>
  </si>
  <si>
    <t>SimNewYear</t>
  </si>
  <si>
    <t>ToolCreateTool</t>
  </si>
  <si>
    <t>SetPaperSizeA4</t>
  </si>
  <si>
    <t>SetPaperSizeLetter</t>
  </si>
  <si>
    <t>PrintPCToolReport</t>
  </si>
  <si>
    <t>SimToolsNoDisplayPageBreaks</t>
  </si>
  <si>
    <t>SimZoom100</t>
  </si>
  <si>
    <t>Special Program % Cost reduc. BPO H2 (+ Only; Once/init!)</t>
  </si>
  <si>
    <t>Special Program % Cost reduc. BPO H3 (+ Only; Once/init!)</t>
  </si>
  <si>
    <t>capBusAV2H3Y1RevFromPullThru</t>
  </si>
  <si>
    <t>capBusAV1H1Y2RevFromPullThru</t>
  </si>
  <si>
    <t>capBusAV1H2Y2RevFromPullThru</t>
  </si>
  <si>
    <t>capBusAV1H3Y2RevFromPullThru</t>
  </si>
  <si>
    <t>BPO Deal Data</t>
  </si>
  <si>
    <t>Consulting / Outsourcing</t>
  </si>
  <si>
    <t>cbalOutsourcingRevY1</t>
  </si>
  <si>
    <t>cbalOutsourcingRevY2</t>
  </si>
  <si>
    <t>cbalOutsourcingRevY3</t>
  </si>
  <si>
    <t>cbalOutsourcingRevY4</t>
  </si>
  <si>
    <t>cbalOutsourcingSalesGrowthY1</t>
  </si>
  <si>
    <t>cbalOutsourcingSalesGrowthY2</t>
  </si>
  <si>
    <t>cbalOutsourcingSalesGrowthY3</t>
  </si>
  <si>
    <t>cbalOutsourcingSalesGrowthY4</t>
  </si>
  <si>
    <t>cbalOutsourcingRevPctofTotalRevenueY1</t>
  </si>
  <si>
    <t>capEmp7BusANonBillAlloc</t>
  </si>
  <si>
    <t>capEmp7BusAV1Exp</t>
  </si>
  <si>
    <t>capEmp7BusAV2Exp</t>
  </si>
  <si>
    <t>capEmp7BusAV3Exp</t>
  </si>
  <si>
    <t>capEmp7BusAV1SalesExp</t>
  </si>
  <si>
    <t>capEmp7BusAV2SalesExp</t>
  </si>
  <si>
    <t>capEmp7BusAV3SalesExp</t>
  </si>
  <si>
    <t>capEmp7BusACompDevExp</t>
  </si>
  <si>
    <t>GDE Free After March</t>
  </si>
  <si>
    <t>FSP June</t>
  </si>
  <si>
    <t>DLA March</t>
  </si>
  <si>
    <t>This Year</t>
  </si>
  <si>
    <t>Emp3</t>
  </si>
  <si>
    <t>Emp4</t>
  </si>
  <si>
    <t>Emp5</t>
  </si>
  <si>
    <t>Equity Calculation</t>
  </si>
  <si>
    <t>Par Value Year 0 Common Stock</t>
  </si>
  <si>
    <t>$ Change in Common Stock (+/-)</t>
  </si>
  <si>
    <t>$ Change in Retained Earnings (+/-)</t>
  </si>
  <si>
    <t>finStockchange</t>
  </si>
  <si>
    <t>finCommonStockChange</t>
  </si>
  <si>
    <t>finRetEarnChange</t>
  </si>
  <si>
    <t>Description</t>
  </si>
  <si>
    <t>Decision Option 1</t>
  </si>
  <si>
    <t>Decision Option 2</t>
  </si>
  <si>
    <t>Decision Option 3</t>
  </si>
  <si>
    <t>Option 1 Explain</t>
  </si>
  <si>
    <t>Option 1 Next</t>
  </si>
  <si>
    <t>Option 2 Explain</t>
  </si>
  <si>
    <t>Option 2 Next</t>
  </si>
  <si>
    <t>Option 3 Explain</t>
  </si>
  <si>
    <t>Option 3 Next</t>
  </si>
  <si>
    <t>Dec Lookup</t>
  </si>
  <si>
    <t>Minutes Diff (turned into a number)</t>
  </si>
  <si>
    <t>C.  Apologize to your channel partners and return to the drawing board.  Commit to fixing the problems and once the design team has finished their work, re-launch the feature under a sub-brand.</t>
  </si>
  <si>
    <t>capEmp6GeneralTrainingHrsAvailNextYr</t>
  </si>
  <si>
    <t xml:space="preserve">Percent Staffed  </t>
  </si>
  <si>
    <t>TOTAL LIABILITIES &amp; EQUITY</t>
  </si>
  <si>
    <t>LIABILITIES &amp; EQUITY</t>
  </si>
  <si>
    <t xml:space="preserve">Program 4  </t>
  </si>
  <si>
    <t>capBusAV1BusDevWAvgSalesOutputRank</t>
  </si>
  <si>
    <t>capBusAV2BusDevWAvgSalesOutputRank</t>
  </si>
  <si>
    <t>capBusAV3BusDevWAvgSalesOutputRank</t>
  </si>
  <si>
    <t>Utilization</t>
  </si>
  <si>
    <t>paramProd1LabHrsReqPUnit</t>
  </si>
  <si>
    <t>paramProd1MachHrsReqPUnit</t>
  </si>
  <si>
    <t>Hours Available</t>
  </si>
  <si>
    <t>Overall</t>
  </si>
  <si>
    <t>capEmp2BusBV2Exp</t>
  </si>
  <si>
    <t>capEmp3BusBV3Exp</t>
  </si>
  <si>
    <t>Non-Billable Consulting Hrs. Solutions WF Slary Expense</t>
  </si>
  <si>
    <t>Operations Improvement</t>
  </si>
  <si>
    <t>decEmp4BusBOpsImprove</t>
  </si>
  <si>
    <t>decEmp3BusBOpsImprove</t>
  </si>
  <si>
    <t>decEmp2BusBOpsImprove</t>
  </si>
  <si>
    <t>decEmp1BusBOpsImprove</t>
  </si>
  <si>
    <t>capEmp1BusAV2Exp</t>
  </si>
  <si>
    <t>capEmp1BusAV3Exp</t>
  </si>
  <si>
    <t>capEmp7BusAGeneralTrainingHrs</t>
  </si>
  <si>
    <t>capEmp8BusAGeneralTrainingHrs</t>
  </si>
  <si>
    <t>paramSpecProgramEmp7BusAInitHrsReq</t>
  </si>
  <si>
    <t>paramSpecProgramEmp8BusAInitHrsReq</t>
  </si>
  <si>
    <t>paramSpecProgramEmp9BusAInitHrsReq</t>
  </si>
  <si>
    <t>Special Program Consulting Partner SI &amp; T Initiative Hrs Required</t>
  </si>
  <si>
    <t>Special Program Consulting Manager SI &amp; T Initiative Hrs Required</t>
  </si>
  <si>
    <t>Special Program Consulting Consultant SI &amp; T Initiative Hrs Required</t>
  </si>
  <si>
    <t>obalY1V3H3BidWon</t>
  </si>
  <si>
    <t>Special Program Expense</t>
  </si>
  <si>
    <t>A</t>
  </si>
  <si>
    <t>paramV1PctCostReducPerVCompLvl</t>
  </si>
  <si>
    <t>paramV2PctCostReducPerVCompLvl</t>
  </si>
  <si>
    <t>paramV3PctCostReducPerVCompLvl</t>
  </si>
  <si>
    <t>Corporate Target</t>
  </si>
  <si>
    <t>Create an extended league slides showing point contribution</t>
  </si>
  <si>
    <t>BPO Bid Revenue</t>
  </si>
  <si>
    <t>cbalY1V1H1BidWon</t>
  </si>
  <si>
    <t>cbalY1V1H2BidWon</t>
  </si>
  <si>
    <t>cbalY1V1H3BidWon</t>
  </si>
  <si>
    <t>cbalY1V2H1BidWon</t>
  </si>
  <si>
    <t>cbalY1V2H2BidWon</t>
  </si>
  <si>
    <t>Outsourcing V1 Consultant Allocation</t>
  </si>
  <si>
    <t>* All Employees Recruited will Start January 1st of Next Yr.</t>
  </si>
  <si>
    <t>Enterprise WF</t>
  </si>
  <si>
    <t>Outsourcing Ops Improvement</t>
  </si>
  <si>
    <t>capEmp1BusBOpsImprovement</t>
  </si>
  <si>
    <t>obalEmp1</t>
  </si>
  <si>
    <t>obalEmp2</t>
  </si>
  <si>
    <t>obalEmp3</t>
  </si>
  <si>
    <t>paramEmp1AdminCostPct</t>
  </si>
  <si>
    <t>paramEmp1AttRate</t>
  </si>
  <si>
    <t>paramEmp1Exp</t>
  </si>
  <si>
    <t>paramEmp1RecDismCost</t>
  </si>
  <si>
    <t>paramEmp2AdminCostPct</t>
  </si>
  <si>
    <t>paramEmp2AttRate</t>
  </si>
  <si>
    <t>paramEmp2Exp</t>
  </si>
  <si>
    <t>paramEmp2HoursPYear</t>
  </si>
  <si>
    <t>paramEmp2OTRate</t>
  </si>
  <si>
    <t>paramEmp2RecDismCost</t>
  </si>
  <si>
    <t>paramEmp3AdminCostPct</t>
  </si>
  <si>
    <t>capEmp4BusBInitHrsExp</t>
  </si>
  <si>
    <t>capEmp2Att</t>
  </si>
  <si>
    <t>capEmp2Utiliz</t>
  </si>
  <si>
    <t>capEmp3Att</t>
  </si>
  <si>
    <t>capEmp3Utiliz</t>
  </si>
  <si>
    <t>paramEmp3OTRate</t>
  </si>
  <si>
    <t>Importing Team Decisions into the Simulation</t>
  </si>
  <si>
    <t>Processing the Results</t>
  </si>
  <si>
    <t>Making Adjustments</t>
  </si>
  <si>
    <t>Creating the Feedback Presentation</t>
  </si>
  <si>
    <t>Printing the Reports</t>
  </si>
  <si>
    <r>
      <t>o</t>
    </r>
    <r>
      <rPr>
        <sz val="7"/>
        <rFont val="Times New Roman"/>
        <family val="1"/>
      </rPr>
      <t xml:space="preserve">       </t>
    </r>
    <r>
      <rPr>
        <sz val="14"/>
        <rFont val="Arial"/>
        <family val="2"/>
      </rPr>
      <t>These numeric outcomes are translated into initial market shares; but based on the desired message / learning-points, the market share allocations can be manually adjusted.</t>
    </r>
  </si>
  <si>
    <t>Use the ‘analysis’ page to assess the market and financial results.  This page may also be printed by selecting ‘Print Analysis Report’ from the simulation drop-down menu.  If adjustments are made to the market share allocations, however, ensure that a new report is printed.</t>
  </si>
  <si>
    <t>finPNLBusBV3TotalOpExp</t>
  </si>
  <si>
    <t>finPNLBusBV3OpsMargin</t>
  </si>
  <si>
    <t>capEmp8BusACompDevAlloc</t>
  </si>
  <si>
    <t>cbalEmp1TrainingBudgetDelta</t>
  </si>
  <si>
    <t>cbalEmp2TrainingBudgetDelta</t>
  </si>
  <si>
    <t>capBusACurrProjV1Emp2Output</t>
  </si>
  <si>
    <t>xxMMProd5Driver9</t>
  </si>
  <si>
    <t>xxMMProd5Driver10</t>
  </si>
  <si>
    <t>Cumulative Score</t>
  </si>
  <si>
    <t>Ending Rank</t>
  </si>
  <si>
    <t>Add SI EE impact data to feedback chart</t>
  </si>
  <si>
    <t>cap411, feedback631:640</t>
  </si>
  <si>
    <t>Add above data to feedback chart</t>
  </si>
  <si>
    <t>obalY1V3H3BidRev</t>
  </si>
  <si>
    <t>Annual Reports are given to each team after each Feedback Presentation.  These reports are automatically printed by the simulation for each team by selecting ‘Print Annual Reports’ from the simulation drop-down menu.</t>
  </si>
  <si>
    <t>STEP 10</t>
  </si>
  <si>
    <t>The actual results of the competitive marketplace must be used to update the teams’ tools into the next round.  These actual results are exported from the simulation by selecting ‘Export Balances’ from the simulation drop-down menu.</t>
  </si>
  <si>
    <t>STEP 11</t>
  </si>
  <si>
    <t>cbalY1V2H3BidWon</t>
  </si>
  <si>
    <t>cbalY1V3H1BidWon</t>
  </si>
  <si>
    <t>cbalY1V3H2BidWon</t>
  </si>
  <si>
    <t>cbalY1V3H3BidWon</t>
  </si>
  <si>
    <t>cbalY2V1H1BidWon</t>
  </si>
  <si>
    <t>cbalY2V1H2BidWon</t>
  </si>
  <si>
    <t>cbalY2V1H3BidWon</t>
  </si>
  <si>
    <t>cbalY2V2H1BidWon</t>
  </si>
  <si>
    <t>cbalY2V2H2BidWon</t>
  </si>
  <si>
    <t>cbalY2V2H3BidWon</t>
  </si>
  <si>
    <t>cbalY2V3H1BidWon</t>
  </si>
  <si>
    <t>paramProd1MatCostPUnit</t>
  </si>
  <si>
    <t>Vandaley Industries</t>
  </si>
  <si>
    <t>xxMMProd5Seg5Units</t>
  </si>
  <si>
    <t>Market Model Prod5 Drivers</t>
  </si>
  <si>
    <t>xxMMProd5Driver1</t>
  </si>
  <si>
    <t>Sims to Run 4 vs. 5 teams.</t>
  </si>
  <si>
    <t>Outsourcing Offering Development</t>
  </si>
  <si>
    <t xml:space="preserve">Average Salary ($)  </t>
  </si>
  <si>
    <t xml:space="preserve">    Hiring Plan (Headcount)*  </t>
  </si>
  <si>
    <t xml:space="preserve">    Enterprise WF  </t>
  </si>
  <si>
    <t>ToolDataExportRunFinal</t>
  </si>
  <si>
    <t>cbalBusAV3ControllableIncome</t>
  </si>
  <si>
    <t>capEmp2BusBV3Exp</t>
  </si>
  <si>
    <t>fb1234EmpEngagement</t>
  </si>
  <si>
    <t>cbalBusAEmp7Recruited</t>
  </si>
  <si>
    <t>cbalBusAEmp8Recruited</t>
  </si>
  <si>
    <t>cbalBusAEmp9Recruited</t>
  </si>
  <si>
    <t>SI&amp;T workforce recruits not showing up on feedback slide</t>
  </si>
  <si>
    <t>Inc(-)/dec(+) in AP</t>
  </si>
  <si>
    <t>capEmp2BusARecDismExp</t>
  </si>
  <si>
    <t>capEmp2BusBRecDismExp</t>
  </si>
  <si>
    <t>capEmp2BusAAdminExp</t>
  </si>
  <si>
    <t>capEmp2BusBAdminExp</t>
  </si>
  <si>
    <t>capEmp3BusARecDismExp</t>
  </si>
  <si>
    <t>capEmp3BusBRecDismExp</t>
  </si>
  <si>
    <t>capEmp3BusAAdminExp</t>
  </si>
  <si>
    <t>capEmp3BusBAdminExp</t>
  </si>
  <si>
    <t>capEmp4BusARecDismExp</t>
  </si>
  <si>
    <t>obalY1V1H3COS</t>
  </si>
  <si>
    <t>obalY1V2H1COS</t>
  </si>
  <si>
    <t>obalY1V2H2COS</t>
  </si>
  <si>
    <t>obalY1V2H3COS</t>
  </si>
  <si>
    <t>obalY1V3H1COS</t>
  </si>
  <si>
    <t>Outsourcing Revenue % of Total Rev. Y1</t>
  </si>
  <si>
    <t>paramEmp9BusBHrsReqPerCompDevLevel</t>
  </si>
  <si>
    <t>paramEmp9BusBGenOpsPctCostReducPerHr</t>
  </si>
  <si>
    <t>paramEmp9TrainingHrsPerDollar</t>
  </si>
  <si>
    <t>capBusAV1Emp7CompDevTtlHrReq</t>
  </si>
  <si>
    <t>capBusAV1Emp8CompDevTtlHrReq</t>
  </si>
  <si>
    <t>finPNLBusAV2Emp1CompDevTimeExp</t>
  </si>
  <si>
    <t>finPNLBusAV2Emp2CompDevTimeExp</t>
  </si>
  <si>
    <t>finPNLBusAV2Emp3CompDevTimeExp</t>
  </si>
  <si>
    <t>obalY3V1H1BidRev</t>
  </si>
  <si>
    <t>obalY3V1H2BidRev</t>
  </si>
  <si>
    <t>paramProd5MatPctOfProduction</t>
  </si>
  <si>
    <t>paramProd5LabHrsReqPUnit</t>
  </si>
  <si>
    <t>capEmp9BusANonBillExp</t>
  </si>
  <si>
    <t>decEmp7BusAHire</t>
  </si>
  <si>
    <t>decEmp8BusAHire</t>
  </si>
  <si>
    <t>decEmp9BusAHire</t>
  </si>
  <si>
    <t>finPNLBusAV1Emp9SalaryExp</t>
  </si>
  <si>
    <t>finPNLBusAV1Emp8SalaryExp</t>
  </si>
  <si>
    <t>finPNLBusAV1Emp7SalaryExp</t>
  </si>
  <si>
    <t>finPNLBusAV3Emp9SalaryExp</t>
  </si>
  <si>
    <t>finPNLBusAV3Emp8SalaryExp</t>
  </si>
  <si>
    <t>finPNLBusAV3Emp7SalaryExp</t>
  </si>
  <si>
    <t>finPNLBusAV2Emp9SalaryExp</t>
  </si>
  <si>
    <t>finPNLBusAV2Emp8SalaryExp</t>
  </si>
  <si>
    <t>finPNLBusAV2Emp7SalaryExp</t>
  </si>
  <si>
    <t>capBusACurrProjV1Emp7Output</t>
  </si>
  <si>
    <t>xxMMProd5Seg8Units</t>
  </si>
  <si>
    <t>capEmp3BusAV2Alloc</t>
  </si>
  <si>
    <t>capEmp3BusAV3Alloc</t>
  </si>
  <si>
    <t>capEmp3BusBV1Alloc</t>
  </si>
  <si>
    <t>capEmp3BusBV2Alloc</t>
  </si>
  <si>
    <t>capEmp3BusBV3Alloc</t>
  </si>
  <si>
    <t>Days per Year</t>
  </si>
  <si>
    <t>paramDaysPerYear</t>
  </si>
  <si>
    <t>Cash Is Less Than Zero, Please Issue More Capital</t>
  </si>
  <si>
    <t>finPNLBusAOtherExp</t>
  </si>
  <si>
    <t>finPNLBusAV1TotalSalaryExp</t>
  </si>
  <si>
    <t>capEmp2AdminExp</t>
  </si>
  <si>
    <t>capEmp2RecDismExp</t>
  </si>
  <si>
    <t>obalConsultingSalesGrowthY3</t>
  </si>
  <si>
    <t>obalConsultingSalesGrowthY4</t>
  </si>
  <si>
    <t>Other Assets</t>
  </si>
  <si>
    <t>Total Other Assets</t>
  </si>
  <si>
    <t>Create New Tools/ w Decision Data</t>
  </si>
  <si>
    <t>obalBusBGenOpsPctCostReduce</t>
  </si>
  <si>
    <t>General Operations Cost Reduction</t>
  </si>
  <si>
    <t>paramProd6MatPctOfProduction</t>
  </si>
  <si>
    <t>paramProd6LabHrsReqPUnit</t>
  </si>
  <si>
    <t>capEmp6EntSvcsAlloc</t>
  </si>
  <si>
    <t>obalTotalAttritionY4</t>
  </si>
  <si>
    <t>obalTotalInYearScoreY1</t>
  </si>
  <si>
    <t>obalTotalInYearScoreY2</t>
  </si>
  <si>
    <t>obalTotalInYearScoreY3</t>
  </si>
  <si>
    <t>obalTotalInYearScoreY4</t>
  </si>
  <si>
    <t>obalConsultingRevenueY1</t>
  </si>
  <si>
    <t>obalBusAEmp9</t>
  </si>
  <si>
    <t>MC Practice 1</t>
  </si>
  <si>
    <t>SI &amp; T Practice 1</t>
  </si>
  <si>
    <t>MC Practice 2</t>
  </si>
  <si>
    <t>SI &amp; T Practice 2</t>
  </si>
  <si>
    <t>MC Practice 3</t>
  </si>
  <si>
    <t>SI &amp; T Practice 3</t>
  </si>
  <si>
    <t>paramProd4InventoryHndlgPct</t>
  </si>
  <si>
    <t>paramProd4DistCostPUnit</t>
  </si>
  <si>
    <t>paramProd4FixedAdmin</t>
  </si>
  <si>
    <t>paramProd4OtherCost</t>
  </si>
  <si>
    <t>cbalBusAEmp1Recruited</t>
  </si>
  <si>
    <t>cbalBusBEmp1Recruited</t>
  </si>
  <si>
    <t>cbalBusAEmp2Recruited</t>
  </si>
  <si>
    <t>cbalBusBEmp2Recruited</t>
  </si>
  <si>
    <t>cbalBusAEmp3Recruited</t>
  </si>
  <si>
    <t>cbalBusBEmp3Recruited</t>
  </si>
  <si>
    <t>cbalBusAEmp4Recruited</t>
  </si>
  <si>
    <t>The annual employee survey results are surprising, employee morale has fallen from last year.  Many of the comments on the forms indicate that most of the decline is due to a recent reorganization or the company.   This is the first time GECo has had to confront such an issue and some people in management are calling for action to prevent any further decline.  What do you do?</t>
  </si>
  <si>
    <t>Consulting Workforce Time Allocation</t>
  </si>
  <si>
    <t>Controllable Income</t>
  </si>
  <si>
    <t xml:space="preserve">Outsourcing  </t>
  </si>
  <si>
    <t>Support Level Drop Down</t>
  </si>
  <si>
    <t>Consultant /</t>
  </si>
  <si>
    <t>Outsourcing Report</t>
  </si>
  <si>
    <t>obalEmp4</t>
  </si>
  <si>
    <t>Total Cash/Cash Like</t>
  </si>
  <si>
    <t>Plant1</t>
  </si>
  <si>
    <t>Plant2</t>
  </si>
  <si>
    <t>Plant3</t>
  </si>
  <si>
    <t>Domestiberg</t>
  </si>
  <si>
    <t>Importiberb</t>
  </si>
  <si>
    <t>Bidberg</t>
  </si>
  <si>
    <t>People</t>
  </si>
  <si>
    <t>paramEmp1HoursPYear</t>
  </si>
  <si>
    <t>paramEmp3HoursPYear</t>
  </si>
  <si>
    <t>paramProd2CycTimeDays</t>
  </si>
  <si>
    <t>paramSpecProgramEmp4BusAInitHrsReq</t>
  </si>
  <si>
    <t>capEmp4BusAV2SalesExp</t>
  </si>
  <si>
    <t>capEmp4BusAV3SalesExp</t>
  </si>
  <si>
    <t>capEmp4BusACompDevExp</t>
  </si>
  <si>
    <t>capEmp4BusAGeneralTrainingExp</t>
  </si>
  <si>
    <t>obalY3V3H3COSRealized</t>
  </si>
  <si>
    <t>finPNLBusAV1Emp7CompDevTimeExp</t>
  </si>
  <si>
    <t>finPNLBusAV1Emp8CompDevTimeExp</t>
  </si>
  <si>
    <t>capBusBEmp3EndHrsAvailable</t>
  </si>
  <si>
    <t>capEmp3BusAV1AllocSalesV1</t>
  </si>
  <si>
    <t>capEmp3BusAV1AllocSalesV2</t>
  </si>
  <si>
    <t>capEmp3BusAV1AllocSalesV3</t>
  </si>
  <si>
    <t>capEmp3BusACompDevAlloc</t>
  </si>
  <si>
    <t>finPNLBusBV1Emp4UnallocTimeExp</t>
  </si>
  <si>
    <t>finPNLBusBV1Emp1CompDevExp</t>
  </si>
  <si>
    <t>finPNLBusBV1Emp2CompDevExp</t>
  </si>
  <si>
    <t>finPNLSpecProgExp</t>
  </si>
  <si>
    <t>finPNLTotalOpExp</t>
  </si>
  <si>
    <t>finPNLTotalOpIncome</t>
  </si>
  <si>
    <t>Ass</t>
  </si>
  <si>
    <t>Special Programs Expense Consulting P2</t>
  </si>
  <si>
    <t>Special Programs Expense Consulting P3</t>
  </si>
  <si>
    <t>paramSpecProgBusAV2Exp</t>
  </si>
  <si>
    <t>finEntSvcsExpAllocPctBusB</t>
  </si>
  <si>
    <t>finPNLBusAEntSvcsTtlExpAlloc</t>
  </si>
  <si>
    <t>By taking this time to coach Sam, he is better able to address this issue and you see him proactively take steps to focus on the customer more in the future.  Over time, you see a noticeable improvement in the relationship with this account and the other accounts Sam manages.</t>
  </si>
  <si>
    <t>New Feature Release</t>
  </si>
  <si>
    <t>($000s)</t>
  </si>
  <si>
    <t>Savings ($000s)</t>
  </si>
  <si>
    <t>finBalCardTotalSalesGrowth</t>
  </si>
  <si>
    <t>finBalCardTotalCI</t>
  </si>
  <si>
    <t>finBalCardTotalEmpEngagement</t>
  </si>
  <si>
    <t>paramEmp7OTRate</t>
  </si>
  <si>
    <t>paramEmp7HoursPYear</t>
  </si>
  <si>
    <t>paramEmp8AttRate</t>
  </si>
  <si>
    <t>paramEmp8Exp</t>
  </si>
  <si>
    <t>paramEmp8RecDismCost</t>
  </si>
  <si>
    <t>paramEmp8AdminCostPct</t>
  </si>
  <si>
    <t>capBusAV2H3Y2RevFromPullThru</t>
  </si>
  <si>
    <t>capBusAV2H1Y3RevFromPullThru</t>
  </si>
  <si>
    <t>capBusAV2H2Y3RevFromPullThru</t>
  </si>
  <si>
    <t>SGA (Operating Expenses)</t>
  </si>
  <si>
    <t>&amp;Consulting</t>
  </si>
  <si>
    <t>GoTotoolBusinessA</t>
  </si>
  <si>
    <t>GoTotoolBusinessB</t>
  </si>
  <si>
    <t>GoTotoolEntSvcs</t>
  </si>
  <si>
    <t>obalBusBOverallConsUtil</t>
  </si>
  <si>
    <t>obalBusBOverallSolnWFUtil</t>
  </si>
  <si>
    <t>Salary</t>
  </si>
  <si>
    <t>Here you can add adjustments that can affect like special programs</t>
  </si>
  <si>
    <t>Here is where you input special programs</t>
  </si>
  <si>
    <t>cbalConsultingRevPctofTotalRevY4</t>
  </si>
  <si>
    <t>cbalConsultingCCIPctRevY1</t>
  </si>
  <si>
    <t>Y3V1H2</t>
  </si>
  <si>
    <t>SWO: this is looking good, thanks Lee; please mark closed</t>
  </si>
  <si>
    <t>Sr Mgr time doesn't affect Cost of Poor Quality; SEE NEW NOTE TO RIGHT</t>
  </si>
  <si>
    <t>paramEmp6HrsPerSalesSupportLevel</t>
  </si>
  <si>
    <t>Over Utilization</t>
  </si>
  <si>
    <t>decBusBH2HrsBorrowed</t>
  </si>
  <si>
    <t>decBusBH3HrsBorrowed</t>
  </si>
  <si>
    <t>Borrowed Resources</t>
  </si>
  <si>
    <t>capEmp4BusBNonBillAlloc</t>
  </si>
  <si>
    <t>Non-Billable Outsourcing Hrs. Solutions WF Slary Expense</t>
  </si>
  <si>
    <t>Non-Billable Outsourcing Hrs. Sr. Executive Slary Expense</t>
  </si>
  <si>
    <t>Non-Billable Outsourcing Hrs. Manager Slary Expense</t>
  </si>
  <si>
    <t>Non-Billable Consulting Hrs. Outsourcing Slary Expense</t>
  </si>
  <si>
    <t>capEmp1BusARecDismExp</t>
  </si>
  <si>
    <t>capEmp1BusBRecDismExp</t>
  </si>
  <si>
    <t>capEmp1BusAAdminExp</t>
  </si>
  <si>
    <t>capEmp1BusBAdminExp</t>
  </si>
  <si>
    <t>Initiatives</t>
  </si>
  <si>
    <t>Profit Margin</t>
  </si>
  <si>
    <t>finPNLBusBTotalQualityCost</t>
  </si>
  <si>
    <t>finPNLTotalQualityCost</t>
  </si>
  <si>
    <t xml:space="preserve">Business A 2  </t>
  </si>
  <si>
    <t xml:space="preserve">Business A 1  </t>
  </si>
  <si>
    <t xml:space="preserve">Business B 1  </t>
  </si>
  <si>
    <t>Business B 2</t>
  </si>
  <si>
    <t>English (US)</t>
  </si>
  <si>
    <t>English (UK)</t>
  </si>
  <si>
    <t>Practice 2 Expertise Levels</t>
  </si>
  <si>
    <t>paramSpecProgramPrac2ExpLvl</t>
  </si>
  <si>
    <t>paramSpecProgramTotalEq</t>
  </si>
  <si>
    <t>paramSpecProgramOtherFixedAssets</t>
  </si>
  <si>
    <t>paramSpecProgramCash</t>
  </si>
  <si>
    <t>decScenarioTestCounter</t>
  </si>
  <si>
    <t>obalY3V1H2COSRealized</t>
  </si>
  <si>
    <t>obalY3V1H3COSRealized</t>
  </si>
  <si>
    <t>obalY3V2H1COSRealized</t>
  </si>
  <si>
    <t>capBusAV2H3Y3RevFromPullThru</t>
  </si>
  <si>
    <t>capBusAV3H1Y1RevFromPullThru</t>
  </si>
  <si>
    <t>capBusAV3H2Y1RevFromPullThru</t>
  </si>
  <si>
    <t>capBusAV3H3Y1RevFromPullThru</t>
  </si>
  <si>
    <t>capBusAV3H1Y2RevFromPullThru</t>
  </si>
  <si>
    <t>capBusAV3H2Y2RevFromPullThru</t>
  </si>
  <si>
    <t>capBusAV3H3Y2RevFromPullThru</t>
  </si>
  <si>
    <t>capBusAV3H1Y3RevFromPullThru</t>
  </si>
  <si>
    <t>capBusAV3H2Y3RevFromPullThru</t>
  </si>
  <si>
    <t>Non-Billable Consulting Solutions WF Slary Expense</t>
  </si>
  <si>
    <t>capEmp1BusANonBillAlloc</t>
  </si>
  <si>
    <t>capEmp4BusBV1Alloc</t>
  </si>
  <si>
    <t>capEmp4BusBV2Alloc</t>
  </si>
  <si>
    <t>Consulting Consultant % Product Allocation</t>
  </si>
  <si>
    <t>Training Effect on Productivity</t>
  </si>
  <si>
    <t>Total Training Hours Effect on Productivity</t>
  </si>
  <si>
    <t>DataPageEmp1TrainEffectOnProductivity</t>
  </si>
  <si>
    <t>Total Revenue</t>
  </si>
  <si>
    <t>Next Year Salary (By Emp. Level)</t>
  </si>
  <si>
    <t>obalTotalRevenue</t>
  </si>
  <si>
    <t>cbalTotalRevenue</t>
  </si>
  <si>
    <t>capEmp1BusAV1AllocSalesV3</t>
  </si>
  <si>
    <t>capBusAV3Emp7CompDevTtlHrReq</t>
  </si>
  <si>
    <t>capBusAV3Emp8CompDevTtlHrReq</t>
  </si>
  <si>
    <t>capBusAV3Emp9CompDevTtlHrReq</t>
  </si>
  <si>
    <t>A.  Looking to resolve the issue as soon as possible, you immediately call the buyer to have a candid discussion about the problem.  Listing her complaints, she says she would be reluctant to continue to work with Sam.  During the phone conversation, you take full responsibility for the late deliveries and promise to get to the bottom of the problem.  After hanging up the phone, you find Sam and ask him about the situation.  After some discussion, you feel that Sam’s relationship with the customer is the root cause of the problem and the best action is to assign a new Sales Manager to this account.</t>
  </si>
  <si>
    <t>id</t>
  </si>
  <si>
    <t>caption</t>
  </si>
  <si>
    <t>onaction</t>
  </si>
  <si>
    <t>save</t>
  </si>
  <si>
    <t>Save</t>
  </si>
  <si>
    <t>toolSave</t>
  </si>
  <si>
    <t>capBusACurrProjV2Emp4Output</t>
  </si>
  <si>
    <t>What is not supposed to be greater than 100%, the Time Demand? SWO: CORRECT, TIME DEMANDED SHOULD BE &lt;= 100% FOR ALL NON-ENTERPRISE EMPLOYEES</t>
  </si>
  <si>
    <t>Can't figure out specifically what this one means.  It looks like there's no way to limit it in the market model because it was only built with one 'Allocation Table.' SWO: HOW CAN I HELP WITH THIS?</t>
  </si>
  <si>
    <t>SWO: When we reset the sim and rolled to Y1, teams weren't starting with identical decisions.  We ended up pasting column L over the five teams as values, then we had to go through and manually delete the VALUE errors.  If you could look into this that would be good.  Maybe I'm misunderstanding something, but shouldn't the teams be starting with identical decisions?</t>
  </si>
  <si>
    <t>Initial decisions in reset sim not identical.</t>
  </si>
  <si>
    <t>Manual Adjustments for consulting practices were called offerings instead of practices</t>
  </si>
  <si>
    <t>reduce height of staffing pyramids</t>
  </si>
  <si>
    <t>In tracking some of these formulas, I noticed the five teams didn't have the same values everywhere.  I tracked that back to variances on the obal page, so I copied Team 1's values across the other four.</t>
  </si>
  <si>
    <t>menuFinancialMacroActive</t>
  </si>
  <si>
    <t>Converted to 2010</t>
  </si>
  <si>
    <t>BTA/SYU</t>
  </si>
  <si>
    <t>xxQAT</t>
  </si>
  <si>
    <t>paramEmp1BusAGenOpsPctCostReducPerHr</t>
  </si>
  <si>
    <t>paramEmp2BusAGenOpsPctCostReducPerHr</t>
  </si>
  <si>
    <t>paramEmp3BusAGenOpsPctCostReducPerHr</t>
  </si>
  <si>
    <t>paramEmp4BusAGenOpsPctCostReducPerHr</t>
  </si>
  <si>
    <t>For Feedback Slide</t>
  </si>
  <si>
    <t>Total Cost Savings from General Operations Cost Reduction</t>
  </si>
  <si>
    <t>capBusAV1LoadExpSaved</t>
  </si>
  <si>
    <t>capBusAV2LoadExpSaved</t>
  </si>
  <si>
    <t>capBusAV3LoadExpSaved</t>
  </si>
  <si>
    <t>capBusAtotalLoadExpSaved</t>
  </si>
  <si>
    <t>dataListOutsourcePer</t>
  </si>
  <si>
    <t>capBusAV1CostOfQualityIncrease</t>
  </si>
  <si>
    <t>capBusAV2CostOfQualityIncrease</t>
  </si>
  <si>
    <t>capBusAV3CostOfQualityIncrease</t>
  </si>
  <si>
    <t>capBusAtotalCostOfQualityIncrease</t>
  </si>
  <si>
    <t>Localization</t>
  </si>
  <si>
    <t>Consulting Localization % Cost</t>
  </si>
  <si>
    <t>Load Cost Decrease from Localization</t>
  </si>
  <si>
    <t>Cost of Quality Increase from Localization</t>
  </si>
  <si>
    <t xml:space="preserve"> </t>
  </si>
  <si>
    <t>Sr Executive</t>
  </si>
  <si>
    <t>decEmp4BusALocalPer</t>
  </si>
  <si>
    <t>decEmp3BusALocalPer</t>
  </si>
  <si>
    <t>decEmp2BusALocalPer</t>
  </si>
  <si>
    <t>decEmp1BusALocalPer</t>
  </si>
  <si>
    <t>capBusALocalPerCostReduce</t>
  </si>
  <si>
    <t>paramBusALocalPerQualityCost</t>
  </si>
  <si>
    <t>Consulting Local Staffing Savings</t>
  </si>
  <si>
    <t>Total Savings Percentage</t>
  </si>
  <si>
    <t>cbalBusALocalPerCostReduce</t>
  </si>
  <si>
    <t>obalBusALocalPerCostReduce</t>
  </si>
  <si>
    <t>paramSpecProgramProd1CSAT</t>
  </si>
  <si>
    <t>Consulting Relationship %</t>
  </si>
  <si>
    <t>Effect of Localization on Relationship</t>
  </si>
  <si>
    <t>Effect of Localization on Consulting Relationship</t>
  </si>
  <si>
    <t>Total Effect:</t>
  </si>
  <si>
    <t>Localization % Effect on Consulting Relationship</t>
  </si>
  <si>
    <t>capBusARelationReduceLocal</t>
  </si>
  <si>
    <t>DataTableBusARelationReduceFromLocalEmp4</t>
  </si>
  <si>
    <t>DataTableBusARelationReduceFromLocalEmp3</t>
  </si>
  <si>
    <t>DataTableBusARelationReduceFromLocalEmp2</t>
  </si>
  <si>
    <t>DataTableBusARelationReduceFromLocalEmp1</t>
  </si>
  <si>
    <t>DataTableLocalBusARelationship</t>
  </si>
  <si>
    <t>datalistFeedbackTS</t>
  </si>
  <si>
    <t>Net Localization Savings Y1</t>
  </si>
  <si>
    <t>Net Localization Savings Y2</t>
  </si>
  <si>
    <t>Net Localization Savings Y3</t>
  </si>
  <si>
    <t>Net Localization Savings Y4</t>
  </si>
  <si>
    <t>cbalNetLocalSavingsY1</t>
  </si>
  <si>
    <t>cbalNetLocalSavingsY2</t>
  </si>
  <si>
    <t>cbalNetLocalSavingsY3</t>
  </si>
  <si>
    <t>cbalNetLocalSavingsY4</t>
  </si>
  <si>
    <t>obalNetLocalSavingsY1</t>
  </si>
  <si>
    <t>obalNetLocalSavingsY2</t>
  </si>
  <si>
    <t>obalNetLocalSavingsY3</t>
  </si>
  <si>
    <t>obalNetLocalSavingsY4</t>
  </si>
  <si>
    <t>ESAT</t>
  </si>
  <si>
    <t>Acc. Leader</t>
  </si>
  <si>
    <t>AL</t>
  </si>
  <si>
    <t>Accenture</t>
  </si>
  <si>
    <t>Leader</t>
  </si>
  <si>
    <t>Management Consulting</t>
  </si>
  <si>
    <t>Reports</t>
  </si>
  <si>
    <t>Actions</t>
  </si>
  <si>
    <t>Dashboard Gauges</t>
  </si>
  <si>
    <t>Background</t>
  </si>
  <si>
    <t>Needle</t>
  </si>
  <si>
    <t>Invisible</t>
  </si>
  <si>
    <t>0-10</t>
  </si>
  <si>
    <t>10-20</t>
  </si>
  <si>
    <t>20-30</t>
  </si>
  <si>
    <t>30-40</t>
  </si>
  <si>
    <t>40-50</t>
  </si>
  <si>
    <t>50-60</t>
  </si>
  <si>
    <t>60-70</t>
  </si>
  <si>
    <t>70-80</t>
  </si>
  <si>
    <t>80-90</t>
  </si>
  <si>
    <t>90-100</t>
  </si>
  <si>
    <t>100-110</t>
  </si>
  <si>
    <t>Consulting Time Demand</t>
  </si>
  <si>
    <t>Manager. Util %</t>
  </si>
  <si>
    <t>Consultant Util %</t>
  </si>
  <si>
    <t>S&amp;IT Time Demand</t>
  </si>
  <si>
    <t>Solutions WF Util %</t>
  </si>
  <si>
    <t>Leader Util %</t>
  </si>
  <si>
    <t>Solutions Workforce</t>
  </si>
  <si>
    <t>Systems Integration &amp; Tech</t>
  </si>
  <si>
    <t>Tool Pages</t>
  </si>
  <si>
    <t>Consulting Practice 1</t>
  </si>
  <si>
    <t>Consulting Practice 2</t>
  </si>
  <si>
    <t>Consulting Practice 3</t>
  </si>
  <si>
    <t>Sales Forecast</t>
  </si>
  <si>
    <t>Marketshare Forecast %</t>
  </si>
  <si>
    <t>Last Year</t>
  </si>
  <si>
    <t>Development Levels</t>
  </si>
  <si>
    <t>Total Payroll Expense (000)</t>
  </si>
  <si>
    <t>Cost Savings (000)</t>
  </si>
  <si>
    <t>Local Staffing</t>
  </si>
  <si>
    <t>% Local</t>
  </si>
  <si>
    <t>Outsourcing Time Demand</t>
  </si>
  <si>
    <t>Client Costs</t>
  </si>
  <si>
    <t>Internal Costs</t>
  </si>
  <si>
    <t>Price (000)</t>
  </si>
  <si>
    <t>Corporate and HR</t>
  </si>
  <si>
    <t>Enterprise Workforce Time Demand</t>
  </si>
  <si>
    <t>In-Year Dismissal</t>
  </si>
  <si>
    <t>Average Salary</t>
  </si>
  <si>
    <t>Training per Employee (hrs)</t>
  </si>
  <si>
    <t>GoToToolBusAPrac1</t>
  </si>
  <si>
    <t>GoToToolBusAPrac2</t>
  </si>
  <si>
    <t>GoToToolBusAPrac3</t>
  </si>
  <si>
    <t>Sales</t>
  </si>
  <si>
    <t>CRM</t>
  </si>
  <si>
    <t>HCM</t>
  </si>
  <si>
    <t>CRM Practice</t>
  </si>
  <si>
    <t>HCM Practice</t>
  </si>
  <si>
    <t>Thought Leadership</t>
  </si>
  <si>
    <t>Total Thought Leadership</t>
  </si>
  <si>
    <t>Director / EM</t>
  </si>
  <si>
    <t>PM / Analyst</t>
  </si>
  <si>
    <t>Technical</t>
  </si>
  <si>
    <t>Adam Aranyos</t>
  </si>
  <si>
    <t>Salary vs. Forecasted Revenue</t>
  </si>
  <si>
    <t>Salesforce Allocation</t>
  </si>
  <si>
    <t>Sales Support Level Prac 1</t>
  </si>
  <si>
    <t>Sales Support Level Prac 2</t>
  </si>
  <si>
    <t>Sales Support Level Prac 3</t>
  </si>
  <si>
    <t>Sales Page</t>
  </si>
  <si>
    <t>Sales Hours Allocation</t>
  </si>
  <si>
    <t>Profit and Loss Statement</t>
  </si>
  <si>
    <t>Gross Margin</t>
  </si>
  <si>
    <t>Operating Income</t>
  </si>
  <si>
    <t>GotoToolPNLBusA</t>
  </si>
  <si>
    <t>capBusACurrProjV1HrsReqBookings</t>
  </si>
  <si>
    <t>capBusACurrProjV2HrsReqBookings</t>
  </si>
  <si>
    <t>capBusACurrProjV3HrsReqBookings</t>
  </si>
  <si>
    <t>Total Current Projects Hrs. Required - Bookings</t>
  </si>
  <si>
    <t>finPNLProd1V1Bookings</t>
  </si>
  <si>
    <t>finPNLProd1V2Bookings</t>
  </si>
  <si>
    <t>finPNLProd1V3Bookings</t>
  </si>
  <si>
    <t>finPNLProd1Bookings</t>
  </si>
  <si>
    <t>Bookings</t>
  </si>
  <si>
    <t>finBookings</t>
  </si>
  <si>
    <t>obalBookings</t>
  </si>
  <si>
    <t>cbalBookings</t>
  </si>
  <si>
    <t>Bookings Growth</t>
  </si>
  <si>
    <t>finBookingsCAGR</t>
  </si>
  <si>
    <t>Michael Heslin</t>
  </si>
  <si>
    <t>Profit and Loss Statement (000's)</t>
  </si>
  <si>
    <t>Total Bookings Growth</t>
  </si>
  <si>
    <t>Reputation</t>
  </si>
  <si>
    <t>Practice 1 - CRM</t>
  </si>
  <si>
    <t>Thought Leadership Decision</t>
  </si>
  <si>
    <t>Opening Thought Leadership</t>
  </si>
  <si>
    <t>Min</t>
  </si>
  <si>
    <t>obalBusATLV1</t>
  </si>
  <si>
    <t>obalBusATLV2</t>
  </si>
  <si>
    <t>obalBusATLV3</t>
  </si>
  <si>
    <t>cbalBusATLV1</t>
  </si>
  <si>
    <t>cbalBusATLV2</t>
  </si>
  <si>
    <t>cbalBusATLV3</t>
  </si>
  <si>
    <t>Ending Thought Leadership</t>
  </si>
  <si>
    <t>capTLPrac1</t>
  </si>
  <si>
    <t>capTLPrac2</t>
  </si>
  <si>
    <t>Practice 2 - HCM</t>
  </si>
  <si>
    <t>capTLPrac3</t>
  </si>
  <si>
    <t>0-30% allocation</t>
  </si>
  <si>
    <t>capESATEnd</t>
  </si>
  <si>
    <t>Profitability</t>
  </si>
  <si>
    <t>Customer Satisfaction (CSAT)</t>
  </si>
  <si>
    <t>Opening CSAT</t>
  </si>
  <si>
    <t>Ending CSAT</t>
  </si>
  <si>
    <t>paramSpecProgramCSAT</t>
  </si>
  <si>
    <t>cbalCSAT</t>
  </si>
  <si>
    <t>Staffing - Practice 1</t>
  </si>
  <si>
    <t>Staffing - Practice 2</t>
  </si>
  <si>
    <t>Staffing - Practice 3</t>
  </si>
  <si>
    <t>Staffing less than 100% has negative impact</t>
  </si>
  <si>
    <t>finBalCardTotalCSAT</t>
  </si>
  <si>
    <t>Balanced Scorecard</t>
  </si>
  <si>
    <t>Salary Expense Sales</t>
  </si>
  <si>
    <t>GM</t>
  </si>
  <si>
    <t>OM</t>
  </si>
  <si>
    <t>S&amp;M %</t>
  </si>
  <si>
    <t>G&amp;A %</t>
  </si>
  <si>
    <t>OM %</t>
  </si>
  <si>
    <t>Total G&amp;A</t>
  </si>
  <si>
    <t>GM %</t>
  </si>
  <si>
    <t>R&amp;D</t>
  </si>
  <si>
    <t>Internal Assets</t>
  </si>
  <si>
    <t>finPNLRDExp</t>
  </si>
  <si>
    <t>finPNLInternalAssetsExp</t>
  </si>
  <si>
    <t>Corporate</t>
  </si>
  <si>
    <t>Research and Development</t>
  </si>
  <si>
    <t>obalInternalAssets</t>
  </si>
  <si>
    <t>cbalInternalAssets</t>
  </si>
  <si>
    <t>decInternalAssets</t>
  </si>
  <si>
    <t>Research and Development Costs</t>
  </si>
  <si>
    <t>Cumulative Investment</t>
  </si>
  <si>
    <t>Level</t>
  </si>
  <si>
    <t>Total R&amp;D</t>
  </si>
  <si>
    <t>R&amp;D %</t>
  </si>
  <si>
    <t>Sales Expenses</t>
  </si>
  <si>
    <t>Marketing Expenses</t>
  </si>
  <si>
    <t>Thought Leadership Expenses</t>
  </si>
  <si>
    <t xml:space="preserve"> Dismiss   </t>
  </si>
  <si>
    <t>[NOT USED]</t>
  </si>
  <si>
    <t>Forecasted Bookings ($m)</t>
  </si>
  <si>
    <t>Forecasted Bookings Growth</t>
  </si>
  <si>
    <t>Research and Development Allocation</t>
  </si>
  <si>
    <t>finPNLBusAV1RDExp</t>
  </si>
  <si>
    <t>finPNLBusAV2RDExp</t>
  </si>
  <si>
    <t>finPNLBusAV3RDExp</t>
  </si>
  <si>
    <t>Prac 1</t>
  </si>
  <si>
    <t>Prac 2</t>
  </si>
  <si>
    <t>Prac 3</t>
  </si>
  <si>
    <t>obalPrac1Bookings</t>
  </si>
  <si>
    <t>obalPrac2Bookings</t>
  </si>
  <si>
    <t>obalPrac3Bookings</t>
  </si>
  <si>
    <t>cbalPrac1Bookings</t>
  </si>
  <si>
    <t>cbalPrac2Bookings</t>
  </si>
  <si>
    <t>cbalPrac3Bookings</t>
  </si>
  <si>
    <t>Risk</t>
  </si>
  <si>
    <t>Total Bookings</t>
  </si>
  <si>
    <t>finPNLTotalMSExp</t>
  </si>
  <si>
    <t>Gross Profit</t>
  </si>
  <si>
    <t>Decision Summary Report</t>
  </si>
  <si>
    <t>Sales Decisions</t>
  </si>
  <si>
    <t>Avg. Price per Hour</t>
  </si>
  <si>
    <t>Market Growth Forecast</t>
  </si>
  <si>
    <t>Hours Staffed</t>
  </si>
  <si>
    <t>Recruiting Decisions</t>
  </si>
  <si>
    <t>Training Budget</t>
  </si>
  <si>
    <t>Investment Level</t>
  </si>
  <si>
    <t>Strategic Initatives</t>
  </si>
  <si>
    <t>Engagement Overhead</t>
  </si>
  <si>
    <t>People Investments</t>
  </si>
  <si>
    <t>Voluntary Attrition</t>
  </si>
  <si>
    <t>Gross Margin (%)</t>
  </si>
  <si>
    <t>Operating Margin (%)</t>
  </si>
  <si>
    <t>Engagement Delivery Allocation</t>
  </si>
  <si>
    <t>Bookings CAGR</t>
  </si>
  <si>
    <t>Practices</t>
  </si>
  <si>
    <t>Research &amp; Development Expense</t>
  </si>
  <si>
    <t>Marketing Budget</t>
  </si>
  <si>
    <t>Next Yr. Salary Level</t>
  </si>
  <si>
    <t>decEmp4SalaryLvl</t>
  </si>
  <si>
    <t>decEmp3SalaryLvl</t>
  </si>
  <si>
    <t>decEmp2SalaryLvl</t>
  </si>
  <si>
    <t>decEmp1SalaryLvl</t>
  </si>
  <si>
    <t>Hiring</t>
  </si>
  <si>
    <t>R&amp;D Investments</t>
  </si>
  <si>
    <t>Employee Admin Expense</t>
  </si>
  <si>
    <t>Total Sales and Marketing Expense</t>
  </si>
  <si>
    <t>Total G&amp;A Expense</t>
  </si>
  <si>
    <t>Cross-selling Across All Practices</t>
  </si>
  <si>
    <t>Special Programs Expense Product 3 (Global)</t>
  </si>
  <si>
    <t>paramSpecProgProd1Seg1Sales</t>
  </si>
  <si>
    <t>paramSpecProgProd1Seg2Sales</t>
  </si>
  <si>
    <t>paramSpecProgProd1Seg3Sales</t>
  </si>
  <si>
    <t>Expand the Pre-Sales Team</t>
  </si>
  <si>
    <t>Double Down on Presence at Industry Conferences</t>
  </si>
  <si>
    <t>Focus on "Prove It" Moments in Sales Cycle</t>
  </si>
  <si>
    <t>Expand Thought Leadership Publishing</t>
  </si>
  <si>
    <t>Launch a Leadership Academy</t>
  </si>
  <si>
    <t>Funnovation Challenge</t>
  </si>
  <si>
    <t>Career Incentives for Risk Taking and Innovation</t>
  </si>
  <si>
    <t>Define and Communicate the Career Roadmap</t>
  </si>
  <si>
    <t>Scale "Launch Week" to All Projects</t>
  </si>
  <si>
    <t>paramProd1AdminCost</t>
  </si>
  <si>
    <t>Relationship P1</t>
  </si>
  <si>
    <t>Relationship P2</t>
  </si>
  <si>
    <t>Relationship P3</t>
  </si>
  <si>
    <t>Beware of overheating - Partner to flex capaicty</t>
  </si>
  <si>
    <t>Beware of overheating - Unbillable hours for goodwill</t>
  </si>
  <si>
    <t>Beware of overheating - Do nothing</t>
  </si>
  <si>
    <t>CRM TL Level Add</t>
  </si>
  <si>
    <t>HCM TL Level Add</t>
  </si>
  <si>
    <t>paramSpecProgTLLevelAddPrac1</t>
  </si>
  <si>
    <t>paramSpecProgTLLevelAddPrac2</t>
  </si>
  <si>
    <t>paramSpecProgTLLevelAddPrac3</t>
  </si>
  <si>
    <t>Directors/EM</t>
  </si>
  <si>
    <t>PM/Analyst</t>
  </si>
  <si>
    <t>PM/Analysts Training</t>
  </si>
  <si>
    <t>Thought Leadership P1</t>
  </si>
  <si>
    <t>Thought Leadership P2</t>
  </si>
  <si>
    <t>Thought Leadership P3</t>
  </si>
  <si>
    <t>capBusARiskUtiliz</t>
  </si>
  <si>
    <t>Average Bill Rate</t>
  </si>
  <si>
    <t xml:space="preserve">Sales Hours </t>
  </si>
  <si>
    <t>Project Staffing</t>
  </si>
  <si>
    <t>% of Projects Staffed</t>
  </si>
  <si>
    <t>Involuntary Attrition</t>
  </si>
  <si>
    <t>Development &amp; Fun (per Emp.)</t>
  </si>
  <si>
    <t>Goodwill Hours Expense</t>
  </si>
  <si>
    <t>Total Cost of Sales</t>
  </si>
  <si>
    <t>finPNLTotalCOSExp</t>
  </si>
  <si>
    <t>Directors/EM Utilization</t>
  </si>
  <si>
    <t>PMs/Analyst Utilization</t>
  </si>
  <si>
    <t>Technical Utilization</t>
  </si>
  <si>
    <t>Your Technical consultants are overallocated in Consulting</t>
  </si>
  <si>
    <t>Your PMs/Analysts are overallocated in Consulting</t>
  </si>
  <si>
    <t>Your directors/EMs are overallocated in Consulting</t>
  </si>
  <si>
    <t>Project  Staffing</t>
  </si>
  <si>
    <t>Director/EM</t>
  </si>
  <si>
    <t>PM/Analysts</t>
  </si>
  <si>
    <t>Not Used</t>
  </si>
  <si>
    <t>PMs/ Analysts</t>
  </si>
  <si>
    <t>Director/Ems</t>
  </si>
  <si>
    <t>Development &amp; Fun</t>
  </si>
  <si>
    <t>Slightly below market</t>
  </si>
  <si>
    <t>Projected Growth by Practice</t>
  </si>
  <si>
    <t>Involuntary Attrition Level</t>
  </si>
  <si>
    <t>CRM R0</t>
  </si>
  <si>
    <t>CRM R1</t>
  </si>
  <si>
    <t>CRM R2</t>
  </si>
  <si>
    <t>HCM R0</t>
  </si>
  <si>
    <t>HCM R1</t>
  </si>
  <si>
    <t>HCM R2</t>
  </si>
  <si>
    <t>CRM Workload Distribution</t>
  </si>
  <si>
    <t>HCM Workload Distribution</t>
  </si>
  <si>
    <t>UTE</t>
  </si>
  <si>
    <t>Gross Margin (% of Revenue)</t>
  </si>
  <si>
    <t>Operating Margin (% of Revenue)</t>
  </si>
  <si>
    <t>Research and Development Expense</t>
  </si>
  <si>
    <t>Operating Profit</t>
  </si>
  <si>
    <t>Sales Training</t>
  </si>
  <si>
    <t>Sales Admin</t>
  </si>
  <si>
    <t>Sales Recruiting/Dismissal</t>
  </si>
  <si>
    <t>finEmp6AV1TrainingTimeExp</t>
  </si>
  <si>
    <t>finEmp6AV1AdminExp</t>
  </si>
  <si>
    <t>finEmp6AV1RecDismExp</t>
  </si>
  <si>
    <t>finEmp6AV2TrainingTimeExp</t>
  </si>
  <si>
    <t>finEmp6AV2AdminExp</t>
  </si>
  <si>
    <t>finEmp6AV2RecDismExp</t>
  </si>
  <si>
    <t>finEmp6AV3TrainingTimeExp</t>
  </si>
  <si>
    <t>finEmp6AV3AdminExp</t>
  </si>
  <si>
    <t>finEmp6AV3RecDismExp</t>
  </si>
  <si>
    <t>Director/EM's</t>
  </si>
  <si>
    <t>Candidates in Job Market</t>
  </si>
  <si>
    <t>Development &amp; Fun Expense</t>
  </si>
  <si>
    <t>Alternative Compensation Structures</t>
  </si>
  <si>
    <t>Industry Eminence</t>
  </si>
  <si>
    <t>obalIndustryEminence</t>
  </si>
  <si>
    <t>cbalIndustryEminence</t>
  </si>
  <si>
    <t>decIndustryEminence</t>
  </si>
  <si>
    <t>finPNLIndustryEminenceExp</t>
  </si>
  <si>
    <t>Employee NPS</t>
  </si>
  <si>
    <t>Customer NPS</t>
  </si>
  <si>
    <t>button[ ]_visible</t>
  </si>
  <si>
    <t>Button visible?</t>
  </si>
  <si>
    <t>Row Used?</t>
  </si>
  <si>
    <t>icon_script[ ]</t>
  </si>
  <si>
    <t>Macro to Run</t>
  </si>
  <si>
    <t>icon_macro[ ]</t>
  </si>
  <si>
    <t>ScreentoolProd9</t>
  </si>
  <si>
    <t>ScreentoolProd8</t>
  </si>
  <si>
    <t>ScreentoolProd7</t>
  </si>
  <si>
    <t>Target Worksheet</t>
  </si>
  <si>
    <t>Mouseover Image Filename</t>
  </si>
  <si>
    <t>Work_Time_1</t>
  </si>
  <si>
    <t>Image Filename</t>
  </si>
  <si>
    <t>label[ ]_text</t>
  </si>
  <si>
    <t>Label 72</t>
  </si>
  <si>
    <t>Label 71</t>
  </si>
  <si>
    <t>Label 70</t>
  </si>
  <si>
    <t>Label Text Row 3</t>
  </si>
  <si>
    <t>ScreentoolProd6</t>
  </si>
  <si>
    <t>ScreentoolProd5</t>
  </si>
  <si>
    <t>ScreentoolProd4</t>
  </si>
  <si>
    <t>Label 69</t>
  </si>
  <si>
    <t>Label 68</t>
  </si>
  <si>
    <t>Label 67</t>
  </si>
  <si>
    <t>Label Text Row 2</t>
  </si>
  <si>
    <t>icon_macro66</t>
  </si>
  <si>
    <t>ScreentoolProd2</t>
  </si>
  <si>
    <t>ScreentoolProd1</t>
  </si>
  <si>
    <t>Label 66</t>
  </si>
  <si>
    <t>Label 65</t>
  </si>
  <si>
    <t>Label 64</t>
  </si>
  <si>
    <t>Label Text Row1</t>
  </si>
  <si>
    <t>tab8_rows</t>
  </si>
  <si>
    <t>tab8_visible</t>
  </si>
  <si>
    <t>Tab Visible?</t>
  </si>
  <si>
    <t>tab8_text</t>
  </si>
  <si>
    <t>Tab 8</t>
  </si>
  <si>
    <t>Tab Name</t>
  </si>
  <si>
    <t>Vision_1</t>
  </si>
  <si>
    <t>Tools_2</t>
  </si>
  <si>
    <t>Tools_1</t>
  </si>
  <si>
    <t>Label 63</t>
  </si>
  <si>
    <t>Label 62</t>
  </si>
  <si>
    <t>Label 61</t>
  </si>
  <si>
    <t>Time_Speed_1</t>
  </si>
  <si>
    <t>Team_Growth_1</t>
  </si>
  <si>
    <t>Team_3</t>
  </si>
  <si>
    <t>Label 60</t>
  </si>
  <si>
    <t>Label 59</t>
  </si>
  <si>
    <t>Label 58</t>
  </si>
  <si>
    <t>ScreentoolProd3</t>
  </si>
  <si>
    <t>Team_2</t>
  </si>
  <si>
    <t>Team_1</t>
  </si>
  <si>
    <t>Tasks_1</t>
  </si>
  <si>
    <t>Label 57</t>
  </si>
  <si>
    <t>Label 56</t>
  </si>
  <si>
    <t>Label 55</t>
  </si>
  <si>
    <t>tab7_rows</t>
  </si>
  <si>
    <t>tab7_visible</t>
  </si>
  <si>
    <t>tab7_text</t>
  </si>
  <si>
    <t>Tab 7</t>
  </si>
  <si>
    <t>Take_Action_1</t>
  </si>
  <si>
    <t>Strength_1</t>
  </si>
  <si>
    <t>Service</t>
  </si>
  <si>
    <t>Label 54</t>
  </si>
  <si>
    <t>Label 53</t>
  </si>
  <si>
    <t>Label 52</t>
  </si>
  <si>
    <t>Security_1</t>
  </si>
  <si>
    <t>Research_2</t>
  </si>
  <si>
    <t>Research_1</t>
  </si>
  <si>
    <t>Label 51</t>
  </si>
  <si>
    <t>Label 50</t>
  </si>
  <si>
    <t>Label 49</t>
  </si>
  <si>
    <t>Report</t>
  </si>
  <si>
    <t>Quote_Feedback_1</t>
  </si>
  <si>
    <t>Label 48</t>
  </si>
  <si>
    <t>Label 47</t>
  </si>
  <si>
    <t>Label 46</t>
  </si>
  <si>
    <t>tab6_rows</t>
  </si>
  <si>
    <t>tab6_visible</t>
  </si>
  <si>
    <t>tab6_text</t>
  </si>
  <si>
    <t>Tab 6</t>
  </si>
  <si>
    <t>Questions_1</t>
  </si>
  <si>
    <t>Puzzle_Strategic_1</t>
  </si>
  <si>
    <t>Program_1</t>
  </si>
  <si>
    <t>Label 45</t>
  </si>
  <si>
    <t>Label 44</t>
  </si>
  <si>
    <t>Label 43</t>
  </si>
  <si>
    <t>Process</t>
  </si>
  <si>
    <t>Presentation_1</t>
  </si>
  <si>
    <t>PNL</t>
  </si>
  <si>
    <t>Label 42</t>
  </si>
  <si>
    <t>Label 41</t>
  </si>
  <si>
    <t>Label 40</t>
  </si>
  <si>
    <t>Person_Millenial_1</t>
  </si>
  <si>
    <t>Person_4</t>
  </si>
  <si>
    <t>Person_3</t>
  </si>
  <si>
    <t>Label 39</t>
  </si>
  <si>
    <t>Label 38</t>
  </si>
  <si>
    <t>Label 37</t>
  </si>
  <si>
    <t>tab5_rows</t>
  </si>
  <si>
    <t>tab5_visible</t>
  </si>
  <si>
    <t>tab5_text</t>
  </si>
  <si>
    <t>Tab 5</t>
  </si>
  <si>
    <t>Person_2</t>
  </si>
  <si>
    <t>Person_1</t>
  </si>
  <si>
    <t>Label 36</t>
  </si>
  <si>
    <t>Label 35</t>
  </si>
  <si>
    <t>Label 34</t>
  </si>
  <si>
    <t>Oil_1</t>
  </si>
  <si>
    <t>NPS</t>
  </si>
  <si>
    <t>Money_1</t>
  </si>
  <si>
    <t>Label 33</t>
  </si>
  <si>
    <t>Label 32</t>
  </si>
  <si>
    <t>Label 31</t>
  </si>
  <si>
    <t>tab4_rows</t>
  </si>
  <si>
    <t>tab4_visible</t>
  </si>
  <si>
    <t>tab4_text</t>
  </si>
  <si>
    <t>Leadership_1</t>
  </si>
  <si>
    <t>KickOff_1</t>
  </si>
  <si>
    <t>Investment_1</t>
  </si>
  <si>
    <t>Label 27</t>
  </si>
  <si>
    <t>Label 26</t>
  </si>
  <si>
    <t>Label 25</t>
  </si>
  <si>
    <t>Interview_1</t>
  </si>
  <si>
    <t>Ideas_Knowledge_3</t>
  </si>
  <si>
    <t>Label 24</t>
  </si>
  <si>
    <t>Label 23</t>
  </si>
  <si>
    <t>Label 22</t>
  </si>
  <si>
    <t>Ideas_Knowledge_1</t>
  </si>
  <si>
    <t>Label 20</t>
  </si>
  <si>
    <t>tab3_rows</t>
  </si>
  <si>
    <t>tab3_visible</t>
  </si>
  <si>
    <t>tab3_text</t>
  </si>
  <si>
    <t>Good_Job_1</t>
  </si>
  <si>
    <t>Goal_Target_1</t>
  </si>
  <si>
    <t>Global_1</t>
  </si>
  <si>
    <t>Label 18</t>
  </si>
  <si>
    <t>Label 17</t>
  </si>
  <si>
    <t>Label 16</t>
  </si>
  <si>
    <t>Gears_1</t>
  </si>
  <si>
    <t>Fire_1</t>
  </si>
  <si>
    <t>Find_Research_1</t>
  </si>
  <si>
    <t>Label 15</t>
  </si>
  <si>
    <t>Label 14</t>
  </si>
  <si>
    <t>Label 13</t>
  </si>
  <si>
    <t>tab2_rows</t>
  </si>
  <si>
    <t>tab2_visible</t>
  </si>
  <si>
    <t>tab2_text</t>
  </si>
  <si>
    <t>Experience_1</t>
  </si>
  <si>
    <t>Email_1</t>
  </si>
  <si>
    <t>Delivery_1</t>
  </si>
  <si>
    <t>Label 9</t>
  </si>
  <si>
    <t>Label 8</t>
  </si>
  <si>
    <t>Label 7</t>
  </si>
  <si>
    <t>Cycle</t>
  </si>
  <si>
    <t>Customer_Satisfaction_1</t>
  </si>
  <si>
    <t>Communication_1</t>
  </si>
  <si>
    <t>Label 6</t>
  </si>
  <si>
    <t>Label 5</t>
  </si>
  <si>
    <t>Label 4</t>
  </si>
  <si>
    <t>tab1_rows</t>
  </si>
  <si>
    <t>tab1_visible</t>
  </si>
  <si>
    <t>ScreentoolIntro</t>
  </si>
  <si>
    <t>tab1_text</t>
  </si>
  <si>
    <t>Intro Tool Page</t>
  </si>
  <si>
    <t>rowCount</t>
  </si>
  <si>
    <t>Maximum Rows per Tab</t>
  </si>
  <si>
    <t>tabCount</t>
  </si>
  <si>
    <t>Number of Tabs Desired</t>
  </si>
  <si>
    <t>7) Press "Format Nav Menu" to apply label and image changes</t>
  </si>
  <si>
    <r>
      <t xml:space="preserve">6) Images must be uploaded and stored in a folder titled </t>
    </r>
    <r>
      <rPr>
        <b/>
        <sz val="10"/>
        <color theme="1"/>
        <rFont val="Verdana"/>
        <family val="2"/>
      </rPr>
      <t>"Images" in the same root folder</t>
    </r>
    <r>
      <rPr>
        <sz val="10"/>
        <color theme="1"/>
        <rFont val="Verdana"/>
        <family val="2"/>
      </rPr>
      <t xml:space="preserve"> as the simulation</t>
    </r>
  </si>
  <si>
    <r>
      <t xml:space="preserve">5) For buttons assigned as "True," - upload a corresponding image / mouseover image </t>
    </r>
    <r>
      <rPr>
        <b/>
        <sz val="10"/>
        <color theme="1"/>
        <rFont val="Verdana"/>
        <family val="2"/>
      </rPr>
      <t>(must be JPEG only)</t>
    </r>
  </si>
  <si>
    <t>4) Assign button visibility as "True" or "False" as desired</t>
  </si>
  <si>
    <r>
      <t xml:space="preserve">a) </t>
    </r>
    <r>
      <rPr>
        <b/>
        <sz val="10"/>
        <color theme="1"/>
        <rFont val="Verdana"/>
        <family val="2"/>
      </rPr>
      <t>If you do not wish to navigate</t>
    </r>
    <r>
      <rPr>
        <sz val="10"/>
        <color theme="1"/>
        <rFont val="Verdana"/>
        <family val="2"/>
      </rPr>
      <t xml:space="preserve">, leave "Target Worksheet" blank. </t>
    </r>
    <r>
      <rPr>
        <b/>
        <sz val="10"/>
        <color theme="1"/>
        <rFont val="Verdana"/>
        <family val="2"/>
      </rPr>
      <t>If you do not wish to run a macro on click</t>
    </r>
    <r>
      <rPr>
        <sz val="10"/>
        <color theme="1"/>
        <rFont val="Verdana"/>
        <family val="2"/>
      </rPr>
      <t>, leave "Macro to Run" blank.</t>
    </r>
  </si>
  <si>
    <t>3) In the cells for the remaining tabs and rows, enter the desired tab name, label text, and desired navigation target, and name of macro to run</t>
  </si>
  <si>
    <r>
      <t>2) Press "Tabulate Nav Layout" to update layout preferences</t>
    </r>
    <r>
      <rPr>
        <i/>
        <u/>
        <sz val="10"/>
        <color theme="1"/>
        <rFont val="Verdana"/>
        <family val="2"/>
      </rPr>
      <t/>
    </r>
  </si>
  <si>
    <t>1) Enter desired number of tabs and rows in "tabCount" and "rowCount" (make sure to keep values in these cells)</t>
  </si>
  <si>
    <t>Instructions</t>
  </si>
  <si>
    <t>**Click on START button in outputs to browse current structure. Form will update and show after clicking the controls below.</t>
  </si>
  <si>
    <t>Inputs</t>
  </si>
  <si>
    <t>ToolBTSMenu</t>
  </si>
  <si>
    <t>Intro Page Start Button</t>
  </si>
  <si>
    <t>Must assign ToolNavMenu macro</t>
  </si>
  <si>
    <t>Opens frmNav</t>
  </si>
  <si>
    <t>BTS Facilitator Menu</t>
  </si>
  <si>
    <t>Intro Page</t>
  </si>
  <si>
    <t>Nav Buttons for Tool Pages</t>
  </si>
  <si>
    <t>Outputs</t>
  </si>
  <si>
    <t xml:space="preserve">  Calculated cell. User must not modify.</t>
  </si>
  <si>
    <t xml:space="preserve">  Input cell prepopulated with formula.</t>
  </si>
  <si>
    <t xml:space="preserve">  Hard-coded input cell.  Developer may modify.</t>
  </si>
  <si>
    <t>Legend</t>
  </si>
  <si>
    <t>ModuleFactory@bts.com</t>
  </si>
  <si>
    <t>For questions or support contact:</t>
  </si>
  <si>
    <t>frmNav Controls</t>
  </si>
  <si>
    <t>Central</t>
  </si>
  <si>
    <t>Profit and Loss</t>
  </si>
  <si>
    <t>ScreentoolBusinessA</t>
  </si>
  <si>
    <t>ScreentoolPeople</t>
  </si>
  <si>
    <t>ScreentoolInitiatives</t>
  </si>
  <si>
    <t>ScreentoolBusAPrac1</t>
  </si>
  <si>
    <t>ScreentoolBusAPrac3</t>
  </si>
  <si>
    <t>ScreentoolBusAPrac2</t>
  </si>
  <si>
    <t>ScreentoolPNLBusA</t>
  </si>
  <si>
    <t>ScreentoolDecSummary</t>
  </si>
  <si>
    <t>Handshake</t>
  </si>
  <si>
    <t>Money</t>
  </si>
  <si>
    <t>Software</t>
  </si>
  <si>
    <t>Integration Readiness Plan</t>
  </si>
  <si>
    <t>Industry Eminence Level Add</t>
  </si>
  <si>
    <t>paramSpecProgIndustryEminenceLevelAdd</t>
  </si>
  <si>
    <t>Init 14 (Integration Readiness Plan) Selected?</t>
  </si>
  <si>
    <t>The Acquisition - Acquire</t>
  </si>
  <si>
    <t>The Acquisition - Leverage Integro Capabilities</t>
  </si>
  <si>
    <t>Multiplier</t>
  </si>
  <si>
    <t xml:space="preserve">The Roxy Response - Gently guide the conversation </t>
  </si>
  <si>
    <t>The Roxy Response - Walk by and discuss afterwards</t>
  </si>
  <si>
    <t xml:space="preserve">The Roxy Response - Lean in with Sander and Ismail </t>
  </si>
  <si>
    <t>The Roxy Response - Coach Roxy individually in the moment</t>
  </si>
  <si>
    <t xml:space="preserve">The Presentation Pretender - Actions have consequences </t>
  </si>
  <si>
    <t xml:space="preserve">The Presentation Pretender - Get to the root cause </t>
  </si>
  <si>
    <t>The Presentation Pretender - Problem solve</t>
  </si>
  <si>
    <t>Futuria Practice</t>
  </si>
  <si>
    <t>Futuria Workload Distribution</t>
  </si>
  <si>
    <t>Futuria</t>
  </si>
  <si>
    <t>Futuria Practice Exp Adjustment</t>
  </si>
  <si>
    <t>Futuria R0</t>
  </si>
  <si>
    <t>Futuria R1</t>
  </si>
  <si>
    <t>Futuria R2</t>
  </si>
  <si>
    <t>Futuria TL Level Add</t>
  </si>
  <si>
    <t>Init 15 (Futuria Organic Growth) Selected?</t>
  </si>
  <si>
    <t>Practice 3 - Futuria</t>
  </si>
  <si>
    <t>Idea</t>
  </si>
  <si>
    <t>Onsite</t>
  </si>
  <si>
    <t>Offshore</t>
  </si>
  <si>
    <t>Offshore - Prac 1</t>
  </si>
  <si>
    <t>Offshore - Prac 2</t>
  </si>
  <si>
    <t>Offshore - Prac 3</t>
  </si>
  <si>
    <t>Improve Visibility with Offshore</t>
  </si>
  <si>
    <t>Offshore Utilization - Project Risk</t>
  </si>
  <si>
    <t>Offshore Utilization</t>
  </si>
  <si>
    <t>Your Offshore are overallocated in Consulting</t>
  </si>
  <si>
    <t>Project Risk (Offshore)</t>
  </si>
  <si>
    <t>Global Delivery Centers</t>
  </si>
  <si>
    <t>Global Delivery Centers Base Expense</t>
  </si>
  <si>
    <t>Global Delivery</t>
  </si>
  <si>
    <t>CRM Revenue Y1</t>
  </si>
  <si>
    <t>CRM Revenue Y2</t>
  </si>
  <si>
    <t>Futuria Revenue Y1</t>
  </si>
  <si>
    <t>Futuria Revenue Y2</t>
  </si>
  <si>
    <t>HCM Revenue Y1</t>
  </si>
  <si>
    <t>HCM Revenue Y2</t>
  </si>
  <si>
    <t>obalPrac1RevY1</t>
  </si>
  <si>
    <t>obalPrac1RevY2</t>
  </si>
  <si>
    <t>obalPrac2RevY1</t>
  </si>
  <si>
    <t>obalPrac2RevY2</t>
  </si>
  <si>
    <t>obalPrac3RevY1</t>
  </si>
  <si>
    <t>obalPrac3RevY2</t>
  </si>
  <si>
    <t>cbalPrac1RevY1</t>
  </si>
  <si>
    <t>cbalPrac1RevY2</t>
  </si>
  <si>
    <t>cbalPrac2RevY1</t>
  </si>
  <si>
    <t>cbalPrac2RevY2</t>
  </si>
  <si>
    <t>cbalPrac3RevY1</t>
  </si>
  <si>
    <t>cbalPrac3RevY2</t>
  </si>
  <si>
    <t>CSAT Y1</t>
  </si>
  <si>
    <t>CSAT Y2</t>
  </si>
  <si>
    <t>obalCSATY1</t>
  </si>
  <si>
    <t>obalCSATY2</t>
  </si>
  <si>
    <t>cbalCSATY1</t>
  </si>
  <si>
    <t>cbalCSATY2</t>
  </si>
  <si>
    <t>obalBusAEmp4UtilizY1</t>
  </si>
  <si>
    <t>obalBusAEmp4UtilizY2</t>
  </si>
  <si>
    <t>obalBusAEmp3UtilizY1</t>
  </si>
  <si>
    <t>obalBusAEmp3UtilizY2</t>
  </si>
  <si>
    <t>obalBusAEmp2UtilizY1</t>
  </si>
  <si>
    <t>obalBusAEmp2UtilizY2</t>
  </si>
  <si>
    <t>obalBusAEmp9UtilizY1</t>
  </si>
  <si>
    <t>obalBusAEmp9UtilizY2</t>
  </si>
  <si>
    <t>Director / EM Utilization Y1</t>
  </si>
  <si>
    <t>Director / EM Utilization Y2</t>
  </si>
  <si>
    <t>PM / Analyst Utilization Y1</t>
  </si>
  <si>
    <t>PM / Analyst Utilization Y2</t>
  </si>
  <si>
    <t>Technical Utilization Y1</t>
  </si>
  <si>
    <t>Technical Utilization Y2</t>
  </si>
  <si>
    <t>Global Delivery Centers Utilization Y1</t>
  </si>
  <si>
    <t>Global Delivery Centers Utilization Y2</t>
  </si>
  <si>
    <t>cbalBusAEmp4UtilizY1</t>
  </si>
  <si>
    <t>cbalBusAEmp4UtilizY2</t>
  </si>
  <si>
    <t>cbalBusAEmp3UtilizY1</t>
  </si>
  <si>
    <t>cbalBusAEmp3UtilizY2</t>
  </si>
  <si>
    <t>cbalBusAEmp2UtilizY1</t>
  </si>
  <si>
    <t>cbalBusAEmp2UtilizY2</t>
  </si>
  <si>
    <t>cbalBusAEmp9UtilizY1</t>
  </si>
  <si>
    <t>cbalBusAEmp9UtilizY2</t>
  </si>
  <si>
    <t>Futuria Organic Growth Objectives</t>
  </si>
  <si>
    <t>Hiring and retaining a diverse &amp; inclusive workforce</t>
  </si>
  <si>
    <t>Starting Headcount</t>
  </si>
  <si>
    <t>Ending Headcount (Pre-Hiring Plan)</t>
  </si>
  <si>
    <t>Industry Focused Training</t>
  </si>
  <si>
    <t>5th Year</t>
  </si>
  <si>
    <t>6th Year</t>
  </si>
  <si>
    <t>CRM R3</t>
  </si>
  <si>
    <t>HCM R3</t>
  </si>
  <si>
    <t>Futuria R3</t>
  </si>
  <si>
    <t>tlOuputNamer Module</t>
  </si>
  <si>
    <t>For support contact:</t>
  </si>
  <si>
    <t>Input Cell Types</t>
  </si>
  <si>
    <t>Calculation Cell Types</t>
  </si>
  <si>
    <t xml:space="preserve">  Hard-coded cell.  Developer may modify.</t>
  </si>
  <si>
    <t xml:space="preserve">  Formula cell.  Developer may modify.</t>
  </si>
  <si>
    <t xml:space="preserve">  Cell must be linked to another worksheet.</t>
  </si>
  <si>
    <t>Inputs / Configuration</t>
  </si>
  <si>
    <t>Sheet prefix for naming</t>
  </si>
  <si>
    <t>tl</t>
  </si>
  <si>
    <t>_tlOutputNamer_SheetPre</t>
  </si>
  <si>
    <t>Screen range to search in</t>
  </si>
  <si>
    <t>Screen</t>
  </si>
  <si>
    <t>_tlOutputNamer_ScreenName</t>
  </si>
  <si>
    <t>**Must be manually added for MiniMaster solutions</t>
  </si>
  <si>
    <t>Color of cells to name</t>
  </si>
  <si>
    <t>_tlOutputNamer_Color</t>
  </si>
  <si>
    <t>A1:R40</t>
  </si>
  <si>
    <t>A1:X52</t>
  </si>
  <si>
    <t>A1:W32</t>
  </si>
  <si>
    <t>A1:X32</t>
  </si>
  <si>
    <t>A1:X75</t>
  </si>
  <si>
    <t>A1:Z75</t>
  </si>
  <si>
    <t>A1:U400</t>
  </si>
  <si>
    <t>tlBusAPrac1!$H$15</t>
  </si>
  <si>
    <t>tlBusAPrac1!$L$15</t>
  </si>
  <si>
    <t>tlBusAPrac1!$J$15</t>
  </si>
  <si>
    <t>Offshore Productivity Coeficient</t>
  </si>
  <si>
    <t>Technical Productivity Coeficient</t>
  </si>
  <si>
    <t>PM / Analyst  Productivity Coeficient</t>
  </si>
  <si>
    <t>Director / EM  Productivity Coeficient</t>
  </si>
  <si>
    <t>Sales Productivity Coeficient</t>
  </si>
  <si>
    <t>Offshore Attrition rate</t>
  </si>
  <si>
    <t>Technical Attrition rate</t>
  </si>
  <si>
    <t>PM / Analyst Attrition rate</t>
  </si>
  <si>
    <t>Director / EM Attrition rate</t>
  </si>
  <si>
    <t>Sales Attrition rate</t>
  </si>
  <si>
    <t>Offshore Load Cost % of Salary</t>
  </si>
  <si>
    <t>Technical Load Cost % of Salary</t>
  </si>
  <si>
    <t>PM / Analyst Load Cost % of Salary</t>
  </si>
  <si>
    <t>Director / EM Load Cost % of Salary</t>
  </si>
  <si>
    <t>Offshore Recruit/Dismissal Cost</t>
  </si>
  <si>
    <t>Technical Recruit/Dismissal Cost</t>
  </si>
  <si>
    <t>PM / Analyst Recruit/Dismissal Cost</t>
  </si>
  <si>
    <t>Director / EM Recruit/Dismissal Cost</t>
  </si>
  <si>
    <t>Sales Recruit/Dismissal Cost</t>
  </si>
  <si>
    <t>Industry 1 Base COS</t>
  </si>
  <si>
    <t>Industry 2 Base COS</t>
  </si>
  <si>
    <t>Industry 3 Base COS</t>
  </si>
  <si>
    <t>Special Program Sales CRM</t>
  </si>
  <si>
    <t>Special Program Sales HCM</t>
  </si>
  <si>
    <t>Special Program Sales Futuria</t>
  </si>
  <si>
    <t>Sales Salary</t>
  </si>
  <si>
    <t>Special Program Sales Consulting</t>
  </si>
  <si>
    <t>Offshore Hours Per Year</t>
  </si>
  <si>
    <t>Special Program Recruiting Employees</t>
  </si>
  <si>
    <t>SI &amp; T Sr. Mgr  Productivity Coeficient</t>
  </si>
  <si>
    <t>Consulting Admin Costs</t>
  </si>
  <si>
    <t>Bookings: $338.8M       Bookings CAGR: 0.0%       Revenues: $200.5M       GM: 34.8%       OM: -73.2%</t>
  </si>
  <si>
    <t>(Consulting Time Demand)   Acc. Leader: 50.6%    Sr. Manager/Manager: 46.2%    Consultant/Analyst: 47.7%</t>
  </si>
  <si>
    <t>(Outsourcing Time Demand)  Acc. Leader: 25.7%   Sr. Manager/Manager: 28.5%    Consultant/Analyst: 39.6%    Solutions WF: 40.6%</t>
  </si>
  <si>
    <t>Cost of Quality: $12.7M       Forecasted New Outsourcing Revenue: $0.0M</t>
  </si>
  <si>
    <t>Enterprise WF Time Demand: 18.7%</t>
  </si>
  <si>
    <t>Forecasted Total Training Budget Next Yr: $7.0M</t>
  </si>
  <si>
    <t>(SI&amp;T Time Demand)   Acc. Leader: 91.2%    Sr. Manager/Manager: 101.8%    Consultant/Analyst: 81.2%    Solutions WF: 20.4%</t>
  </si>
  <si>
    <t>Integro, Year 1</t>
  </si>
  <si>
    <t>Director / EM: 50.6%</t>
  </si>
  <si>
    <t xml:space="preserve"> PM / Analyst: 46.2%</t>
  </si>
  <si>
    <t>Technical: 47.7%</t>
  </si>
  <si>
    <t>Global Delivery Centers: 81.2%</t>
  </si>
  <si>
    <t>Leader: 25.7%</t>
  </si>
  <si>
    <t xml:space="preserve"> Manager: 28.5%</t>
  </si>
  <si>
    <t>Consultant: 39.6%</t>
  </si>
  <si>
    <t>Solutions WF: 20.4%</t>
  </si>
  <si>
    <t>Selling Utilization: 18.7%</t>
  </si>
  <si>
    <t xml:space="preserve"> ="Bookings: " &amp;TEXT(INDEX(finBookings/1000000,xxIndexTeam),"$#,###.0;-$#,###.0;0.0")&amp;"M"&amp;"       Bookings CAGR: " &amp;TEXT(INDEX(finBookingsCAGR,xxIndexTeam),"#0.0%")&amp;"       Revenues: " &amp;TEXT(INDEX(finPNLTotalRev/1000000,xxIndexTeam),"$#,###.0;-$#,###.0;0.0%")&amp;"M"&amp;"       GM: " &amp;TEXT(INDEX(finPNLTotalGrossProfit/finPNLTotalRev,xxIndexTeam),"#0.0%")&amp;"       OM: " &amp;TEXT(INDEX(finPNLTotalOpIncome/finPNLTotalRev,xxIndexTeam),"#0.0%")</t>
  </si>
  <si>
    <t xml:space="preserve"> ="(Consulting Time Demand)"&amp;"   Acc. Leader: " &amp;TEXT(INDEX(capBusAEmp4Utiliz,xxIndexTeam),"##0.0%;-##0.0%;0.0%")&amp;"    Sr. Manager/Manager: " &amp;TEXT(INDEX(capBusAEmp3Utiliz,xxIndexTeam),"##0.0%;-##0.0%;0.0%")&amp;"    Consultant/Analyst: " &amp;TEXT(INDEX(capBusAEmp2Utiliz,xxIndexTeam),"##0.0%;-##0.0%;0.0%")</t>
  </si>
  <si>
    <t xml:space="preserve"> ="(Outsourcing Time Demand)"&amp;"  Acc. Leader: " &amp;TEXT(INDEX(capBusBEmp4Utiliz,xxIndexTeam),"##0.0%;-##0.0%;0.0%")&amp;"   Sr. Manager/Manager: " &amp;TEXT(INDEX(capBusBEmp3Utiliz,xxIndexTeam),"##0.0%;-##0.0%;0.0%")&amp;"    Consultant/Analyst: " &amp;TEXT(INDEX(capBusBEmp2Utiliz,xxIndexTeam),"##0.0%;-##0.0%;0.0%")&amp;"    Solutions WF: " &amp;TEXT(INDEX(capBusBEmp1Utiliz,xxIndexTeam),"##0.0%;-##0.0%;0.0%")</t>
  </si>
  <si>
    <t xml:space="preserve"> ="Cost of Quality: " &amp;TEXT(INDEX(finPNLBusBTotalQualityCost/1000000,xxIndexTeam),"$#,###.0;-$#,###.0;0.0")&amp;"M"&amp;"       Forecasted New Outsourcing Revenue: "&amp;TEXT(INDEX(capBusBTotalForecastRev/1000000,xxIndexTeam),"$#,###.0;-$#,###.0;$0.0")&amp;"M"</t>
  </si>
  <si>
    <t xml:space="preserve"> ="Enterprise WF Time Demand: " &amp;TEXT(INDEX(capEmp6Utiliz,xxIndexTeam),"###.0%;-###.0%;0.0%")</t>
  </si>
  <si>
    <t xml:space="preserve"> ="Forecasted Total Training Budget Next Yr: " &amp;TEXT(INDEX(capTotalTrainingBudForecast/1000000,xxIndexTeam),"$#,###.0;-$#,###.0;0.0")&amp;"M"</t>
  </si>
  <si>
    <t xml:space="preserve"> ="(SI&amp;T Time Demand)"&amp;"   Acc. Leader: " &amp;TEXT(INDEX(capBusAEmp7Utiliz,xxIndexTeam),"##0.0%;-##0.0%;0.0%")&amp;"    Sr. Manager/Manager: " &amp;TEXT(INDEX(capBusAEmp8Utiliz,xxIndexTeam),"##0.0%;-##0.0%;0.0%")&amp;"    Consultant/Analyst: " &amp;TEXT(INDEX(capBusAEmp9Utiliz,xxIndexTeam),"##0.0%;-##0.0%;0.0%")&amp;"    Solutions WF: " &amp;TEXT(INDEX(capBusAEmp1Utiliz,xxIndexTeam),"##0.0%;-##0.0%;0.0%")</t>
  </si>
  <si>
    <t>Business A1</t>
  </si>
  <si>
    <t>Goodwilll Hours Expense</t>
  </si>
  <si>
    <t>(Consulting Time Demand) Acc. Leader</t>
  </si>
  <si>
    <t>(Outsourcing Time Demand)  Acc. Leader</t>
  </si>
  <si>
    <t>Forecasted New Outsourcing Revenue</t>
  </si>
  <si>
    <t>Enterprise WF Time Demand</t>
  </si>
  <si>
    <t>Forecasted Total Training Budget Next Yr</t>
  </si>
  <si>
    <t>(SI&amp;T Time Demand)  Acc. Leader</t>
  </si>
  <si>
    <t>tlOutputDBBookings</t>
  </si>
  <si>
    <t>tlOutputDBBookingsCAGR</t>
  </si>
  <si>
    <t>tlOutputDBTotalRev</t>
  </si>
  <si>
    <t>tlOutputDBGM</t>
  </si>
  <si>
    <t>tlOutputDBOM</t>
  </si>
  <si>
    <t>tlOutputDBBusATotalQualityCost</t>
  </si>
  <si>
    <t>tlOutputDBESATEnd</t>
  </si>
  <si>
    <t>tlOutputDBCSATEnd</t>
  </si>
  <si>
    <t>tlOutputDBBusAEmp4Utiliz</t>
  </si>
  <si>
    <t>tlOutputDBBusAEmp3Utiliz</t>
  </si>
  <si>
    <t>tlOutputDBBusAEmp2Utiliz</t>
  </si>
  <si>
    <t>tlOutputDBBusBEmp4Utiliz</t>
  </si>
  <si>
    <t>tlOutputDBBusBEmp3Utiliz</t>
  </si>
  <si>
    <t>tlOutputDBBusBEmp2Utiliz</t>
  </si>
  <si>
    <t>tlOutputDBBusBEmp1Utiliz</t>
  </si>
  <si>
    <t>tlOutputDBBusBTotalQualityCost</t>
  </si>
  <si>
    <t>tlOutputDBBusBTotalForecastRev</t>
  </si>
  <si>
    <t>tlOutputDBEmp6Utiliz</t>
  </si>
  <si>
    <t>tlOutputDBTotalTrainingBudForecast</t>
  </si>
  <si>
    <t>tlOutputDBBusAEmp7Utiliz</t>
  </si>
  <si>
    <t>tlOutputDBBusAEmp8Utiliz</t>
  </si>
  <si>
    <t>tlOutputDBBusAEmp9Utiliz</t>
  </si>
  <si>
    <t>tlOutputDBBusAEmp1Utiliz</t>
  </si>
  <si>
    <t>S&amp;ITConsultant Util %</t>
  </si>
  <si>
    <t>Gauges (Dasbaord)</t>
  </si>
  <si>
    <t>Gauges Blank Range Names</t>
  </si>
  <si>
    <t xml:space="preserve">Director / EM: </t>
  </si>
  <si>
    <t>PM / Analyst:</t>
  </si>
  <si>
    <t>Selling Utilization</t>
  </si>
  <si>
    <t>tlOutputGaugeBusAEmp4Utiliz</t>
  </si>
  <si>
    <t>tlOutputGaugeBusAEmp3Utiliz</t>
  </si>
  <si>
    <t>tlOutputGaugeBusAEmp2Utiliz</t>
  </si>
  <si>
    <t>tlOutputGaugeBusAEmp9Utiliz</t>
  </si>
  <si>
    <t>tlOutputGaugeEmp6Utiliz</t>
  </si>
  <si>
    <t>tlOutputDBGaugeBusAEmp4Utiliz</t>
  </si>
  <si>
    <t>tlOutputDBGaugeBusAEmp3Utiliz</t>
  </si>
  <si>
    <t>tlOutputDBGaugeBusAEmp2Utiliz</t>
  </si>
  <si>
    <t>tlOutputDBGaugeBusAEmp9Utiliz</t>
  </si>
  <si>
    <t>tlOutputDBGaugeEmp6Utiliz</t>
  </si>
  <si>
    <t>Very Low</t>
  </si>
  <si>
    <t>People Dismissals</t>
  </si>
  <si>
    <t>tlOutputDBYr0Bookings</t>
  </si>
  <si>
    <t>tlOutputDBYr0BookingsCAGR</t>
  </si>
  <si>
    <t>tlOutputDBYr0TotalRev</t>
  </si>
  <si>
    <t>tlOutputDBYr0GM</t>
  </si>
  <si>
    <t>tlOutputDBYr0OM</t>
  </si>
  <si>
    <t>tlOutputDBYr0BusATotalQualityCost</t>
  </si>
  <si>
    <t>tlOutputDBYr0ESATEnd</t>
  </si>
  <si>
    <t>tlOutputDBYr0CSATEnd</t>
  </si>
  <si>
    <t>tlOutputDBYr0BusAEmp4Utiliz</t>
  </si>
  <si>
    <t>tlOutputDBYr0BusAEmp3Utiliz</t>
  </si>
  <si>
    <t>tlOutputDBYr0BusAEmp2Utiliz</t>
  </si>
  <si>
    <t>tlOutputDBYr0BusBEmp4Utiliz</t>
  </si>
  <si>
    <t>tlOutputDBYr0BusBEmp3Utiliz</t>
  </si>
  <si>
    <t>tlOutputDBYr0BusBEmp2Utiliz</t>
  </si>
  <si>
    <t>tlOutputDBYr0BusBEmp1Utiliz</t>
  </si>
  <si>
    <t>tlOutputDBYr0BusBTotalQualityCost</t>
  </si>
  <si>
    <t>tlOutputDBYr0BusBTotalForecastRev</t>
  </si>
  <si>
    <t>tlOutputDBYr0Emp6Utiliz</t>
  </si>
  <si>
    <t>tlOutputDBYr0TotalTrainingBudForecast</t>
  </si>
  <si>
    <t>tlOutputDBYr0BusAEmp7Utiliz</t>
  </si>
  <si>
    <t>tlOutputDBYr0BusAEmp8Utiliz</t>
  </si>
  <si>
    <t>tlOutputDBYr0BusAEmp9Utiliz</t>
  </si>
  <si>
    <t>tlOutputDBYr0BusAEmp1Utiliz</t>
  </si>
  <si>
    <t>tlOutputDBYr0GaugeBusAEmp4Utiliz</t>
  </si>
  <si>
    <t>tlOutputDBYr0GaugeBusAEmp3Utiliz</t>
  </si>
  <si>
    <t>tlOutputDBYr0GaugeBusAEmp2Utiliz</t>
  </si>
  <si>
    <t>tlOutputDBYr0GaugeBusAEmp9Utiliz</t>
  </si>
  <si>
    <t>tlOutputDBYr0GaugeEmp6Utiliz</t>
  </si>
  <si>
    <t>tlOutputGaugeYr0BusAEmp4Utiliz</t>
  </si>
  <si>
    <t>tlOutputGaugeYr0BusAEmp3Utiliz</t>
  </si>
  <si>
    <t>tlOutputGaugeYr0BusAEmp2Utiliz</t>
  </si>
  <si>
    <t>tlOutputGaugeYr0BusAEmp9Utiliz</t>
  </si>
  <si>
    <t>tlOutputGaugeYr0Emp6Utiliz</t>
  </si>
  <si>
    <t>Year 0 Dashboard Values</t>
  </si>
  <si>
    <t>cbalDBYr0Bookings</t>
  </si>
  <si>
    <t>cbalDBYr0BookingsCAGR</t>
  </si>
  <si>
    <t>cbalDBYr0TotalRev</t>
  </si>
  <si>
    <t>cbalDBYr0GM</t>
  </si>
  <si>
    <t>cbalDBYr0OM</t>
  </si>
  <si>
    <t>cbalDBYr0BusATotalQualityCost</t>
  </si>
  <si>
    <t>cbalDBYr0ESATEnd</t>
  </si>
  <si>
    <t>cbalDBYr0CSATEnd</t>
  </si>
  <si>
    <t>cbalDBYr0BusAEmp4Utiliz</t>
  </si>
  <si>
    <t>cbalDBYr0BusAEmp3Utiliz</t>
  </si>
  <si>
    <t>cbalDBYr0BusAEmp2Utiliz</t>
  </si>
  <si>
    <t>cbalDBYr0BusBEmp4Utiliz</t>
  </si>
  <si>
    <t>cbalDBYr0BusBEmp3Utiliz</t>
  </si>
  <si>
    <t>cbalDBYr0BusBEmp2Utiliz</t>
  </si>
  <si>
    <t>cbalDBYr0BusBEmp1Utiliz</t>
  </si>
  <si>
    <t>cbalDBYr0BusBTotalQualityCost</t>
  </si>
  <si>
    <t>cbalDBYr0BusBTotalForecastRev</t>
  </si>
  <si>
    <t>cbalDBYr0Emp6Utiliz</t>
  </si>
  <si>
    <t>cbalDBYr0TotalTrainingBudForecast</t>
  </si>
  <si>
    <t>cbalDBYr0BusAEmp7Utiliz</t>
  </si>
  <si>
    <t>cbalDBYr0BusAEmp8Utiliz</t>
  </si>
  <si>
    <t>cbalDBYr0BusAEmp9Utiliz</t>
  </si>
  <si>
    <t>cbalDBYr0BusAEmp1Utiliz</t>
  </si>
  <si>
    <t>cbalDBYr0GaugeBusAEmp4Utiliz</t>
  </si>
  <si>
    <t>cbalDBYr0GaugeBusAEmp3Utiliz</t>
  </si>
  <si>
    <t>cbalDBYr0GaugeBusAEmp2Utiliz</t>
  </si>
  <si>
    <t>cbalDBYr0GaugeBusAEmp9Utiliz</t>
  </si>
  <si>
    <t>cbalDBYr0GaugeEmp6Utiliz</t>
  </si>
  <si>
    <t>obalDBYr0Bookings</t>
  </si>
  <si>
    <t>obalDBYr0BookingsCAGR</t>
  </si>
  <si>
    <t>obalDBYr0TotalRev</t>
  </si>
  <si>
    <t>obalDBYr0GM</t>
  </si>
  <si>
    <t>obalDBYr0OM</t>
  </si>
  <si>
    <t>obalDBYr0BusATotalQualityCost</t>
  </si>
  <si>
    <t>obalDBYr0ESATEnd</t>
  </si>
  <si>
    <t>obalDBYr0CSATEnd</t>
  </si>
  <si>
    <t>obalDBYr0BusAEmp4Utiliz</t>
  </si>
  <si>
    <t>obalDBYr0BusAEmp3Utiliz</t>
  </si>
  <si>
    <t>obalDBYr0BusAEmp2Utiliz</t>
  </si>
  <si>
    <t>obalDBYr0BusBEmp4Utiliz</t>
  </si>
  <si>
    <t>obalDBYr0BusBEmp3Utiliz</t>
  </si>
  <si>
    <t>obalDBYr0BusBEmp2Utiliz</t>
  </si>
  <si>
    <t>obalDBYr0BusBEmp1Utiliz</t>
  </si>
  <si>
    <t>obalDBYr0BusBTotalQualityCost</t>
  </si>
  <si>
    <t>obalDBYr0BusBTotalForecastRev</t>
  </si>
  <si>
    <t>obalDBYr0Emp6Utiliz</t>
  </si>
  <si>
    <t>obalDBYr0TotalTrainingBudForecast</t>
  </si>
  <si>
    <t>obalDBYr0BusAEmp7Utiliz</t>
  </si>
  <si>
    <t>obalDBYr0BusAEmp8Utiliz</t>
  </si>
  <si>
    <t>obalDBYr0BusAEmp9Utiliz</t>
  </si>
  <si>
    <t>obalDBYr0BusAEmp1Utiliz</t>
  </si>
  <si>
    <t>obalDBYr0GaugeBusAEmp4Utiliz</t>
  </si>
  <si>
    <t>obalDBYr0GaugeBusAEmp3Utiliz</t>
  </si>
  <si>
    <t>obalDBYr0GaugeBusAEmp2Utiliz</t>
  </si>
  <si>
    <t>obalDBYr0GaugeBusAEmp9Utiliz</t>
  </si>
  <si>
    <t>obalDBYr0GaugeEmp6Utiliz</t>
  </si>
  <si>
    <t>obalDBYr1Bookings</t>
  </si>
  <si>
    <t>obalDBYr1BookingsCAGR</t>
  </si>
  <si>
    <t>obalDBYr1TotalRev</t>
  </si>
  <si>
    <t>obalDBYr1GM</t>
  </si>
  <si>
    <t>obalDBYr1OM</t>
  </si>
  <si>
    <t>obalDBYr1BusATotalQualityCost</t>
  </si>
  <si>
    <t>obalDBYr1ESATEnd</t>
  </si>
  <si>
    <t>obalDBYr1CSATEnd</t>
  </si>
  <si>
    <t>obalDBYr1BusAEmp4Utiliz</t>
  </si>
  <si>
    <t>obalDBYr1BusAEmp3Utiliz</t>
  </si>
  <si>
    <t>obalDBYr1BusAEmp2Utiliz</t>
  </si>
  <si>
    <t>obalDBYr1BusBEmp4Utiliz</t>
  </si>
  <si>
    <t>obalDBYr1BusBEmp3Utiliz</t>
  </si>
  <si>
    <t>obalDBYr1BusBEmp2Utiliz</t>
  </si>
  <si>
    <t>obalDBYr1BusBEmp1Utiliz</t>
  </si>
  <si>
    <t>obalDBYr1BusBTotalQualityCost</t>
  </si>
  <si>
    <t>obalDBYr1BusBTotalForecastRev</t>
  </si>
  <si>
    <t>obalDBYr1Emp6Utiliz</t>
  </si>
  <si>
    <t>obalDBYr1TotalTrainingBudForecast</t>
  </si>
  <si>
    <t>obalDBYr1BusAEmp7Utiliz</t>
  </si>
  <si>
    <t>obalDBYr1BusAEmp8Utiliz</t>
  </si>
  <si>
    <t>obalDBYr1BusAEmp9Utiliz</t>
  </si>
  <si>
    <t>obalDBYr1BusAEmp1Utiliz</t>
  </si>
  <si>
    <t>obalDBYr1GaugeBusAEmp4Utiliz</t>
  </si>
  <si>
    <t>obalDBYr1GaugeBusAEmp3Utiliz</t>
  </si>
  <si>
    <t>obalDBYr1GaugeBusAEmp2Utiliz</t>
  </si>
  <si>
    <t>obalDBYr1GaugeBusAEmp9Utiliz</t>
  </si>
  <si>
    <t>obalDBYr1GaugeEmp6Utiliz</t>
  </si>
  <si>
    <t>cbalDBYr1Bookings</t>
  </si>
  <si>
    <t>cbalDBYr1BookingsCAGR</t>
  </si>
  <si>
    <t>cbalDBYr1TotalRev</t>
  </si>
  <si>
    <t>cbalDBYr1GM</t>
  </si>
  <si>
    <t>cbalDBYr1OM</t>
  </si>
  <si>
    <t>cbalDBYr1BusATotalQualityCost</t>
  </si>
  <si>
    <t>cbalDBYr1ESATEnd</t>
  </si>
  <si>
    <t>cbalDBYr1CSATEnd</t>
  </si>
  <si>
    <t>cbalDBYr1BusAEmp4Utiliz</t>
  </si>
  <si>
    <t>cbalDBYr1BusAEmp3Utiliz</t>
  </si>
  <si>
    <t>cbalDBYr1BusAEmp2Utiliz</t>
  </si>
  <si>
    <t>cbalDBYr1BusBEmp4Utiliz</t>
  </si>
  <si>
    <t>cbalDBYr1BusBEmp3Utiliz</t>
  </si>
  <si>
    <t>cbalDBYr1BusBEmp2Utiliz</t>
  </si>
  <si>
    <t>cbalDBYr1BusBEmp1Utiliz</t>
  </si>
  <si>
    <t>cbalDBYr1BusBTotalQualityCost</t>
  </si>
  <si>
    <t>cbalDBYr1BusBTotalForecastRev</t>
  </si>
  <si>
    <t>cbalDBYr1Emp6Utiliz</t>
  </si>
  <si>
    <t>cbalDBYr1TotalTrainingBudForecast</t>
  </si>
  <si>
    <t>cbalDBYr1BusAEmp7Utiliz</t>
  </si>
  <si>
    <t>cbalDBYr1BusAEmp8Utiliz</t>
  </si>
  <si>
    <t>cbalDBYr1BusAEmp9Utiliz</t>
  </si>
  <si>
    <t>cbalDBYr1BusAEmp1Utiliz</t>
  </si>
  <si>
    <t>cbalDBYr1GaugeBusAEmp4Utiliz</t>
  </si>
  <si>
    <t>cbalDBYr1GaugeBusAEmp3Utiliz</t>
  </si>
  <si>
    <t>cbalDBYr1GaugeBusAEmp2Utiliz</t>
  </si>
  <si>
    <t>cbalDBYr1GaugeBusAEmp9Utiliz</t>
  </si>
  <si>
    <t>cbalDBYr1GaugeEmp6Utiliz</t>
  </si>
  <si>
    <t>Year 1 Dashboard Values</t>
  </si>
  <si>
    <t>Year 2 Dashboard Values</t>
  </si>
  <si>
    <t>obalDBYr2Bookings</t>
  </si>
  <si>
    <t>obalDBYr2BookingsCAGR</t>
  </si>
  <si>
    <t>obalDBYr2TotalRev</t>
  </si>
  <si>
    <t>obalDBYr2GM</t>
  </si>
  <si>
    <t>obalDBYr2OM</t>
  </si>
  <si>
    <t>obalDBYr2BusATotalQualityCost</t>
  </si>
  <si>
    <t>obalDBYr2ESATEnd</t>
  </si>
  <si>
    <t>obalDBYr2CSATEnd</t>
  </si>
  <si>
    <t>obalDBYr2BusAEmp4Utiliz</t>
  </si>
  <si>
    <t>obalDBYr2BusAEmp3Utiliz</t>
  </si>
  <si>
    <t>obalDBYr2BusAEmp2Utiliz</t>
  </si>
  <si>
    <t>obalDBYr2BusBEmp4Utiliz</t>
  </si>
  <si>
    <t>obalDBYr2BusBEmp3Utiliz</t>
  </si>
  <si>
    <t>obalDBYr2BusBEmp2Utiliz</t>
  </si>
  <si>
    <t>obalDBYr2BusBEmp1Utiliz</t>
  </si>
  <si>
    <t>obalDBYr2BusBTotalQualityCost</t>
  </si>
  <si>
    <t>obalDBYr2BusBTotalForecastRev</t>
  </si>
  <si>
    <t>obalDBYr2Emp6Utiliz</t>
  </si>
  <si>
    <t>obalDBYr2TotalTrainingBudForecast</t>
  </si>
  <si>
    <t>obalDBYr2BusAEmp7Utiliz</t>
  </si>
  <si>
    <t>obalDBYr2BusAEmp8Utiliz</t>
  </si>
  <si>
    <t>obalDBYr2BusAEmp9Utiliz</t>
  </si>
  <si>
    <t>obalDBYr2BusAEmp1Utiliz</t>
  </si>
  <si>
    <t>obalDBYr2GaugeBusAEmp4Utiliz</t>
  </si>
  <si>
    <t>obalDBYr2GaugeBusAEmp3Utiliz</t>
  </si>
  <si>
    <t>obalDBYr2GaugeBusAEmp2Utiliz</t>
  </si>
  <si>
    <t>obalDBYr2GaugeBusAEmp9Utiliz</t>
  </si>
  <si>
    <t>obalDBYr2GaugeEmp6Utiliz</t>
  </si>
  <si>
    <t>cbalDBYr2Bookings</t>
  </si>
  <si>
    <t>cbalDBYr2BookingsCAGR</t>
  </si>
  <si>
    <t>cbalDBYr2TotalRev</t>
  </si>
  <si>
    <t>cbalDBYr2GM</t>
  </si>
  <si>
    <t>cbalDBYr2OM</t>
  </si>
  <si>
    <t>cbalDBYr2BusATotalQualityCost</t>
  </si>
  <si>
    <t>cbalDBYr2ESATEnd</t>
  </si>
  <si>
    <t>cbalDBYr2CSATEnd</t>
  </si>
  <si>
    <t>cbalDBYr2BusAEmp4Utiliz</t>
  </si>
  <si>
    <t>cbalDBYr2BusAEmp3Utiliz</t>
  </si>
  <si>
    <t>cbalDBYr2BusAEmp2Utiliz</t>
  </si>
  <si>
    <t>cbalDBYr2BusBEmp4Utiliz</t>
  </si>
  <si>
    <t>cbalDBYr2BusBEmp3Utiliz</t>
  </si>
  <si>
    <t>cbalDBYr2BusBEmp2Utiliz</t>
  </si>
  <si>
    <t>cbalDBYr2BusBEmp1Utiliz</t>
  </si>
  <si>
    <t>cbalDBYr2BusBTotalQualityCost</t>
  </si>
  <si>
    <t>cbalDBYr2BusBTotalForecastRev</t>
  </si>
  <si>
    <t>cbalDBYr2Emp6Utiliz</t>
  </si>
  <si>
    <t>cbalDBYr2TotalTrainingBudForecast</t>
  </si>
  <si>
    <t>cbalDBYr2BusAEmp7Utiliz</t>
  </si>
  <si>
    <t>cbalDBYr2BusAEmp8Utiliz</t>
  </si>
  <si>
    <t>cbalDBYr2BusAEmp9Utiliz</t>
  </si>
  <si>
    <t>cbalDBYr2BusAEmp1Utiliz</t>
  </si>
  <si>
    <t>cbalDBYr2GaugeBusAEmp4Utiliz</t>
  </si>
  <si>
    <t>cbalDBYr2GaugeBusAEmp3Utiliz</t>
  </si>
  <si>
    <t>cbalDBYr2GaugeBusAEmp2Utiliz</t>
  </si>
  <si>
    <t>cbalDBYr2GaugeBusAEmp9Utiliz</t>
  </si>
  <si>
    <t>cbalDBYr2GaugeEmp6Utiliz</t>
  </si>
  <si>
    <t>Year 1 Dashboard Base Values</t>
  </si>
  <si>
    <t/>
  </si>
  <si>
    <t>tlOutputDBYr1Bookings</t>
  </si>
  <si>
    <t>tlOutputDBYr1BookingsCAGR</t>
  </si>
  <si>
    <t>tlOutputDBYr1TotalRev</t>
  </si>
  <si>
    <t>tlOutputDBYr1GM</t>
  </si>
  <si>
    <t>tlOutputDBYr1OM</t>
  </si>
  <si>
    <t>tlOutputDBYr1BusATotalQualityCost</t>
  </si>
  <si>
    <t>tlOutputDBYr1ESATEnd</t>
  </si>
  <si>
    <t>tlOutputDBYr1CSATEnd</t>
  </si>
  <si>
    <t>tlOutputDBYr1BusAEmp4Utiliz</t>
  </si>
  <si>
    <t>tlOutputDBYr1BusAEmp3Utiliz</t>
  </si>
  <si>
    <t>tlOutputDBYr1BusAEmp2Utiliz</t>
  </si>
  <si>
    <t>tlOutputDBYr1BusBEmp4Utiliz</t>
  </si>
  <si>
    <t>tlOutputDBYr1BusBEmp3Utiliz</t>
  </si>
  <si>
    <t>tlOutputDBYr1BusBEmp2Utiliz</t>
  </si>
  <si>
    <t>tlOutputDBYr1BusBEmp1Utiliz</t>
  </si>
  <si>
    <t>tlOutputDBYr1BusBTotalQualityCost</t>
  </si>
  <si>
    <t>tlOutputDBYr1BusBTotalForecastRev</t>
  </si>
  <si>
    <t>tlOutputDBYr1Emp6Utiliz</t>
  </si>
  <si>
    <t>tlOutputDBYr1TotalTrainingBudForecast</t>
  </si>
  <si>
    <t>tlOutputDBYr1BusAEmp7Utiliz</t>
  </si>
  <si>
    <t>tlOutputDBYr1BusAEmp8Utiliz</t>
  </si>
  <si>
    <t>tlOutputDBYr1BusAEmp9Utiliz</t>
  </si>
  <si>
    <t>tlOutputDBYr1BusAEmp1Utiliz</t>
  </si>
  <si>
    <t>tlOutputDBYr1GaugeBusAEmp4Utiliz</t>
  </si>
  <si>
    <t>tlOutputDBYr1GaugeBusAEmp3Utiliz</t>
  </si>
  <si>
    <t>tlOutputDBYr1GaugeBusAEmp2Utiliz</t>
  </si>
  <si>
    <t>tlOutputDBYr1GaugeBusAEmp9Utiliz</t>
  </si>
  <si>
    <t>tlOutputDBYr1GaugeEmp6Utiliz</t>
  </si>
  <si>
    <t>tlOutputGaugeYr1BusAEmp4Utiliz</t>
  </si>
  <si>
    <t>tlOutputGaugeYr1BusAEmp3Utiliz</t>
  </si>
  <si>
    <t>tlOutputGaugeYr1BusAEmp2Utiliz</t>
  </si>
  <si>
    <t>tlOutputGaugeYr1BusAEmp9Utiliz</t>
  </si>
  <si>
    <t>tlOutputGaugeYr1Emp6Utiliz</t>
  </si>
  <si>
    <t>Year 2 Dashboard Base Values</t>
  </si>
  <si>
    <t>tlOutputDBYr2Bookings</t>
  </si>
  <si>
    <t>tlOutputDBYr2BookingsCAGR</t>
  </si>
  <si>
    <t>tlOutputDBYr2TotalRev</t>
  </si>
  <si>
    <t>tlOutputDBYr2GM</t>
  </si>
  <si>
    <t>tlOutputDBYr2OM</t>
  </si>
  <si>
    <t>tlOutputDBYr2BusATotalQualityCost</t>
  </si>
  <si>
    <t>tlOutputDBYr2ESATEnd</t>
  </si>
  <si>
    <t>tlOutputDBYr2CSATEnd</t>
  </si>
  <si>
    <t>tlOutputDBYr2BusAEmp4Utiliz</t>
  </si>
  <si>
    <t>tlOutputDBYr2BusAEmp3Utiliz</t>
  </si>
  <si>
    <t>tlOutputDBYr2BusAEmp2Utiliz</t>
  </si>
  <si>
    <t>tlOutputDBYr2BusBEmp4Utiliz</t>
  </si>
  <si>
    <t>tlOutputDBYr2BusBEmp3Utiliz</t>
  </si>
  <si>
    <t>tlOutputDBYr2BusBEmp2Utiliz</t>
  </si>
  <si>
    <t>tlOutputDBYr2BusBEmp1Utiliz</t>
  </si>
  <si>
    <t>tlOutputDBYr2BusBTotalQualityCost</t>
  </si>
  <si>
    <t>tlOutputDBYr2BusBTotalForecastRev</t>
  </si>
  <si>
    <t>tlOutputDBYr2Emp6Utiliz</t>
  </si>
  <si>
    <t>tlOutputDBYr2TotalTrainingBudForecast</t>
  </si>
  <si>
    <t>tlOutputDBYr2BusAEmp7Utiliz</t>
  </si>
  <si>
    <t>tlOutputDBYr2BusAEmp8Utiliz</t>
  </si>
  <si>
    <t>tlOutputDBYr2BusAEmp9Utiliz</t>
  </si>
  <si>
    <t>tlOutputDBYr2BusAEmp1Utiliz</t>
  </si>
  <si>
    <t>tlOutputDBYr2GaugeBusAEmp4Utiliz</t>
  </si>
  <si>
    <t>tlOutputDBYr2GaugeBusAEmp3Utiliz</t>
  </si>
  <si>
    <t>tlOutputDBYr2GaugeBusAEmp2Utiliz</t>
  </si>
  <si>
    <t>tlOutputDBYr2GaugeBusAEmp9Utiliz</t>
  </si>
  <si>
    <t>tlOutputDBYr2GaugeEmp6Utiliz</t>
  </si>
  <si>
    <t>tlOutputGaugeYr2BusAEmp4Utiliz</t>
  </si>
  <si>
    <t>tlOutputGaugeYr2BusAEmp3Utiliz</t>
  </si>
  <si>
    <t>tlOutputGaugeYr2BusAEmp2Utiliz</t>
  </si>
  <si>
    <t>tlOutputGaugeYr2BusAEmp9Utiliz</t>
  </si>
  <si>
    <t>tlOutputGaugeYr2Emp6Utiliz</t>
  </si>
  <si>
    <t>Year 3 Dashboard Base Values</t>
  </si>
  <si>
    <t>ImportExportCSV_BalSheetClosing</t>
  </si>
  <si>
    <t>Closing balance sheet location</t>
  </si>
  <si>
    <t>ImportExportCSV_BalSheetOpening</t>
  </si>
  <si>
    <t>Opening balance sheet location</t>
  </si>
  <si>
    <t>ImportExportCSV_BalSheetOnObal</t>
  </si>
  <si>
    <t>Balance sheet on obal?</t>
  </si>
  <si>
    <t>Set Up</t>
  </si>
  <si>
    <t>ImportCSVDecisions</t>
  </si>
  <si>
    <t>Import DI&amp;GITAL Decisions</t>
  </si>
  <si>
    <t>&amp;Export DIGITAL Balances</t>
  </si>
  <si>
    <t>ExportCSVBalances</t>
  </si>
  <si>
    <t>decTeamRound</t>
  </si>
  <si>
    <t>Decision page</t>
  </si>
  <si>
    <t>capBusAEmp1HrsCurrProj</t>
  </si>
  <si>
    <t>decBusASales2</t>
  </si>
  <si>
    <t>decBusASales4</t>
  </si>
  <si>
    <t>decBusASales6</t>
  </si>
  <si>
    <t>decBid1Check</t>
  </si>
  <si>
    <t>decBid2Check</t>
  </si>
  <si>
    <t>decBid3Check</t>
  </si>
  <si>
    <t>decBid4Check</t>
  </si>
  <si>
    <t>decBid5Check</t>
  </si>
  <si>
    <t>decBid6Check</t>
  </si>
  <si>
    <t>decBid7Check</t>
  </si>
  <si>
    <t>decBid8Check</t>
  </si>
  <si>
    <t>decBid9Check</t>
  </si>
  <si>
    <t>decClientPctBid1</t>
  </si>
  <si>
    <t>decClientPctBid2</t>
  </si>
  <si>
    <t>decClientPctBid3</t>
  </si>
  <si>
    <t>decClientPctBid4</t>
  </si>
  <si>
    <t>decClientPctBid5</t>
  </si>
  <si>
    <t>decClientPctBid6</t>
  </si>
  <si>
    <t>decClientPctBid7</t>
  </si>
  <si>
    <t>decClientPctBid8</t>
  </si>
  <si>
    <t>decClientPctBid9</t>
  </si>
  <si>
    <t>Inovation Challenge</t>
  </si>
  <si>
    <t>Scale "Agile Launch Week" to All Projects</t>
  </si>
  <si>
    <t>Entrevard</t>
  </si>
  <si>
    <t>capBusAEmp1HrsCurrProjV2</t>
  </si>
  <si>
    <t>capBusAEmp1HrsCurrProjV3</t>
  </si>
  <si>
    <t>capBusAEmp3HrsSales</t>
  </si>
  <si>
    <t>capBusAEmp3HrsSalesV2</t>
  </si>
  <si>
    <t>capBusAEmp3HrsSalesV3</t>
  </si>
  <si>
    <t>capBusABusDevNonPayrollBud</t>
  </si>
  <si>
    <t>capBid1Price</t>
  </si>
  <si>
    <t>capBid2Price</t>
  </si>
  <si>
    <t>capBid3Price</t>
  </si>
  <si>
    <t>capBid4Price</t>
  </si>
  <si>
    <t>capBid5Price</t>
  </si>
  <si>
    <t>capBid6Price</t>
  </si>
  <si>
    <t>capBid7Price</t>
  </si>
  <si>
    <t>capBid8Price</t>
  </si>
  <si>
    <t>capBid9Price</t>
  </si>
  <si>
    <t>capBid1Emp4HrsRFQ</t>
  </si>
  <si>
    <t>capBid2Emp4HrsRFQ</t>
  </si>
  <si>
    <t>capBid3Emp4HrsRFQ</t>
  </si>
  <si>
    <t>capBid4Emp4HrsRFQ</t>
  </si>
  <si>
    <t>capBid5Emp4HrsRFQ</t>
  </si>
  <si>
    <t>capBid6Emp4HrsRFQ</t>
  </si>
  <si>
    <t>capBid7Emp4HrsRFQ</t>
  </si>
  <si>
    <t>capBid8Emp4HrsRFQ</t>
  </si>
  <si>
    <t>capBid9Emp4HrsRFQ</t>
  </si>
  <si>
    <t>capBid1Emp3HrsRFQ</t>
  </si>
  <si>
    <t>capBid2Emp3HrsRFQ</t>
  </si>
  <si>
    <t>capBid3Emp3HrsRFQ</t>
  </si>
  <si>
    <t>capBid4Emp3HrsRFQ</t>
  </si>
  <si>
    <t>capBid5Emp3HrsRFQ</t>
  </si>
  <si>
    <t>capBid6Emp3HrsRFQ</t>
  </si>
  <si>
    <t>capBid7Emp3HrsRFQ</t>
  </si>
  <si>
    <t>capBid8Emp3HrsRFQ</t>
  </si>
  <si>
    <t>capBid9Emp3HrsRFQ</t>
  </si>
  <si>
    <t>capBid1Emp2HrsRFQ</t>
  </si>
  <si>
    <t>capBid2Emp2HrsRFQ</t>
  </si>
  <si>
    <t>capBid3Emp2HrsRFQ</t>
  </si>
  <si>
    <t>capBid4Emp2HrsRFQ</t>
  </si>
  <si>
    <t>capBid5Emp2HrsRFQ</t>
  </si>
  <si>
    <t>capBid6Emp2HrsRFQ</t>
  </si>
  <si>
    <t>capBid7Emp2HrsRFQ</t>
  </si>
  <si>
    <t>capBid8Emp2HrsRFQ</t>
  </si>
  <si>
    <t>capBid9Emp2HrsRFQ</t>
  </si>
  <si>
    <t>capBusBBusDevNonPayrollBud</t>
  </si>
  <si>
    <t>capEmp4Change</t>
  </si>
  <si>
    <t>capEmp3Change</t>
  </si>
  <si>
    <t>capEmp2Change</t>
  </si>
  <si>
    <t>capEmp1Change</t>
  </si>
  <si>
    <t>capEmp4TotalDismiss</t>
  </si>
  <si>
    <t>capEmp3TotalDismiss</t>
  </si>
  <si>
    <t>capEmp2TotalDismiss</t>
  </si>
  <si>
    <t>capEmp1TotalDismiss</t>
  </si>
  <si>
    <t>capEmp4Salary</t>
  </si>
  <si>
    <t>capEmp3Salary</t>
  </si>
  <si>
    <t>capEmp2Salary</t>
  </si>
  <si>
    <t>capEmp1Salary</t>
  </si>
  <si>
    <t>capProd1Adv</t>
  </si>
  <si>
    <t>dec_ToolInputPrefix</t>
  </si>
  <si>
    <t>tlInput</t>
  </si>
  <si>
    <t>core_FilePrefix</t>
  </si>
  <si>
    <t>Avanade</t>
  </si>
  <si>
    <t>tlInputTeamRound</t>
  </si>
  <si>
    <t>tlobalCashValue</t>
  </si>
  <si>
    <t>tlobalARValue</t>
  </si>
  <si>
    <t>tlobalPlant1Value</t>
  </si>
  <si>
    <t>tlobalPlantValue</t>
  </si>
  <si>
    <t>tlobalOtherAsstesValue</t>
  </si>
  <si>
    <t>tlobalAssetsValue</t>
  </si>
  <si>
    <t>tlobalAPValue</t>
  </si>
  <si>
    <t>tlobalOtherCurrLiabValue</t>
  </si>
  <si>
    <t>tlobalSpecLoansValue</t>
  </si>
  <si>
    <t>tlobalLTDebtValue</t>
  </si>
  <si>
    <t>tlobalOtherLTLiab</t>
  </si>
  <si>
    <t>tlobalCStockValue</t>
  </si>
  <si>
    <t>tlobalRetEarnValue</t>
  </si>
  <si>
    <t>tlobalNetEarnValue</t>
  </si>
  <si>
    <t>tlobalTotalRevenue</t>
  </si>
  <si>
    <t>tlobalBusBRevenue</t>
  </si>
  <si>
    <t>tlobalBusARevenue</t>
  </si>
  <si>
    <t>tlobalTotalSales</t>
  </si>
  <si>
    <t>tlobalTotalCI</t>
  </si>
  <si>
    <t>tlobalTotalCIMargin</t>
  </si>
  <si>
    <t>tlobalIndustryAvgCIMargin</t>
  </si>
  <si>
    <t>tlobalESAT</t>
  </si>
  <si>
    <t>tlobalCumBalCardPoints</t>
  </si>
  <si>
    <t>tlobalCSAT</t>
  </si>
  <si>
    <t>tlobalBookings</t>
  </si>
  <si>
    <t>tlobalPrac1Bookings</t>
  </si>
  <si>
    <t>tlobalPrac2Bookings</t>
  </si>
  <si>
    <t>tlobalPrac3Bookings</t>
  </si>
  <si>
    <t>tlobalBusAEmp1Recruited</t>
  </si>
  <si>
    <t>tlobalBusBEmp1Recruited</t>
  </si>
  <si>
    <t>tlobalBusAEmp2Recruited</t>
  </si>
  <si>
    <t>tlobalBusBEmp2Recruited</t>
  </si>
  <si>
    <t>tlobalBusAEmp3Recruited</t>
  </si>
  <si>
    <t>tlobalBusBEmp3Recruited</t>
  </si>
  <si>
    <t>tlobalBusAEmp4Recruited</t>
  </si>
  <si>
    <t>tlobalBusBEmp4Recruited</t>
  </si>
  <si>
    <t>tlobalEmp7Recruited</t>
  </si>
  <si>
    <t>tlobalEmp8Recruited</t>
  </si>
  <si>
    <t>tlobalEmp9Recruited</t>
  </si>
  <si>
    <t>tlobalEmp6Recruited</t>
  </si>
  <si>
    <t>tlobalTotalEmpRecruited</t>
  </si>
  <si>
    <t>tlobalTotalEmpDismissal</t>
  </si>
  <si>
    <t>tlobalEmp1</t>
  </si>
  <si>
    <t>tlobalBusAEmp1</t>
  </si>
  <si>
    <t>tlobalBusBEmp1</t>
  </si>
  <si>
    <t>tlobalEmp2</t>
  </si>
  <si>
    <t>tlobalBusAEmp2</t>
  </si>
  <si>
    <t>tlobalBusBEmp2</t>
  </si>
  <si>
    <t>tlobalEmp3</t>
  </si>
  <si>
    <t>tlobalBusAEmp3</t>
  </si>
  <si>
    <t>tlobalBusBEmp3</t>
  </si>
  <si>
    <t>tlobalEmp4</t>
  </si>
  <si>
    <t>tlobalBusAEmp4</t>
  </si>
  <si>
    <t>tlobalBusBEmp4</t>
  </si>
  <si>
    <t>tlobalBusAEmp7</t>
  </si>
  <si>
    <t>tlobalBusAEmp8</t>
  </si>
  <si>
    <t>tlobalBusAEmp9</t>
  </si>
  <si>
    <t>tlobalEmp6</t>
  </si>
  <si>
    <t>tlobalTotalHeadCount</t>
  </si>
  <si>
    <t>tlobalBusAEmp1Utiliz</t>
  </si>
  <si>
    <t>tlobalBusBEmp1Utiliz</t>
  </si>
  <si>
    <t>tlobalBusAEmp2Utiliz</t>
  </si>
  <si>
    <t>tlobalBusBEmp2Utiliz</t>
  </si>
  <si>
    <t>tlobalBusAEmp3Utiliz</t>
  </si>
  <si>
    <t>tlobalBusBEmp3Utiliz</t>
  </si>
  <si>
    <t>tlobalBusAEmp4Utiliz</t>
  </si>
  <si>
    <t>tlobalBusBEmp4Utiliz</t>
  </si>
  <si>
    <t>tlobalEmp6Utiliz</t>
  </si>
  <si>
    <t>tlobalBusAEmp7Utiliz</t>
  </si>
  <si>
    <t>tlobalBusAEmp8Utiliz</t>
  </si>
  <si>
    <t>tlobalBusAEmp9Utiliz</t>
  </si>
  <si>
    <t>tlobalBusAEmp1IndAvgUtiliz</t>
  </si>
  <si>
    <t>tlobalBusBEmp1IndAvgUtiliz</t>
  </si>
  <si>
    <t>tlobalBusAEmp2IndAvgUtiliz</t>
  </si>
  <si>
    <t>tlobalBusBEmp2IndAvgUtiliz</t>
  </si>
  <si>
    <t>tlobalBusAEmp3IndAvgUtiliz</t>
  </si>
  <si>
    <t>tlobalBusBEmp3IndAvgUtiliz</t>
  </si>
  <si>
    <t>tlobalBusAEmp4IndAvgUtiliz</t>
  </si>
  <si>
    <t>tlobalBusBEmp4IndAvgUtiliz</t>
  </si>
  <si>
    <t>tlobalEmp6IndAvgUtiliz</t>
  </si>
  <si>
    <t>tlobalBusAOverallConsUtil</t>
  </si>
  <si>
    <t>tlobalBusAOverallSolnWFUtil</t>
  </si>
  <si>
    <t>tlobalBusBOverallConsUtil</t>
  </si>
  <si>
    <t>tlobalBusBOverallSolnWFUtil</t>
  </si>
  <si>
    <t>tlobalEmp1Salary</t>
  </si>
  <si>
    <t>tlobalEmp2Salary</t>
  </si>
  <si>
    <t>tlobalEmp3Salary</t>
  </si>
  <si>
    <t>tlobalEmp4Salary</t>
  </si>
  <si>
    <t>tlobalBusACompDev</t>
  </si>
  <si>
    <t>tlobalBusACompDevV1</t>
  </si>
  <si>
    <t>tlobalBusACompDevV2</t>
  </si>
  <si>
    <t>tlobalBusACompDevV3</t>
  </si>
  <si>
    <t>tlobalBusACompDevCurrYrTotal</t>
  </si>
  <si>
    <t>tlobalBusATLV1</t>
  </si>
  <si>
    <t>tlobalBusATLV2</t>
  </si>
  <si>
    <t>tlobalBusATLV3</t>
  </si>
  <si>
    <t>tlobalEmp1GeneralTrainingHrsCompleted</t>
  </si>
  <si>
    <t>tlobalEmp2GeneralTrainingHrsCompleted</t>
  </si>
  <si>
    <t>tlobalEmp3GeneralTrainingHrsCompleted</t>
  </si>
  <si>
    <t>tlobalEmp4GeneralTrainingHrsCompleted</t>
  </si>
  <si>
    <t>tlobalEmp6GeneralTrainingHrsCompleted</t>
  </si>
  <si>
    <t>tlobalTotalGeneralTrainingHrsCompleted</t>
  </si>
  <si>
    <t>tlobalEmp1GeneralTrainingHrsAvail</t>
  </si>
  <si>
    <t>tlobalEmp2GeneralTrainingHrsAvail</t>
  </si>
  <si>
    <t>tlobalEmp3GeneralTrainingHrsAvail</t>
  </si>
  <si>
    <t>tlobalEmp4GeneralTrainingHrsAvail</t>
  </si>
  <si>
    <t>tlobalEmp6GeneralTrainingHrsAvail</t>
  </si>
  <si>
    <t>tlobalTotalGeneralTrainingHrsAvail</t>
  </si>
  <si>
    <t>tlobalGeneralTrainingHrsPullOut</t>
  </si>
  <si>
    <t>tlobalEmp1TrainingBudgetDelta</t>
  </si>
  <si>
    <t>tlobalEmp2TrainingBudgetDelta</t>
  </si>
  <si>
    <t>tlobalEmp3TrainingBudgetDelta</t>
  </si>
  <si>
    <t>tlobalEmp4TrainingBudgetDelta</t>
  </si>
  <si>
    <t>tlobalEmp6TrainingBudgetDelta</t>
  </si>
  <si>
    <t>tlobalAvgTrainingBudgetDelta</t>
  </si>
  <si>
    <t>tlobalEmp1GeneralTrainingBudget</t>
  </si>
  <si>
    <t>tlobalEmp2GeneralTrainingBudget</t>
  </si>
  <si>
    <t>tlobalEmp3GeneralTrainingBudget</t>
  </si>
  <si>
    <t>tlobalEmp4GeneralTrainingBudget</t>
  </si>
  <si>
    <t>tlobalEmp6GeneralTrainingBudget</t>
  </si>
  <si>
    <t>tlobalEmp1CumTrainingHrs</t>
  </si>
  <si>
    <t>tlobalEmp2CumTrainingHrs</t>
  </si>
  <si>
    <t>tlobalEmp3CumTrainingHrs</t>
  </si>
  <si>
    <t>tlobalEmp4CumTrainingHrs</t>
  </si>
  <si>
    <t>tlobalEmp6CumTrainingHrs</t>
  </si>
  <si>
    <t>tlobalCStockPricePShare</t>
  </si>
  <si>
    <t>tlobalCStockShares</t>
  </si>
  <si>
    <t>tlobalIndustryEminence</t>
  </si>
  <si>
    <t>tlobalInternalAssets</t>
  </si>
  <si>
    <t>tlobalV1H1Comp</t>
  </si>
  <si>
    <t>tlobalV1H2Comp</t>
  </si>
  <si>
    <t>tlobalV1H3Comp</t>
  </si>
  <si>
    <t>tlobalV2H1Comp</t>
  </si>
  <si>
    <t>tlobalV2H2Comp</t>
  </si>
  <si>
    <t>tlobalV2H3Comp</t>
  </si>
  <si>
    <t>tlobalV3H1Comp</t>
  </si>
  <si>
    <t>tlobalV3H2Comp</t>
  </si>
  <si>
    <t>tlobalV3H3Comp</t>
  </si>
  <si>
    <t>tlobalBusBCompDev</t>
  </si>
  <si>
    <t>tlobalV1Competency</t>
  </si>
  <si>
    <t>tlobalV2Competency</t>
  </si>
  <si>
    <t>tlobalV3Competency</t>
  </si>
  <si>
    <t>tlobalH1Competency</t>
  </si>
  <si>
    <t>tlobalH2Competency</t>
  </si>
  <si>
    <t>tlobalH3Competency</t>
  </si>
  <si>
    <t>tlobalBusBGenOpsPctCostReduce</t>
  </si>
  <si>
    <t>tlobalBusAV1MktShr</t>
  </si>
  <si>
    <t>tlobalBusAV2MktShr</t>
  </si>
  <si>
    <t>tlobalBusAV3MktShr</t>
  </si>
  <si>
    <t>tlobalBusAV1HrsSold</t>
  </si>
  <si>
    <t>tlobalBusAV2HrsSold</t>
  </si>
  <si>
    <t>tlobalBusAV3HrsSold</t>
  </si>
  <si>
    <t>tlobalBusAV1PricePerHr</t>
  </si>
  <si>
    <t>tlobalBusAV2PricePerHr</t>
  </si>
  <si>
    <t>tlobalBusAV3PricePerHr</t>
  </si>
  <si>
    <t>tlobalBusABusDevNonPayroll</t>
  </si>
  <si>
    <t>tlobalBusBBusDevNonPayroll</t>
  </si>
  <si>
    <t>tlobalBusAV1Y1Rev</t>
  </si>
  <si>
    <t>tlobalBusAV2Y1Rev</t>
  </si>
  <si>
    <t>tlobalBusAV3Y1Rev</t>
  </si>
  <si>
    <t>tlobalBusAV1Y2Rev</t>
  </si>
  <si>
    <t>tlobalBusAV2Y2Rev</t>
  </si>
  <si>
    <t>tlobalBusAV3Y2Rev</t>
  </si>
  <si>
    <t>tlobalBusAV1Y3Rev</t>
  </si>
  <si>
    <t>tlobalBusAV2Y3Rev</t>
  </si>
  <si>
    <t>tlobalBusAV3Y3Rev</t>
  </si>
  <si>
    <t>tlobalBusATotalCurrentRev</t>
  </si>
  <si>
    <t>tlobalBusAV1ControllableIncome</t>
  </si>
  <si>
    <t>tlobalBusAV2ControllableIncome</t>
  </si>
  <si>
    <t>tlobalBusAV3ControllableIncome</t>
  </si>
  <si>
    <t>tlobalBusBV1ControllableIncome</t>
  </si>
  <si>
    <t>tlobalBusBV2ControllableIncome</t>
  </si>
  <si>
    <t>tlobalBusBV3ControllableIncome</t>
  </si>
  <si>
    <t>tlobalTotalControllableIncome</t>
  </si>
  <si>
    <t>tlobalY1V1H1BidWon</t>
  </si>
  <si>
    <t>tlobalY1V1H2BidWon</t>
  </si>
  <si>
    <t>tlobalY1V1H3BidWon</t>
  </si>
  <si>
    <t>tlobalY1V2H1BidWon</t>
  </si>
  <si>
    <t>tlobalY1V2H2BidWon</t>
  </si>
  <si>
    <t>tlobalY1V2H3BidWon</t>
  </si>
  <si>
    <t>tlobalY1V3H1BidWon</t>
  </si>
  <si>
    <t>tlobalY1V3H2BidWon</t>
  </si>
  <si>
    <t>tlobalY1V3H3BidWon</t>
  </si>
  <si>
    <t>tlobalY2V1H1BidWon</t>
  </si>
  <si>
    <t>tlobalY2V1H2BidWon</t>
  </si>
  <si>
    <t>tlobalY2V1H3BidWon</t>
  </si>
  <si>
    <t>tlobalY2V2H1BidWon</t>
  </si>
  <si>
    <t>tlobalY2V2H2BidWon</t>
  </si>
  <si>
    <t>tlobalY2V2H3BidWon</t>
  </si>
  <si>
    <t>tlobalY2V3H1BidWon</t>
  </si>
  <si>
    <t>tlobalY2V3H2BidWon</t>
  </si>
  <si>
    <t>tlobalY2V3H3BidWon</t>
  </si>
  <si>
    <t>tlobalY3V1H1BidWon</t>
  </si>
  <si>
    <t>tlobalY3V1H2BidWon</t>
  </si>
  <si>
    <t>tlobalY3V1H3BidWon</t>
  </si>
  <si>
    <t>tlobalY3V2H1BidWon</t>
  </si>
  <si>
    <t>tlobalY3V2H2BidWon</t>
  </si>
  <si>
    <t>tlobalY3V2H3BidWon</t>
  </si>
  <si>
    <t>tlobalY3V3H1BidWon</t>
  </si>
  <si>
    <t>tlobalY3V3H2BidWon</t>
  </si>
  <si>
    <t>tlobalY3V3H3BidWon</t>
  </si>
  <si>
    <t>tlobalY1V1H1BidRev</t>
  </si>
  <si>
    <t>tlobalY1V1H2BidRev</t>
  </si>
  <si>
    <t>tlobalY1V1H3BidRev</t>
  </si>
  <si>
    <t>tlobalY1V2H1BidRev</t>
  </si>
  <si>
    <t>tlobalY1V2H2BidRev</t>
  </si>
  <si>
    <t>tlobalY1V2H3BidRev</t>
  </si>
  <si>
    <t>tlobalY1V3H1BidRev</t>
  </si>
  <si>
    <t>tlobalY1V3H2BidRev</t>
  </si>
  <si>
    <t>tlobalY1V3H3BidRev</t>
  </si>
  <si>
    <t>tlobalY2V1H1BidRev</t>
  </si>
  <si>
    <t>tlobalY2V1H2BidRev</t>
  </si>
  <si>
    <t>tlobalY2V1H3BidRev</t>
  </si>
  <si>
    <t>tlobalY2V2H1BidRev</t>
  </si>
  <si>
    <t>tlobalY2V2H2BidRev</t>
  </si>
  <si>
    <t>tlobalY2V2H3BidRev</t>
  </si>
  <si>
    <t>tlobalY2V3H1BidRev</t>
  </si>
  <si>
    <t>tlobalY2V3H2BidRev</t>
  </si>
  <si>
    <t>tlobalY2V3H3BidRev</t>
  </si>
  <si>
    <t>tlobalY3V1H1BidRev</t>
  </si>
  <si>
    <t>tlobalY3V1H2BidRev</t>
  </si>
  <si>
    <t>tlobalY3V1H3BidRev</t>
  </si>
  <si>
    <t>tlobalY3V2H1BidRev</t>
  </si>
  <si>
    <t>tlobalY3V2H2BidRev</t>
  </si>
  <si>
    <t>tlobalY3V2H3BidRev</t>
  </si>
  <si>
    <t>tlobalY3V3H1BidRev</t>
  </si>
  <si>
    <t>tlobalY3V3H2BidRev</t>
  </si>
  <si>
    <t>tlobalY3V3H3BidRev</t>
  </si>
  <si>
    <t>tlobalTotalRealizedRev</t>
  </si>
  <si>
    <t>tlobalY1V1H1COS</t>
  </si>
  <si>
    <t>tlobalY1V1H2COS</t>
  </si>
  <si>
    <t>tlobalY1V1H3COS</t>
  </si>
  <si>
    <t>tlobalY1V2H1COS</t>
  </si>
  <si>
    <t>tlobalY1V2H2COS</t>
  </si>
  <si>
    <t>tlobalY1V2H3COS</t>
  </si>
  <si>
    <t>tlobalY1V3H1COS</t>
  </si>
  <si>
    <t>tlobalY1V3H2COS</t>
  </si>
  <si>
    <t>tlobalY1V3H3COS</t>
  </si>
  <si>
    <t>tlobalY2V1H1COS</t>
  </si>
  <si>
    <t>tlobalY2V1H2COS</t>
  </si>
  <si>
    <t>tlobalY2V1H3COS</t>
  </si>
  <si>
    <t>tlobalY2V2H1COS</t>
  </si>
  <si>
    <t>tlobalY2V2H2COS</t>
  </si>
  <si>
    <t>tlobalY2V2H3COS</t>
  </si>
  <si>
    <t>tlobalY2V3H1COS</t>
  </si>
  <si>
    <t>tlobalY2V3H2COS</t>
  </si>
  <si>
    <t>tlobalY2V3H3COS</t>
  </si>
  <si>
    <t>tlobalY3V1H1COS</t>
  </si>
  <si>
    <t>tlobalY3V1H2COS</t>
  </si>
  <si>
    <t>tlobalY3V1H3COS</t>
  </si>
  <si>
    <t>tlobalY3V2H1COS</t>
  </si>
  <si>
    <t>tlobalY3V2H2COS</t>
  </si>
  <si>
    <t>tlobalY3V2H3COS</t>
  </si>
  <si>
    <t>tlobalY3V3H1COS</t>
  </si>
  <si>
    <t>tlobalY3V3H2COS</t>
  </si>
  <si>
    <t>tlobalY3V3H3COS</t>
  </si>
  <si>
    <t>tlobalY1V1H1COSRealized</t>
  </si>
  <si>
    <t>tlobalY1V1H2COSRealized</t>
  </si>
  <si>
    <t>tlobalY1V1H3COSRealized</t>
  </si>
  <si>
    <t>tlobalY1V2H1COSRealized</t>
  </si>
  <si>
    <t>tlobalY1V2H2COSRealized</t>
  </si>
  <si>
    <t>tlobalY1V2H3COSRealized</t>
  </si>
  <si>
    <t>tlobalY1V3H1COSRealized</t>
  </si>
  <si>
    <t>tlobalY1V3H2COSRealized</t>
  </si>
  <si>
    <t>tlobalY1V3H3COSRealized</t>
  </si>
  <si>
    <t>tlobalY2V1H1COSRealized</t>
  </si>
  <si>
    <t>tlobalY2V1H2COSRealized</t>
  </si>
  <si>
    <t>tlobalY2V1H3COSRealized</t>
  </si>
  <si>
    <t>tlobalY2V2H1COSRealized</t>
  </si>
  <si>
    <t>tlobalY2V2H2COSRealized</t>
  </si>
  <si>
    <t>tlobalY2V2H3COSRealized</t>
  </si>
  <si>
    <t>tlobalY2V3H1COSRealized</t>
  </si>
  <si>
    <t>tlobalY2V3H2COSRealized</t>
  </si>
  <si>
    <t>tlobalY2V3H3COSRealized</t>
  </si>
  <si>
    <t>tlobalY3V1H1COSRealized</t>
  </si>
  <si>
    <t>tlobalY3V1H2COSRealized</t>
  </si>
  <si>
    <t>tlobalY3V1H3COSRealized</t>
  </si>
  <si>
    <t>tlobalY3V2H1COSRealized</t>
  </si>
  <si>
    <t>tlobalY3V2H2COSRealized</t>
  </si>
  <si>
    <t>tlobalY3V2H3COSRealized</t>
  </si>
  <si>
    <t>tlobalY3V3H1COSRealized</t>
  </si>
  <si>
    <t>tlobalY3V3H2COSRealized</t>
  </si>
  <si>
    <t>tlobalY3V3H3COSRealized</t>
  </si>
  <si>
    <t>tlobalTotalRevY1</t>
  </si>
  <si>
    <t>tlobalTotalRevY2</t>
  </si>
  <si>
    <t>tlobalTotalRevY3</t>
  </si>
  <si>
    <t>tlobalTotalRevY4</t>
  </si>
  <si>
    <t>tlobalTotalSalesGrowthY1</t>
  </si>
  <si>
    <t>tlobalTotalSalesGrowthY2</t>
  </si>
  <si>
    <t>tlobalTotalSalesGrowthY3</t>
  </si>
  <si>
    <t>tlobalTotalSalesGrowthY4</t>
  </si>
  <si>
    <t>tlobalTotalCIPctRevY1</t>
  </si>
  <si>
    <t>tlobalTotalCIPctRevY2</t>
  </si>
  <si>
    <t>tlobalTotalCIPctRevY3</t>
  </si>
  <si>
    <t>tlobalTotalCIPctRevY4</t>
  </si>
  <si>
    <t>tlobalEmpEngagementY1</t>
  </si>
  <si>
    <t>tlobalEmpEngagementY2</t>
  </si>
  <si>
    <t>tlobalEmpEngagementY3</t>
  </si>
  <si>
    <t>tlobalEmpEngagementY4</t>
  </si>
  <si>
    <t>tlobalTotalAttritionY1</t>
  </si>
  <si>
    <t>tlobalTotalAttritionY2</t>
  </si>
  <si>
    <t>tlobalTotalAttritionY3</t>
  </si>
  <si>
    <t>tlobalTotalAttritionY4</t>
  </si>
  <si>
    <t>tlobalTotalInYearScoreY1</t>
  </si>
  <si>
    <t>tlobalTotalInYearScoreY2</t>
  </si>
  <si>
    <t>tlobalTotalInYearScoreY3</t>
  </si>
  <si>
    <t>tlobalTotalInYearScoreY4</t>
  </si>
  <si>
    <t>tlobalConsultingRevenueY1</t>
  </si>
  <si>
    <t>tlobalConsultingRevenueY2</t>
  </si>
  <si>
    <t>tlobalConsultingRevenueY3</t>
  </si>
  <si>
    <t>tlobalConsultingRevenueY4</t>
  </si>
  <si>
    <t>tlobalConsultingSalesGrowthY1</t>
  </si>
  <si>
    <t>tlobalConsultingSalesGrowthY2</t>
  </si>
  <si>
    <t>tlobalConsultingSalesGrowthY3</t>
  </si>
  <si>
    <t>tlobalConsultingSalesGrowthY4</t>
  </si>
  <si>
    <t>tlobalConsultingRevPctofTotalRevY1</t>
  </si>
  <si>
    <t>tlobalConsultingRevPctofTotalRevY2</t>
  </si>
  <si>
    <t>tlobalConsultingRevPctofTotalRevY3</t>
  </si>
  <si>
    <t>tlobalConsultingRevPctofTotalRevY4</t>
  </si>
  <si>
    <t>tlobalConsultingCCIPctRevY1</t>
  </si>
  <si>
    <t>tlobalConsultingCCIPctRevY2</t>
  </si>
  <si>
    <t>tlobalConsultingCCIPctRevY3</t>
  </si>
  <si>
    <t>tlobalConsultingCCIPctRevY4</t>
  </si>
  <si>
    <t>tlobalConsultingConsultantUtilY1</t>
  </si>
  <si>
    <t>tlobalConsultingConsultantUtilY2</t>
  </si>
  <si>
    <t>tlobalConsultingConsultantUtilY3</t>
  </si>
  <si>
    <t>tlobalConsultingConsultantUtilY4</t>
  </si>
  <si>
    <t>tlobalConsultingSolnWFUtilY1</t>
  </si>
  <si>
    <t>tlobalConsultingSolnWFUtilY2</t>
  </si>
  <si>
    <t>tlobalConsultingSolnWFUtilY3</t>
  </si>
  <si>
    <t>tlobalConsultingSolnWFUtilY4</t>
  </si>
  <si>
    <t>tlobalOutsourcingRevY1</t>
  </si>
  <si>
    <t>tlobalOutsourcingRevY2</t>
  </si>
  <si>
    <t>tlobalOutsourcingRevY3</t>
  </si>
  <si>
    <t>tlobalOutsourcingRevY4</t>
  </si>
  <si>
    <t>tlobalOutsourcingSalesGrowthY1</t>
  </si>
  <si>
    <t>tlobalOutsourcingSalesGrowthY2</t>
  </si>
  <si>
    <t>tlobalOutsourcingSalesGrowthY3</t>
  </si>
  <si>
    <t>tlobalOutsourcingSalesGrowthY4</t>
  </si>
  <si>
    <t>tlobalOutsourcingRevPctofTotalRevenueY1</t>
  </si>
  <si>
    <t>tlobalOutsourcingRevPctofTotalRevenueY2</t>
  </si>
  <si>
    <t>tlobalOutsourcingRevPctofTotalRevenueY3</t>
  </si>
  <si>
    <t>tlobalOutsourcingRevPctofTotalRevenueY4</t>
  </si>
  <si>
    <t>tlobalOutsourcingCCIPctofRevenueY1</t>
  </si>
  <si>
    <t>tlobalOutsourcingCCIPctofRevenueY2</t>
  </si>
  <si>
    <t>tlobalOutsourcingCCIPctofRevenueY3</t>
  </si>
  <si>
    <t>tlobalOutsourcingCCIPctofRevenueY4</t>
  </si>
  <si>
    <t>tlobalOutsourcingProductivityGainY1</t>
  </si>
  <si>
    <t>tlobalOutsourcingProductivityGainY2</t>
  </si>
  <si>
    <t>tlobalOutsourcingProductivityGainY3</t>
  </si>
  <si>
    <t>tlobalOutsourcingProductivityGainY4</t>
  </si>
  <si>
    <t>tlobalEnterpriseWFUtilizationY1</t>
  </si>
  <si>
    <t>tlobalEnterpriseWFUtilizationY2</t>
  </si>
  <si>
    <t>tlobalEnterpriseWFUtilizationY3</t>
  </si>
  <si>
    <t>tlobalEnterpriseWFUtilizationY4</t>
  </si>
  <si>
    <t>tlobalNetLocalSavingsY1</t>
  </si>
  <si>
    <t>tlobalNetLocalSavingsY2</t>
  </si>
  <si>
    <t>tlobalNetLocalSavingsY3</t>
  </si>
  <si>
    <t>tlobalNetLocalSavingsY4</t>
  </si>
  <si>
    <t>tlobalPrac1RevY1</t>
  </si>
  <si>
    <t>tlobalPrac1RevY2</t>
  </si>
  <si>
    <t>tlobalPrac2RevY1</t>
  </si>
  <si>
    <t>tlobalPrac2RevY2</t>
  </si>
  <si>
    <t>tlobalPrac3RevY1</t>
  </si>
  <si>
    <t>tlobalPrac3RevY2</t>
  </si>
  <si>
    <t>tlobalCSATY1</t>
  </si>
  <si>
    <t>tlobalCSATY2</t>
  </si>
  <si>
    <t>tlobalBusAEmp4UtilizY1</t>
  </si>
  <si>
    <t>tlobalBusAEmp4UtilizY2</t>
  </si>
  <si>
    <t>tlobalBusAEmp3UtilizY1</t>
  </si>
  <si>
    <t>tlobalBusAEmp3UtilizY2</t>
  </si>
  <si>
    <t>tlobalBusAEmp2UtilizY1</t>
  </si>
  <si>
    <t>tlobalBusAEmp2UtilizY2</t>
  </si>
  <si>
    <t>tlobalBusAEmp9UtilizY1</t>
  </si>
  <si>
    <t>tlobalBusAEmp9UtilizY2</t>
  </si>
  <si>
    <t>tlobalBusALocalPerCostReduce</t>
  </si>
  <si>
    <t>tlobalDBYr0Bookings</t>
  </si>
  <si>
    <t>tlobalDBYr0BookingsCAGR</t>
  </si>
  <si>
    <t>tlobalDBYr0TotalRev</t>
  </si>
  <si>
    <t>tlobalDBYr0GM</t>
  </si>
  <si>
    <t>tlobalDBYr0OM</t>
  </si>
  <si>
    <t>tlobalDBYr0BusATotalQualityCost</t>
  </si>
  <si>
    <t>tlobalDBYr0ESATEnd</t>
  </si>
  <si>
    <t>tlobalDBYr0CSATEnd</t>
  </si>
  <si>
    <t>tlobalDBYr0BusAEmp4Utiliz</t>
  </si>
  <si>
    <t>tlobalDBYr0BusAEmp3Utiliz</t>
  </si>
  <si>
    <t>tlobalDBYr0BusAEmp2Utiliz</t>
  </si>
  <si>
    <t>tlobalDBYr0BusBEmp4Utiliz</t>
  </si>
  <si>
    <t>tlobalDBYr0BusBEmp3Utiliz</t>
  </si>
  <si>
    <t>tlobalDBYr0BusBEmp2Utiliz</t>
  </si>
  <si>
    <t>tlobalDBYr0BusBEmp1Utiliz</t>
  </si>
  <si>
    <t>tlobalDBYr0BusBTotalQualityCost</t>
  </si>
  <si>
    <t>tlobalDBYr0BusBTotalForecastRev</t>
  </si>
  <si>
    <t>tlobalDBYr0Emp6Utiliz</t>
  </si>
  <si>
    <t>tlobalDBYr0TotalTrainingBudForecast</t>
  </si>
  <si>
    <t>tlobalDBYr0BusAEmp7Utiliz</t>
  </si>
  <si>
    <t>tlobalDBYr0BusAEmp8Utiliz</t>
  </si>
  <si>
    <t>tlobalDBYr0BusAEmp9Utiliz</t>
  </si>
  <si>
    <t>tlobalDBYr0BusAEmp1Utiliz</t>
  </si>
  <si>
    <t>tlobalDBYr0GaugeBusAEmp4Utiliz</t>
  </si>
  <si>
    <t>tlobalDBYr0GaugeBusAEmp3Utiliz</t>
  </si>
  <si>
    <t>tlobalDBYr0GaugeBusAEmp2Utiliz</t>
  </si>
  <si>
    <t>tlobalDBYr0GaugeBusAEmp9Utiliz</t>
  </si>
  <si>
    <t>tlobalDBYr0GaugeEmp6Utiliz</t>
  </si>
  <si>
    <t>tlobalDBYr1Bookings</t>
  </si>
  <si>
    <t>tlobalDBYr1BookingsCAGR</t>
  </si>
  <si>
    <t>tlobalDBYr1TotalRev</t>
  </si>
  <si>
    <t>tlobalDBYr1GM</t>
  </si>
  <si>
    <t>tlobalDBYr1OM</t>
  </si>
  <si>
    <t>tlobalDBYr1BusATotalQualityCost</t>
  </si>
  <si>
    <t>tlobalDBYr1ESATEnd</t>
  </si>
  <si>
    <t>tlobalDBYr1CSATEnd</t>
  </si>
  <si>
    <t>tlobalDBYr1BusAEmp4Utiliz</t>
  </si>
  <si>
    <t>tlobalDBYr1BusAEmp3Utiliz</t>
  </si>
  <si>
    <t>tlobalDBYr1BusAEmp2Utiliz</t>
  </si>
  <si>
    <t>tlobalDBYr1BusBEmp4Utiliz</t>
  </si>
  <si>
    <t>tlobalDBYr1BusBEmp3Utiliz</t>
  </si>
  <si>
    <t>tlobalDBYr1BusBEmp2Utiliz</t>
  </si>
  <si>
    <t>tlobalDBYr1BusBEmp1Utiliz</t>
  </si>
  <si>
    <t>tlobalDBYr1BusBTotalQualityCost</t>
  </si>
  <si>
    <t>tlobalDBYr1BusBTotalForecastRev</t>
  </si>
  <si>
    <t>tlobalDBYr1Emp6Utiliz</t>
  </si>
  <si>
    <t>tlobalDBYr1TotalTrainingBudForecast</t>
  </si>
  <si>
    <t>tlobalDBYr1BusAEmp7Utiliz</t>
  </si>
  <si>
    <t>tlobalDBYr1BusAEmp8Utiliz</t>
  </si>
  <si>
    <t>tlobalDBYr1BusAEmp9Utiliz</t>
  </si>
  <si>
    <t>tlobalDBYr1BusAEmp1Utiliz</t>
  </si>
  <si>
    <t>tlobalDBYr1GaugeBusAEmp4Utiliz</t>
  </si>
  <si>
    <t>tlobalDBYr1GaugeBusAEmp3Utiliz</t>
  </si>
  <si>
    <t>tlobalDBYr1GaugeBusAEmp2Utiliz</t>
  </si>
  <si>
    <t>tlobalDBYr1GaugeBusAEmp9Utiliz</t>
  </si>
  <si>
    <t>tlobalDBYr1GaugeEmp6Utiliz</t>
  </si>
  <si>
    <t>tlobalDBYr2Bookings</t>
  </si>
  <si>
    <t>tlobalDBYr2BookingsCAGR</t>
  </si>
  <si>
    <t>tlobalDBYr2TotalRev</t>
  </si>
  <si>
    <t>tlobalDBYr2GM</t>
  </si>
  <si>
    <t>tlobalDBYr2OM</t>
  </si>
  <si>
    <t>tlobalDBYr2BusATotalQualityCost</t>
  </si>
  <si>
    <t>tlobalDBYr2ESATEnd</t>
  </si>
  <si>
    <t>tlobalDBYr2CSATEnd</t>
  </si>
  <si>
    <t>tlobalDBYr2BusAEmp4Utiliz</t>
  </si>
  <si>
    <t>tlobalDBYr2BusAEmp3Utiliz</t>
  </si>
  <si>
    <t>tlobalDBYr2BusAEmp2Utiliz</t>
  </si>
  <si>
    <t>tlobalDBYr2BusBEmp4Utiliz</t>
  </si>
  <si>
    <t>tlobalDBYr2BusBEmp3Utiliz</t>
  </si>
  <si>
    <t>tlobalDBYr2BusBEmp2Utiliz</t>
  </si>
  <si>
    <t>tlobalDBYr2BusBEmp1Utiliz</t>
  </si>
  <si>
    <t>tlobalDBYr2BusBTotalQualityCost</t>
  </si>
  <si>
    <t>tlobalDBYr2BusBTotalForecastRev</t>
  </si>
  <si>
    <t>tlobalDBYr2Emp6Utiliz</t>
  </si>
  <si>
    <t>tlobalDBYr2TotalTrainingBudForecast</t>
  </si>
  <si>
    <t>tlobalDBYr2BusAEmp7Utiliz</t>
  </si>
  <si>
    <t>tlobalDBYr2BusAEmp8Utiliz</t>
  </si>
  <si>
    <t>tlobalDBYr2BusAEmp9Utiliz</t>
  </si>
  <si>
    <t>tlobalDBYr2BusAEmp1Utiliz</t>
  </si>
  <si>
    <t>tlobalDBYr2GaugeBusAEmp4Utiliz</t>
  </si>
  <si>
    <t>tlobalDBYr2GaugeBusAEmp3Utiliz</t>
  </si>
  <si>
    <t>tlobalDBYr2GaugeBusAEmp2Utiliz</t>
  </si>
  <si>
    <t>tlobalDBYr2GaugeBusAEmp9Utiliz</t>
  </si>
  <si>
    <t>tlobalDBYr2GaugeEmp6Utiliz</t>
  </si>
  <si>
    <t>cbalIndustryAvgCIMargin</t>
  </si>
  <si>
    <t>cbalCStockPricePShare</t>
  </si>
  <si>
    <t>cbalY1SpecProg1</t>
  </si>
  <si>
    <t>cbalY1SpecProg2</t>
  </si>
  <si>
    <t>cbalY1SpecProg3</t>
  </si>
  <si>
    <t>cbalY1SpecProg4</t>
  </si>
  <si>
    <t>cbalY1SpecProg5</t>
  </si>
  <si>
    <t>cbalY1SpecProg6</t>
  </si>
  <si>
    <t>cbalY1SpecProg7</t>
  </si>
  <si>
    <t>cbalY2SpecProg1</t>
  </si>
  <si>
    <t>cbalY2SpecProg2</t>
  </si>
  <si>
    <t>cbalY2SpecProg3</t>
  </si>
  <si>
    <t>cbalY2SpecProg4</t>
  </si>
  <si>
    <t>cbalY2SpecProg5</t>
  </si>
  <si>
    <t>cbalY2SpecProg6</t>
  </si>
  <si>
    <t>cbalY2SpecProg7</t>
  </si>
  <si>
    <t>cbalY3SpecProg1</t>
  </si>
  <si>
    <t>cbalY3SpecProg2</t>
  </si>
  <si>
    <t>cbalY3SpecProg3</t>
  </si>
  <si>
    <t>cbalY3SpecProg4</t>
  </si>
  <si>
    <t>cbalY3SpecProg5</t>
  </si>
  <si>
    <t>cbalY3SpecProg6</t>
  </si>
  <si>
    <t>cbalY3SpecProg7</t>
  </si>
  <si>
    <t>cbalY4SpecProg1</t>
  </si>
  <si>
    <t>cbalY4SpecProg2</t>
  </si>
  <si>
    <t>cbalY4SpecProg3</t>
  </si>
  <si>
    <t>cbalY4SpecProg4</t>
  </si>
  <si>
    <t>cbalY4SpecProg5</t>
  </si>
  <si>
    <t>cbalY4SpecProg6</t>
  </si>
  <si>
    <t>cbalY4SpecProg7</t>
  </si>
  <si>
    <t>cbalY1Wobbler1</t>
  </si>
  <si>
    <t>cbalY1Wobbler2</t>
  </si>
  <si>
    <t>cbalY1Wobbler3</t>
  </si>
  <si>
    <t>cbalY1Wobbler4</t>
  </si>
  <si>
    <t>cbalY4Wobbler1</t>
  </si>
  <si>
    <t>cbalY4Wobbler2</t>
  </si>
  <si>
    <t>cbalY4Wobbler3</t>
  </si>
  <si>
    <t>cbalY4Wobbler4</t>
  </si>
  <si>
    <t>cbalY3Wobbler1</t>
  </si>
  <si>
    <t>cbalY3Wobbler2</t>
  </si>
  <si>
    <t>cbalY3Wobbler3</t>
  </si>
  <si>
    <t>cbalY3Wobbler4</t>
  </si>
  <si>
    <t>cbalY2Wobbler1</t>
  </si>
  <si>
    <t>cbalY2Wobbler2</t>
  </si>
  <si>
    <t>cbalY2Wobbler3</t>
  </si>
  <si>
    <t>cbalY2Wobbler4</t>
  </si>
  <si>
    <t>obalY1SpecProg1</t>
  </si>
  <si>
    <t>obalY1SpecProg2</t>
  </si>
  <si>
    <t>obalY1SpecProg3</t>
  </si>
  <si>
    <t>obalY1SpecProg4</t>
  </si>
  <si>
    <t>obalY1SpecProg5</t>
  </si>
  <si>
    <t>obalY1SpecProg6</t>
  </si>
  <si>
    <t>obalY1SpecProg7</t>
  </si>
  <si>
    <t>obalY2SpecProg1</t>
  </si>
  <si>
    <t>obalY2SpecProg2</t>
  </si>
  <si>
    <t>obalY2SpecProg3</t>
  </si>
  <si>
    <t>obalY2SpecProg4</t>
  </si>
  <si>
    <t>obalY2SpecProg5</t>
  </si>
  <si>
    <t>obalY2SpecProg6</t>
  </si>
  <si>
    <t>obalY2SpecProg7</t>
  </si>
  <si>
    <t>obalY3SpecProg1</t>
  </si>
  <si>
    <t>obalY3SpecProg2</t>
  </si>
  <si>
    <t>obalY3SpecProg3</t>
  </si>
  <si>
    <t>obalY3SpecProg4</t>
  </si>
  <si>
    <t>obalY3SpecProg5</t>
  </si>
  <si>
    <t>obalY3SpecProg6</t>
  </si>
  <si>
    <t>obalY3SpecProg7</t>
  </si>
  <si>
    <t>obalY4SpecProg1</t>
  </si>
  <si>
    <t>obalY4SpecProg2</t>
  </si>
  <si>
    <t>obalY4SpecProg3</t>
  </si>
  <si>
    <t>obalY4SpecProg4</t>
  </si>
  <si>
    <t>obalY4SpecProg5</t>
  </si>
  <si>
    <t>obalY4SpecProg6</t>
  </si>
  <si>
    <t>obalY4SpecProg7</t>
  </si>
  <si>
    <t>obalY1Wobbler1</t>
  </si>
  <si>
    <t>obalY1Wobbler2</t>
  </si>
  <si>
    <t>obalY1Wobbler3</t>
  </si>
  <si>
    <t>obalY1Wobbler4</t>
  </si>
  <si>
    <t>obalY2Wobbler1</t>
  </si>
  <si>
    <t>obalY2Wobbler2</t>
  </si>
  <si>
    <t>obalY2Wobbler3</t>
  </si>
  <si>
    <t>obalY2Wobbler4</t>
  </si>
  <si>
    <t>obalY3Wobbler1</t>
  </si>
  <si>
    <t>obalY3Wobbler2</t>
  </si>
  <si>
    <t>obalY3Wobbler3</t>
  </si>
  <si>
    <t>obalY3Wobbler4</t>
  </si>
  <si>
    <t>obalY4Wobbler1</t>
  </si>
  <si>
    <t>obalY4Wobbler2</t>
  </si>
  <si>
    <t>obalY4Wobbler3</t>
  </si>
  <si>
    <t>obalY4Wobbler4</t>
  </si>
  <si>
    <t>T1: Entrevard</t>
  </si>
  <si>
    <t>Low</t>
  </si>
  <si>
    <t>High</t>
  </si>
  <si>
    <t>Very High</t>
  </si>
  <si>
    <t>Sales Force Utilization</t>
  </si>
  <si>
    <t>tlBusA!$H$30</t>
  </si>
  <si>
    <t>Your Sales Force are overutilized</t>
  </si>
  <si>
    <t>Last Year Market Share</t>
  </si>
  <si>
    <t>Market Share Forecast</t>
  </si>
  <si>
    <t>Wobbler Trigger</t>
  </si>
  <si>
    <t>You have not responded to all challenges</t>
  </si>
  <si>
    <t>The Sander Situation - Have Pandora Coach Sander</t>
  </si>
  <si>
    <t>The Sander Situation - Provide Air Cover for Sander</t>
  </si>
  <si>
    <t>The Sander Situation - Pair Sander with Roxy</t>
  </si>
  <si>
    <t>The Sander Situation - Take Sander of the hook</t>
  </si>
  <si>
    <t>Conference Confidence - Share the wisdom</t>
  </si>
  <si>
    <t>Conference Confidence - Clarify his thoughts</t>
  </si>
  <si>
    <t>Conference Confidence - Bolster his confidence</t>
  </si>
  <si>
    <t>Conference Confidence - Issue a challenge</t>
  </si>
  <si>
    <t>capWobblerErrorCheck</t>
  </si>
  <si>
    <t>Goodwilll Hours Expense: $1.5M          Employee NPS: 68.9%          Client NPS: 64.3%</t>
  </si>
  <si>
    <t xml:space="preserve"> ="Goodwilll Hours Expense: " &amp;TEXT(INDEX(finPNLBusATotalQualityCost/1000000,xxIndexTeam),"$#,###.0;-$#,###.0;0.0")&amp;"M"&amp;"          Employee NPS: " &amp;TEXT(INDEX(capESATEnd,xxIndexTeam),"#,###.0%;-#,###.0%;0.0%")&amp;"          Client NPS: " &amp;TEXT(INDEX(capCSATEnd,xxIndexTeam),"#,###.0%;-#,###.0%;0.0%")</t>
  </si>
  <si>
    <t>Client Relationship</t>
  </si>
  <si>
    <t>tlInputTeamYear</t>
  </si>
  <si>
    <t>tlobalY1SpecProg1</t>
  </si>
  <si>
    <t>tlobalY1SpecProg2</t>
  </si>
  <si>
    <t>tlobalY1SpecProg3</t>
  </si>
  <si>
    <t>tlobalY1SpecProg4</t>
  </si>
  <si>
    <t>tlobalY1SpecProg5</t>
  </si>
  <si>
    <t>tlobalY1SpecProg6</t>
  </si>
  <si>
    <t>tlobalY1SpecProg7</t>
  </si>
  <si>
    <t>tlobalY2SpecProg1</t>
  </si>
  <si>
    <t>tlobalY2SpecProg2</t>
  </si>
  <si>
    <t>tlobalY2SpecProg3</t>
  </si>
  <si>
    <t>tlobalY2SpecProg4</t>
  </si>
  <si>
    <t>tlobalY2SpecProg5</t>
  </si>
  <si>
    <t>tlobalY2SpecProg6</t>
  </si>
  <si>
    <t>tlobalY2SpecProg7</t>
  </si>
  <si>
    <t>tlobalY3SpecProg1</t>
  </si>
  <si>
    <t>tlobalY3SpecProg2</t>
  </si>
  <si>
    <t>tlobalY3SpecProg3</t>
  </si>
  <si>
    <t>tlobalY3SpecProg4</t>
  </si>
  <si>
    <t>tlobalY3SpecProg5</t>
  </si>
  <si>
    <t>tlobalY3SpecProg6</t>
  </si>
  <si>
    <t>tlobalY3SpecProg7</t>
  </si>
  <si>
    <t>tlobalY4SpecProg1</t>
  </si>
  <si>
    <t>tlobalY4SpecProg2</t>
  </si>
  <si>
    <t>tlobalY4SpecProg3</t>
  </si>
  <si>
    <t>tlobalY4SpecProg4</t>
  </si>
  <si>
    <t>tlobalY4SpecProg5</t>
  </si>
  <si>
    <t>tlobalY4SpecProg6</t>
  </si>
  <si>
    <t>tlobalY4SpecProg7</t>
  </si>
  <si>
    <t>tlobalY1Wobbler1</t>
  </si>
  <si>
    <t>tlobalY1Wobbler2</t>
  </si>
  <si>
    <t>tlobalY1Wobbler3</t>
  </si>
  <si>
    <t>tlobalY1Wobbler4</t>
  </si>
  <si>
    <t>tlobalY2Wobbler1</t>
  </si>
  <si>
    <t>tlobalY2Wobbler2</t>
  </si>
  <si>
    <t>tlobalY2Wobbler3</t>
  </si>
  <si>
    <t>tlobalY2Wobbler4</t>
  </si>
  <si>
    <t>tlobalY3Wobbler1</t>
  </si>
  <si>
    <t>tlobalY3Wobbler2</t>
  </si>
  <si>
    <t>tlobalY3Wobbler3</t>
  </si>
  <si>
    <t>tlobalY3Wobbler4</t>
  </si>
  <si>
    <t>tlobalY4Wobbler1</t>
  </si>
  <si>
    <t>tlobalY4Wobbler2</t>
  </si>
  <si>
    <t>tlobalY4Wobbler3</t>
  </si>
  <si>
    <t>tlobalY4Wobbler4</t>
  </si>
  <si>
    <t>tlInputTeamNumber</t>
  </si>
  <si>
    <t>tlInputTeamName</t>
  </si>
  <si>
    <t>tlInputScenarioTestCounter</t>
  </si>
  <si>
    <t>tlInputProd1Price</t>
  </si>
  <si>
    <t>tlInputProd1V2Price</t>
  </si>
  <si>
    <t>tlInputProd1V3Price</t>
  </si>
  <si>
    <t>tlInputProd1Units</t>
  </si>
  <si>
    <t>tlInputProd1V2Units</t>
  </si>
  <si>
    <t>tlInputProd1V3Units</t>
  </si>
  <si>
    <t>tlInputProd1Growth</t>
  </si>
  <si>
    <t>tlInputProd1V2Growth</t>
  </si>
  <si>
    <t>tlInputProd1V3Growth</t>
  </si>
  <si>
    <t>tlInputProd1CreditDays</t>
  </si>
  <si>
    <t>tlInputBusAStaffProfMC1</t>
  </si>
  <si>
    <t>tlInputBusAStaffProfMC2</t>
  </si>
  <si>
    <t>tlInputBusAStaffProfMC3</t>
  </si>
  <si>
    <t>tlInputBusAEmp4HrsCurrProj</t>
  </si>
  <si>
    <t>tlInputBusAEmp4HrsCurrProjV2</t>
  </si>
  <si>
    <t>tlInputBusAEmp4HrsCurrProjV3</t>
  </si>
  <si>
    <t>tlInputBusAEmp3HrsCurrProj</t>
  </si>
  <si>
    <t>tlInputBusAEmp3HrsCurrProjV2</t>
  </si>
  <si>
    <t>tlInputBusAEmp3HrsCurrProjV3</t>
  </si>
  <si>
    <t>tlInputBusAEmp2HrsCurrProj</t>
  </si>
  <si>
    <t>tlInputBusAEmp2HrsCurrProjV2</t>
  </si>
  <si>
    <t>tlInputBusAEmp2HrsCurrProjV3</t>
  </si>
  <si>
    <t>tlInputBusAEmp1HrsCurrProj</t>
  </si>
  <si>
    <t>tlInputBusAEmp1HrsCurrProjV2</t>
  </si>
  <si>
    <t>tlInputBusAEmp1HrsCurrProjV3</t>
  </si>
  <si>
    <t>tlInputBusAStaffProfSIT1</t>
  </si>
  <si>
    <t>tlInputBusAStaffProfSIT2</t>
  </si>
  <si>
    <t>tlInputBusAStaffProfSIT3</t>
  </si>
  <si>
    <t>tlInputBusAEmp7HrsCurrProj</t>
  </si>
  <si>
    <t>tlInputBusAEmp7HrsCurrProjV2</t>
  </si>
  <si>
    <t>tlInputBusAEmp7HrsCurrProjV3</t>
  </si>
  <si>
    <t>tlInputBusAEmp8HrsCurrProj</t>
  </si>
  <si>
    <t>tlInputBusAEmp8HrsCurrProjV2</t>
  </si>
  <si>
    <t>tlInputBusAEmp8HrsCurrProjV3</t>
  </si>
  <si>
    <t>tlInputBusAEmp9HrsCurrProj</t>
  </si>
  <si>
    <t>tlInputBusAEmp9HrsCurrProjV2</t>
  </si>
  <si>
    <t>tlInputBusAEmp9HrsCurrProjV3</t>
  </si>
  <si>
    <t>tlInputBusAV1HrsBorrowed</t>
  </si>
  <si>
    <t>tlInputBusAV2HrsBorrowed</t>
  </si>
  <si>
    <t>tlInputBusAV3HrsBorrowed</t>
  </si>
  <si>
    <t>tlInputBusASalesMC1</t>
  </si>
  <si>
    <t>tlInputBusASalesMC2</t>
  </si>
  <si>
    <t>tlInputBusASalesMC3</t>
  </si>
  <si>
    <t>tlInputBusAEmp4HrsSales</t>
  </si>
  <si>
    <t>tlInputBusAEmp4HrsSalesV2</t>
  </si>
  <si>
    <t>tlInputBusAEmp4HrsSalesV3</t>
  </si>
  <si>
    <t>tlInputBusAEmp3HrsSales</t>
  </si>
  <si>
    <t>tlInputBusAEmp3HrsSalesV2</t>
  </si>
  <si>
    <t>tlInputBusAEmp3HrsSalesV3</t>
  </si>
  <si>
    <t>tlInputBusAEmp2HrsSales</t>
  </si>
  <si>
    <t>tlInputBusAEmp2HrsSalesV2</t>
  </si>
  <si>
    <t>tlInputBusAEmp2HrsSalesV3</t>
  </si>
  <si>
    <t>tlInputBusAEmp1HrsSales</t>
  </si>
  <si>
    <t>tlInputBusAEmp1HrsSalesV2</t>
  </si>
  <si>
    <t>tlInputBusAEmp1HrsSalesV3</t>
  </si>
  <si>
    <t>tlInputBusASales2</t>
  </si>
  <si>
    <t>tlInputBusASales4</t>
  </si>
  <si>
    <t>tlInputBusASales6</t>
  </si>
  <si>
    <t>tlInputBusAEmp7HrsSales</t>
  </si>
  <si>
    <t>tlInputBusAEmp7HrsSalesV2</t>
  </si>
  <si>
    <t>tlInputBusAEmp7HrsSalesV3</t>
  </si>
  <si>
    <t>tlInputBusAEmp8HrsSales</t>
  </si>
  <si>
    <t>tlInputBusAEmp8HrsSalesV2</t>
  </si>
  <si>
    <t>tlInputBusAEmp8HrsSalesV3</t>
  </si>
  <si>
    <t>tlInputBusAEmp9HrsSales</t>
  </si>
  <si>
    <t>tlInputBusAEmp9HrsSalesV2</t>
  </si>
  <si>
    <t>tlInputBusAEmp9HrsSalesV3</t>
  </si>
  <si>
    <t>tlInputBusABusDevNonPayrollBud</t>
  </si>
  <si>
    <t>tlInputCompDevBusAV1</t>
  </si>
  <si>
    <t>tlInputCompDevBusAV2</t>
  </si>
  <si>
    <t>tlInputCompDevBusAV3</t>
  </si>
  <si>
    <t>tlInputEmp4BusALocalPer</t>
  </si>
  <si>
    <t>tlInputEmp3BusALocalPer</t>
  </si>
  <si>
    <t>tlInputEmp2BusALocalPer</t>
  </si>
  <si>
    <t>tlInputEmp1BusALocalPer</t>
  </si>
  <si>
    <t>tlInputBid1Check</t>
  </si>
  <si>
    <t>tlInputBid2Check</t>
  </si>
  <si>
    <t>tlInputBid3Check</t>
  </si>
  <si>
    <t>tlInputBid4Check</t>
  </si>
  <si>
    <t>tlInputBid5Check</t>
  </si>
  <si>
    <t>tlInputBid6Check</t>
  </si>
  <si>
    <t>tlInputBid7Check</t>
  </si>
  <si>
    <t>tlInputBid8Check</t>
  </si>
  <si>
    <t>tlInputBid9Check</t>
  </si>
  <si>
    <t>tlInputClientPctBid1</t>
  </si>
  <si>
    <t>tlInputClientPctBid2</t>
  </si>
  <si>
    <t>tlInputClientPctBid3</t>
  </si>
  <si>
    <t>tlInputClientPctBid4</t>
  </si>
  <si>
    <t>tlInputClientPctBid5</t>
  </si>
  <si>
    <t>tlInputClientPctBid6</t>
  </si>
  <si>
    <t>tlInputClientPctBid7</t>
  </si>
  <si>
    <t>tlInputClientPctBid8</t>
  </si>
  <si>
    <t>tlInputClientPctBid9</t>
  </si>
  <si>
    <t>tlInputBid1Price</t>
  </si>
  <si>
    <t>tlInputBid2Price</t>
  </si>
  <si>
    <t>tlInputBid3Price</t>
  </si>
  <si>
    <t>tlInputBid4Price</t>
  </si>
  <si>
    <t>tlInputBid5Price</t>
  </si>
  <si>
    <t>tlInputBid6Price</t>
  </si>
  <si>
    <t>tlInputBid7Price</t>
  </si>
  <si>
    <t>tlInputBid8Price</t>
  </si>
  <si>
    <t>tlInputBid9Price</t>
  </si>
  <si>
    <t>tlInputClientIntCostBid1</t>
  </si>
  <si>
    <t>tlInputClientIntCostBid2</t>
  </si>
  <si>
    <t>tlInputClientIntCostBid3</t>
  </si>
  <si>
    <t>tlInputClientIntCostBid4</t>
  </si>
  <si>
    <t>tlInputClientIntCostBid5</t>
  </si>
  <si>
    <t>tlInputClientIntCostBid6</t>
  </si>
  <si>
    <t>tlInputClientIntCostBid7</t>
  </si>
  <si>
    <t>tlInputClientIntCostBid8</t>
  </si>
  <si>
    <t>tlInputClientIntCostBid9</t>
  </si>
  <si>
    <t>tlInputBid1Emp4HrsRFQ</t>
  </si>
  <si>
    <t>tlInputBid2Emp4HrsRFQ</t>
  </si>
  <si>
    <t>tlInputBid3Emp4HrsRFQ</t>
  </si>
  <si>
    <t>tlInputBid4Emp4HrsRFQ</t>
  </si>
  <si>
    <t>tlInputBid5Emp4HrsRFQ</t>
  </si>
  <si>
    <t>tlInputBid6Emp4HrsRFQ</t>
  </si>
  <si>
    <t>tlInputBid7Emp4HrsRFQ</t>
  </si>
  <si>
    <t>tlInputBid8Emp4HrsRFQ</t>
  </si>
  <si>
    <t>tlInputBid9Emp4HrsRFQ</t>
  </si>
  <si>
    <t>tlInputBid1Emp3HrsRFQ</t>
  </si>
  <si>
    <t>tlInputBid2Emp3HrsRFQ</t>
  </si>
  <si>
    <t>tlInputBid3Emp3HrsRFQ</t>
  </si>
  <si>
    <t>tlInputBid4Emp3HrsRFQ</t>
  </si>
  <si>
    <t>tlInputBid5Emp3HrsRFQ</t>
  </si>
  <si>
    <t>tlInputBid6Emp3HrsRFQ</t>
  </si>
  <si>
    <t>tlInputBid7Emp3HrsRFQ</t>
  </si>
  <si>
    <t>tlInputBid8Emp3HrsRFQ</t>
  </si>
  <si>
    <t>tlInputBid9Emp3HrsRFQ</t>
  </si>
  <si>
    <t>tlInputBid1Emp2HrsRFQ</t>
  </si>
  <si>
    <t>tlInputBid2Emp2HrsRFQ</t>
  </si>
  <si>
    <t>tlInputBid3Emp2HrsRFQ</t>
  </si>
  <si>
    <t>tlInputBid4Emp2HrsRFQ</t>
  </si>
  <si>
    <t>tlInputBid5Emp2HrsRFQ</t>
  </si>
  <si>
    <t>tlInputBid6Emp2HrsRFQ</t>
  </si>
  <si>
    <t>tlInputBid7Emp2HrsRFQ</t>
  </si>
  <si>
    <t>tlInputBid8Emp2HrsRFQ</t>
  </si>
  <si>
    <t>tlInputBid9Emp2HrsRFQ</t>
  </si>
  <si>
    <t>tlInputBusBBusDevNonPayrollBud</t>
  </si>
  <si>
    <t>tlInputBusBH1HrsBorrowed</t>
  </si>
  <si>
    <t>tlInputBusBH2HrsBorrowed</t>
  </si>
  <si>
    <t>tlInputBusBH3HrsBorrowed</t>
  </si>
  <si>
    <t>tlInputV1H1Dev</t>
  </si>
  <si>
    <t>tlInputV1H2Dev</t>
  </si>
  <si>
    <t>tlInputV1H3Dev</t>
  </si>
  <si>
    <t>tlInputV2H1Dev</t>
  </si>
  <si>
    <t>tlInputV2H2Dev</t>
  </si>
  <si>
    <t>tlInputV2H3Dev</t>
  </si>
  <si>
    <t>tlInputV3H1Dev</t>
  </si>
  <si>
    <t>tlInputV3H2Dev</t>
  </si>
  <si>
    <t>tlInputV3H3Dev</t>
  </si>
  <si>
    <t>tlInputEmp4BusBOpsImprove</t>
  </si>
  <si>
    <t>tlInputEmp3BusBOpsImprove</t>
  </si>
  <si>
    <t>tlInputEmp2BusBOpsImprove</t>
  </si>
  <si>
    <t>tlInputEmp1BusBOpsImprove</t>
  </si>
  <si>
    <t>tlInputEmp4BusAHire</t>
  </si>
  <si>
    <t>tlInputEmp3BusAHire</t>
  </si>
  <si>
    <t>tlInputEmp2BusAHire</t>
  </si>
  <si>
    <t>tlInputEmp1BusAHire</t>
  </si>
  <si>
    <t>tlInputEmp7BusAHire</t>
  </si>
  <si>
    <t>tlInputEmp8BusAHire</t>
  </si>
  <si>
    <t>tlInputEmp9BusAHire</t>
  </si>
  <si>
    <t>tlInputEmp4BusADismiss</t>
  </si>
  <si>
    <t>tlInputEmp3BusADismiss</t>
  </si>
  <si>
    <t>tlInputEmp2BusADismiss</t>
  </si>
  <si>
    <t>tlInputEmp1BusADismiss</t>
  </si>
  <si>
    <t>tlInputEmp7BusADismiss</t>
  </si>
  <si>
    <t>tlInputEmp8BusADismiss</t>
  </si>
  <si>
    <t>tlInputEmp9BusADismiss</t>
  </si>
  <si>
    <t>tlInputEmp4BusBHire</t>
  </si>
  <si>
    <t>tlInputEmp3BusBHire</t>
  </si>
  <si>
    <t>tlInputEmp2BusBHire</t>
  </si>
  <si>
    <t>tlInputEmp1BusBHire</t>
  </si>
  <si>
    <t>tlInputEmp4BusBDismiss</t>
  </si>
  <si>
    <t>tlInputEmp3BusBDismiss</t>
  </si>
  <si>
    <t>tlInputEmp2BusBDismiss</t>
  </si>
  <si>
    <t>tlInputEmp1BusBDismiss</t>
  </si>
  <si>
    <t>tlInputEntWFHire</t>
  </si>
  <si>
    <t>tlInputEntWFDismiss</t>
  </si>
  <si>
    <t>tlInputEmp4Training</t>
  </si>
  <si>
    <t>tlInputEmp3Training</t>
  </si>
  <si>
    <t>tlInputEmp2Training</t>
  </si>
  <si>
    <t>tlInputEmp1Training</t>
  </si>
  <si>
    <t>tlInputEntWFTraining</t>
  </si>
  <si>
    <t>tlInputEmp4TrainingBudget</t>
  </si>
  <si>
    <t>tlInputEmp3TrainingBudget</t>
  </si>
  <si>
    <t>tlInputEmp2TrainingBudget</t>
  </si>
  <si>
    <t>tlInputEmp1TrainingBudget</t>
  </si>
  <si>
    <t>tlInputEntWFTrainingBudget</t>
  </si>
  <si>
    <t>tlInputEmp4SalaryLvl</t>
  </si>
  <si>
    <t>tlInputEmp3SalaryLvl</t>
  </si>
  <si>
    <t>tlInputEmp2SalaryLvl</t>
  </si>
  <si>
    <t>tlInputEmp1SalaryLvl</t>
  </si>
  <si>
    <t>tlInputProd1Adv</t>
  </si>
  <si>
    <t>tlInputIndustryEminence</t>
  </si>
  <si>
    <t>tlInputInternalAssets</t>
  </si>
  <si>
    <t>tlInputSpecProg1</t>
  </si>
  <si>
    <t>tlInputSpecProg2</t>
  </si>
  <si>
    <t>tlInputSpecProg3</t>
  </si>
  <si>
    <t>tlInputSpecProg4</t>
  </si>
  <si>
    <t>tlInputSpecProg5</t>
  </si>
  <si>
    <t>tlInputSpecProg6</t>
  </si>
  <si>
    <t>tlInputSpecProg7</t>
  </si>
  <si>
    <t>tlInputWobbler1</t>
  </si>
  <si>
    <t>tlInputWobbler2</t>
  </si>
  <si>
    <t>tlInputWobbler3</t>
  </si>
  <si>
    <t>tlInputWobbler4</t>
  </si>
  <si>
    <t>-</t>
  </si>
  <si>
    <t>decEntSvcsSalesSupportLevelPrac1</t>
  </si>
  <si>
    <t>decEntSvcsSalesSupportLevelPrac2</t>
  </si>
  <si>
    <t>decEntSvcsSalesSupportLevelPrac3</t>
  </si>
  <si>
    <t>tlInputEntSvcsSalesSupportLevelPrac1</t>
  </si>
  <si>
    <t>tlInputEntSvcsSalesSupportLevelPrac2</t>
  </si>
  <si>
    <t>tlInputEntSvcsSalesSupportLevelPrac3</t>
  </si>
  <si>
    <t>Unallocated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</si>
</sst>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7">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0_);\ \(#,##0\);_(* &quot;-&quot;??_);_(@_)"/>
    <numFmt numFmtId="165" formatCode="#,##0,_);\ \(#,##0,\);_(* &quot;-&quot;_);_(@_)"/>
    <numFmt numFmtId="166" formatCode="#,##0,,_);\ \(#,##0,,\);_(* &quot;-&quot;_);_(@_)"/>
    <numFmt numFmtId="167" formatCode="_(* #,##0_);_(* \(#,##0\);_(* &quot;-&quot;??_);_(@_)"/>
    <numFmt numFmtId="168" formatCode="[$-F400]h:mm:ss\ AM/PM"/>
    <numFmt numFmtId="169" formatCode="0.0%"/>
    <numFmt numFmtId="170" formatCode="&quot;$&quot;#,##0"/>
    <numFmt numFmtId="171" formatCode="&quot;$&quot;#,##0.00"/>
    <numFmt numFmtId="172" formatCode="&quot;$&quot;#,##0.0"/>
    <numFmt numFmtId="173" formatCode="_(&quot;$&quot;* #,##0_);_(&quot;$&quot;* \(#,##0\);_(&quot;$&quot;* &quot;-&quot;??_);_(@_)"/>
    <numFmt numFmtId="174" formatCode="_(* #,##0.0_);_(* \(#,##0.0\);_(* &quot;-&quot;_);_(@_)"/>
    <numFmt numFmtId="175" formatCode="_(* #,##0.00_);_(* \(#,##0.00\);_(* &quot;-&quot;_);_(@_)"/>
    <numFmt numFmtId="176" formatCode="0.000%"/>
    <numFmt numFmtId="177" formatCode="0.000"/>
    <numFmt numFmtId="178" formatCode="0.00000000"/>
    <numFmt numFmtId="179" formatCode="_(* #,##0.00000_);_(* \(#,##0.00000\);_(* &quot;-&quot;??_);_(@_)"/>
    <numFmt numFmtId="180" formatCode="0.0000000000000000000000000"/>
    <numFmt numFmtId="181" formatCode="#,##0.000"/>
    <numFmt numFmtId="182" formatCode="0.0"/>
    <numFmt numFmtId="183" formatCode="_([$€-2]* #,##0.00_);_([$€-2]* \(#,##0.00\);_([$€-2]* &quot;-&quot;??_)"/>
    <numFmt numFmtId="184" formatCode="0_);\(0\)"/>
  </numFmts>
  <fonts count="136">
    <font>
      <sz val="8"/>
      <name val="Arial"/>
    </font>
    <font>
      <sz val="11"/>
      <color theme="1"/>
      <name val="Arial"/>
      <family val="2"/>
      <scheme val="minor"/>
    </font>
    <font>
      <sz val="11"/>
      <color theme="1"/>
      <name val="Arial"/>
      <family val="2"/>
      <scheme val="minor"/>
    </font>
    <font>
      <sz val="8"/>
      <name val="Arial"/>
      <family val="2"/>
    </font>
    <font>
      <b/>
      <sz val="8"/>
      <name val="Arial"/>
      <family val="2"/>
    </font>
    <font>
      <sz val="8"/>
      <name val="Arial"/>
      <family val="2"/>
    </font>
    <font>
      <b/>
      <sz val="10"/>
      <name val="Arial"/>
      <family val="2"/>
    </font>
    <font>
      <sz val="10"/>
      <name val="Arial"/>
      <family val="2"/>
    </font>
    <font>
      <b/>
      <sz val="12"/>
      <color indexed="9"/>
      <name val="Arial"/>
      <family val="2"/>
    </font>
    <font>
      <sz val="8"/>
      <color indexed="9"/>
      <name val="Arial"/>
      <family val="2"/>
    </font>
    <font>
      <b/>
      <i/>
      <sz val="8"/>
      <name val="Arial"/>
      <family val="2"/>
    </font>
    <font>
      <b/>
      <sz val="8"/>
      <color indexed="9"/>
      <name val="Arial"/>
      <family val="2"/>
    </font>
    <font>
      <b/>
      <sz val="14"/>
      <name val="Arial"/>
      <family val="2"/>
    </font>
    <font>
      <b/>
      <sz val="10"/>
      <color indexed="9"/>
      <name val="Arial"/>
      <family val="2"/>
    </font>
    <font>
      <sz val="8"/>
      <color indexed="81"/>
      <name val="Tahoma"/>
      <family val="2"/>
    </font>
    <font>
      <b/>
      <sz val="8"/>
      <color indexed="81"/>
      <name val="Tahoma"/>
      <family val="2"/>
    </font>
    <font>
      <b/>
      <sz val="12"/>
      <name val="Arial"/>
      <family val="2"/>
    </font>
    <font>
      <sz val="14"/>
      <name val="Arial"/>
      <family val="2"/>
    </font>
    <font>
      <sz val="12"/>
      <color indexed="9"/>
      <name val="Arial"/>
      <family val="2"/>
    </font>
    <font>
      <sz val="12"/>
      <name val="Arial"/>
      <family val="2"/>
    </font>
    <font>
      <b/>
      <sz val="18"/>
      <name val="Arial"/>
      <family val="2"/>
    </font>
    <font>
      <sz val="8"/>
      <color indexed="10"/>
      <name val="Arial"/>
      <family val="2"/>
    </font>
    <font>
      <sz val="8"/>
      <color indexed="46"/>
      <name val="Arial"/>
      <family val="2"/>
    </font>
    <font>
      <b/>
      <i/>
      <sz val="10"/>
      <color indexed="17"/>
      <name val="Arial"/>
      <family val="2"/>
    </font>
    <font>
      <b/>
      <i/>
      <sz val="12"/>
      <color indexed="22"/>
      <name val="Arial Black"/>
      <family val="2"/>
    </font>
    <font>
      <sz val="8"/>
      <color indexed="22"/>
      <name val="Arial"/>
      <family val="2"/>
    </font>
    <font>
      <b/>
      <sz val="8"/>
      <name val="Courier New"/>
      <family val="3"/>
    </font>
    <font>
      <b/>
      <sz val="12"/>
      <name val="Courier New"/>
      <family val="3"/>
    </font>
    <font>
      <b/>
      <sz val="9"/>
      <name val="Century Schoolbook"/>
      <family val="1"/>
    </font>
    <font>
      <b/>
      <sz val="16"/>
      <name val="DomCasual BT"/>
    </font>
    <font>
      <b/>
      <i/>
      <sz val="12"/>
      <color indexed="9"/>
      <name val="Arial Black"/>
      <family val="2"/>
    </font>
    <font>
      <b/>
      <sz val="8"/>
      <color indexed="12"/>
      <name val="Arial"/>
      <family val="2"/>
    </font>
    <font>
      <sz val="8"/>
      <color indexed="10"/>
      <name val="Arial"/>
      <family val="2"/>
    </font>
    <font>
      <sz val="10"/>
      <name val="Arial"/>
      <family val="2"/>
    </font>
    <font>
      <sz val="10"/>
      <name val="Helv"/>
    </font>
    <font>
      <sz val="9"/>
      <name val="Arial Rounded MT Bold"/>
      <family val="2"/>
    </font>
    <font>
      <b/>
      <sz val="10"/>
      <name val="Helv"/>
    </font>
    <font>
      <b/>
      <sz val="10"/>
      <color indexed="18"/>
      <name val="Arial"/>
      <family val="2"/>
    </font>
    <font>
      <sz val="7"/>
      <name val="Times New Roman"/>
      <family val="1"/>
    </font>
    <font>
      <b/>
      <u/>
      <sz val="14"/>
      <name val="Arial"/>
      <family val="2"/>
    </font>
    <font>
      <sz val="14"/>
      <name val="Symbol"/>
      <family val="1"/>
      <charset val="2"/>
    </font>
    <font>
      <sz val="14"/>
      <name val="Courier New"/>
      <family val="3"/>
    </font>
    <font>
      <sz val="14"/>
      <name val="Wingdings"/>
      <charset val="2"/>
    </font>
    <font>
      <b/>
      <sz val="11"/>
      <name val="Arial"/>
      <family val="2"/>
    </font>
    <font>
      <b/>
      <sz val="14"/>
      <color indexed="9"/>
      <name val="Arial"/>
      <family val="2"/>
    </font>
    <font>
      <b/>
      <i/>
      <sz val="10"/>
      <name val="Arial"/>
      <family val="2"/>
    </font>
    <font>
      <sz val="8"/>
      <color indexed="9"/>
      <name val="Arial"/>
      <family val="2"/>
    </font>
    <font>
      <b/>
      <i/>
      <sz val="11"/>
      <name val="Arial"/>
      <family val="2"/>
    </font>
    <font>
      <sz val="12"/>
      <name val="Arial"/>
      <family val="2"/>
    </font>
    <font>
      <b/>
      <sz val="12"/>
      <color indexed="9"/>
      <name val="Arial"/>
      <family val="2"/>
    </font>
    <font>
      <b/>
      <sz val="12"/>
      <name val="Arial"/>
      <family val="2"/>
    </font>
    <font>
      <i/>
      <sz val="12"/>
      <name val="Arial"/>
      <family val="2"/>
    </font>
    <font>
      <sz val="18"/>
      <color indexed="9"/>
      <name val="Arial"/>
      <family val="2"/>
    </font>
    <font>
      <sz val="18"/>
      <name val="Arial"/>
      <family val="2"/>
    </font>
    <font>
      <b/>
      <sz val="18"/>
      <color indexed="9"/>
      <name val="Arial"/>
      <family val="2"/>
    </font>
    <font>
      <i/>
      <sz val="10"/>
      <name val="Arial"/>
      <family val="2"/>
    </font>
    <font>
      <u/>
      <sz val="8"/>
      <name val="Arial"/>
      <family val="2"/>
    </font>
    <font>
      <b/>
      <sz val="11"/>
      <color indexed="9"/>
      <name val="Arial"/>
      <family val="2"/>
    </font>
    <font>
      <b/>
      <u/>
      <sz val="11"/>
      <name val="Arial"/>
      <family val="2"/>
    </font>
    <font>
      <i/>
      <sz val="8"/>
      <name val="Arial"/>
      <family val="2"/>
    </font>
    <font>
      <b/>
      <sz val="16"/>
      <name val="Arial"/>
      <family val="2"/>
    </font>
    <font>
      <b/>
      <sz val="10"/>
      <color indexed="10"/>
      <name val="Arial"/>
      <family val="2"/>
    </font>
    <font>
      <b/>
      <i/>
      <sz val="10"/>
      <color indexed="9"/>
      <name val="Arial"/>
      <family val="2"/>
    </font>
    <font>
      <b/>
      <sz val="10"/>
      <color indexed="22"/>
      <name val="Arial"/>
      <family val="2"/>
    </font>
    <font>
      <b/>
      <i/>
      <sz val="8"/>
      <color indexed="10"/>
      <name val="Arial"/>
      <family val="2"/>
    </font>
    <font>
      <b/>
      <u/>
      <sz val="8"/>
      <name val="Arial"/>
      <family val="2"/>
    </font>
    <font>
      <sz val="8"/>
      <color indexed="48"/>
      <name val="Arial"/>
      <family val="2"/>
    </font>
    <font>
      <sz val="8"/>
      <color indexed="8"/>
      <name val="Arial"/>
      <family val="2"/>
    </font>
    <font>
      <b/>
      <sz val="8"/>
      <color indexed="10"/>
      <name val="Arial"/>
      <family val="2"/>
    </font>
    <font>
      <i/>
      <sz val="12"/>
      <name val="Arial"/>
      <family val="2"/>
    </font>
    <font>
      <sz val="8"/>
      <color rgb="FF000000"/>
      <name val="Arial"/>
      <family val="2"/>
    </font>
    <font>
      <b/>
      <sz val="10"/>
      <color rgb="FF000080"/>
      <name val="Arial"/>
      <family val="2"/>
    </font>
    <font>
      <sz val="11"/>
      <name val="Calibri"/>
      <family val="2"/>
    </font>
    <font>
      <sz val="8"/>
      <name val="Arial"/>
      <family val="2"/>
      <scheme val="minor"/>
    </font>
    <font>
      <sz val="8"/>
      <color theme="0"/>
      <name val="Arial"/>
      <family val="2"/>
    </font>
    <font>
      <b/>
      <sz val="10"/>
      <color theme="0"/>
      <name val="Arial"/>
      <family val="2"/>
    </font>
    <font>
      <sz val="8"/>
      <name val="Verdana"/>
      <family val="2"/>
    </font>
    <font>
      <b/>
      <sz val="20"/>
      <name val="Verdana"/>
      <family val="2"/>
    </font>
    <font>
      <sz val="20"/>
      <color theme="0"/>
      <name val="Verdana"/>
      <family val="2"/>
    </font>
    <font>
      <sz val="16"/>
      <color theme="0"/>
      <name val="Verdana"/>
      <family val="2"/>
    </font>
    <font>
      <sz val="11"/>
      <color theme="0"/>
      <name val="Verdana"/>
      <family val="2"/>
    </font>
    <font>
      <sz val="16"/>
      <name val="Verdana"/>
      <family val="2"/>
    </font>
    <font>
      <sz val="14"/>
      <name val="Verdana"/>
      <family val="2"/>
    </font>
    <font>
      <sz val="10"/>
      <name val="Verdana"/>
      <family val="2"/>
    </font>
    <font>
      <b/>
      <sz val="10"/>
      <name val="Verdana"/>
      <family val="2"/>
    </font>
    <font>
      <b/>
      <sz val="11"/>
      <color rgb="FF246384"/>
      <name val="Verdana"/>
      <family val="2"/>
    </font>
    <font>
      <sz val="11"/>
      <color rgb="FF246384"/>
      <name val="Verdana"/>
      <family val="2"/>
    </font>
    <font>
      <u/>
      <sz val="10"/>
      <name val="Verdana"/>
      <family val="2"/>
    </font>
    <font>
      <sz val="8"/>
      <color rgb="FF246384"/>
      <name val="Verdana"/>
      <family val="2"/>
    </font>
    <font>
      <i/>
      <sz val="10"/>
      <name val="Verdana"/>
      <family val="2"/>
    </font>
    <font>
      <b/>
      <sz val="10"/>
      <color theme="0"/>
      <name val="Verdana"/>
      <family val="2"/>
    </font>
    <font>
      <sz val="11"/>
      <name val="Verdana"/>
      <family val="2"/>
    </font>
    <font>
      <i/>
      <sz val="9"/>
      <name val="Verdana"/>
      <family val="2"/>
    </font>
    <font>
      <sz val="10"/>
      <color rgb="FF246384"/>
      <name val="Verdana"/>
      <family val="2"/>
    </font>
    <font>
      <b/>
      <sz val="10"/>
      <color rgb="FFFF0000"/>
      <name val="Arial"/>
      <family val="2"/>
    </font>
    <font>
      <sz val="10"/>
      <color indexed="18"/>
      <name val="Verdana"/>
      <family val="2"/>
    </font>
    <font>
      <sz val="10"/>
      <color theme="0"/>
      <name val="Verdana"/>
      <family val="2"/>
    </font>
    <font>
      <sz val="10"/>
      <color rgb="FFCBE4EB"/>
      <name val="Verdana"/>
      <family val="2"/>
    </font>
    <font>
      <b/>
      <sz val="11"/>
      <color theme="0"/>
      <name val="Verdana"/>
      <family val="2"/>
    </font>
    <font>
      <b/>
      <sz val="11"/>
      <name val="Verdana"/>
      <family val="2"/>
    </font>
    <font>
      <sz val="12"/>
      <name val="Verdana"/>
      <family val="2"/>
    </font>
    <font>
      <sz val="8"/>
      <name val="Arial"/>
      <family val="2"/>
      <scheme val="major"/>
    </font>
    <font>
      <sz val="20"/>
      <name val="Verdana"/>
      <family val="2"/>
    </font>
    <font>
      <b/>
      <sz val="10"/>
      <color rgb="FF246384"/>
      <name val="Verdana"/>
      <family val="2"/>
    </font>
    <font>
      <sz val="10"/>
      <color theme="1"/>
      <name val="Verdana"/>
      <family val="2"/>
    </font>
    <font>
      <i/>
      <sz val="10"/>
      <color theme="1"/>
      <name val="Verdana"/>
      <family val="2"/>
    </font>
    <font>
      <b/>
      <sz val="10"/>
      <color theme="1"/>
      <name val="Verdana"/>
      <family val="2"/>
    </font>
    <font>
      <i/>
      <u/>
      <sz val="10"/>
      <color theme="1"/>
      <name val="Verdana"/>
      <family val="2"/>
    </font>
    <font>
      <sz val="11"/>
      <color theme="1"/>
      <name val="Verdana"/>
      <family val="2"/>
    </font>
    <font>
      <u/>
      <sz val="11"/>
      <color theme="10"/>
      <name val="Arial"/>
      <family val="2"/>
      <scheme val="minor"/>
    </font>
    <font>
      <b/>
      <sz val="11"/>
      <color theme="1"/>
      <name val="Verdana"/>
      <family val="2"/>
    </font>
    <font>
      <b/>
      <sz val="10"/>
      <color rgb="FF000000"/>
      <name val="Verdana"/>
      <family val="2"/>
    </font>
    <font>
      <b/>
      <sz val="8"/>
      <color theme="0"/>
      <name val="Arial"/>
      <family val="2"/>
    </font>
    <font>
      <sz val="8"/>
      <color rgb="FFFF0000"/>
      <name val="Arial"/>
      <family val="2"/>
    </font>
    <font>
      <sz val="10"/>
      <color rgb="FFFF0000"/>
      <name val="Arial"/>
      <family val="2"/>
    </font>
    <font>
      <u/>
      <sz val="11"/>
      <color theme="10"/>
      <name val="Verdana"/>
      <family val="2"/>
    </font>
    <font>
      <i/>
      <sz val="11"/>
      <color theme="1"/>
      <name val="Verdana"/>
      <family val="2"/>
    </font>
    <font>
      <sz val="10"/>
      <color rgb="FFFF0000"/>
      <name val="Verdana"/>
      <family val="2"/>
    </font>
    <font>
      <b/>
      <sz val="11"/>
      <color rgb="FFFF0000"/>
      <name val="Verdana"/>
      <family val="2"/>
    </font>
    <font>
      <sz val="11"/>
      <color rgb="FFFF0000"/>
      <name val="Verdana"/>
      <family val="2"/>
    </font>
    <font>
      <sz val="8"/>
      <color rgb="FFFF0000"/>
      <name val="Verdana"/>
      <family val="2"/>
    </font>
    <font>
      <b/>
      <sz val="10"/>
      <color rgb="FFFF0000"/>
      <name val="Verdana"/>
      <family val="2"/>
    </font>
    <font>
      <sz val="12"/>
      <color rgb="FFFF0000"/>
      <name val="Verdana"/>
      <family val="2"/>
    </font>
    <font>
      <i/>
      <sz val="10"/>
      <color rgb="FFFF0000"/>
      <name val="Verdana"/>
      <family val="2"/>
    </font>
    <font>
      <b/>
      <sz val="8"/>
      <color rgb="FFFF0000"/>
      <name val="Verdana"/>
      <family val="2"/>
    </font>
    <font>
      <sz val="16"/>
      <color rgb="FFFF0000"/>
      <name val="Verdana"/>
      <family val="2"/>
    </font>
    <font>
      <b/>
      <sz val="12"/>
      <color rgb="FFFF0000"/>
      <name val="Arial"/>
      <family val="2"/>
    </font>
    <font>
      <b/>
      <sz val="14"/>
      <color rgb="FFFF0000"/>
      <name val="Arial"/>
      <family val="2"/>
    </font>
    <font>
      <b/>
      <sz val="11"/>
      <color rgb="FFFF0000"/>
      <name val="Arial"/>
      <family val="2"/>
    </font>
    <font>
      <b/>
      <sz val="12"/>
      <color rgb="FFFF0000"/>
      <name val="Arial Black"/>
      <family val="2"/>
    </font>
    <font>
      <b/>
      <i/>
      <sz val="12"/>
      <color rgb="FFFF0000"/>
      <name val="Arial Black"/>
      <family val="2"/>
    </font>
    <font>
      <i/>
      <sz val="10"/>
      <color rgb="FFFF0000"/>
      <name val="Arial"/>
      <family val="2"/>
    </font>
    <font>
      <b/>
      <sz val="8"/>
      <color rgb="FFFF0000"/>
      <name val="Arial"/>
      <family val="2"/>
    </font>
    <font>
      <sz val="11"/>
      <color rgb="FF000000"/>
      <name val="Verdana"/>
      <family val="2"/>
    </font>
    <font>
      <sz val="9"/>
      <color indexed="81"/>
      <name val="Tahoma"/>
      <family val="2"/>
    </font>
    <font>
      <b/>
      <sz val="9"/>
      <color indexed="81"/>
      <name val="Tahoma"/>
      <family val="2"/>
    </font>
  </fonts>
  <fills count="4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7"/>
        <bgColor indexed="64"/>
      </patternFill>
    </fill>
    <fill>
      <patternFill patternType="solid">
        <fgColor indexed="26"/>
        <bgColor indexed="64"/>
      </patternFill>
    </fill>
    <fill>
      <patternFill patternType="solid">
        <fgColor indexed="31"/>
        <bgColor indexed="64"/>
      </patternFill>
    </fill>
    <fill>
      <patternFill patternType="solid">
        <fgColor indexed="33"/>
        <bgColor indexed="64"/>
      </patternFill>
    </fill>
    <fill>
      <patternFill patternType="solid">
        <fgColor indexed="9"/>
        <bgColor indexed="64"/>
      </patternFill>
    </fill>
    <fill>
      <patternFill patternType="solid">
        <fgColor indexed="11"/>
        <bgColor indexed="64"/>
      </patternFill>
    </fill>
    <fill>
      <patternFill patternType="solid">
        <fgColor indexed="12"/>
        <bgColor indexed="64"/>
      </patternFill>
    </fill>
    <fill>
      <patternFill patternType="solid">
        <fgColor indexed="48"/>
        <bgColor indexed="64"/>
      </patternFill>
    </fill>
    <fill>
      <patternFill patternType="solid">
        <fgColor indexed="8"/>
        <bgColor indexed="64"/>
      </patternFill>
    </fill>
    <fill>
      <patternFill patternType="solid">
        <fgColor indexed="10"/>
        <bgColor indexed="64"/>
      </patternFill>
    </fill>
    <fill>
      <patternFill patternType="solid">
        <fgColor indexed="44"/>
        <bgColor indexed="64"/>
      </patternFill>
    </fill>
    <fill>
      <patternFill patternType="solid">
        <fgColor indexed="40"/>
        <bgColor indexed="64"/>
      </patternFill>
    </fill>
    <fill>
      <patternFill patternType="solid">
        <fgColor indexed="18"/>
        <bgColor indexed="64"/>
      </patternFill>
    </fill>
    <fill>
      <patternFill patternType="solid">
        <fgColor indexed="56"/>
        <bgColor indexed="64"/>
      </patternFill>
    </fill>
    <fill>
      <patternFill patternType="solid">
        <fgColor indexed="41"/>
        <bgColor indexed="64"/>
      </patternFill>
    </fill>
    <fill>
      <patternFill patternType="solid">
        <fgColor indexed="55"/>
        <bgColor indexed="64"/>
      </patternFill>
    </fill>
    <fill>
      <patternFill patternType="solid">
        <fgColor indexed="13"/>
        <bgColor indexed="64"/>
      </patternFill>
    </fill>
    <fill>
      <patternFill patternType="solid">
        <fgColor indexed="47"/>
        <bgColor indexed="64"/>
      </patternFill>
    </fill>
    <fill>
      <patternFill patternType="solid">
        <fgColor indexed="62"/>
        <bgColor indexed="64"/>
      </patternFill>
    </fill>
    <fill>
      <patternFill patternType="solid">
        <fgColor indexed="17"/>
        <bgColor indexed="64"/>
      </patternFill>
    </fill>
    <fill>
      <patternFill patternType="solid">
        <fgColor indexed="23"/>
        <bgColor indexed="64"/>
      </patternFill>
    </fill>
    <fill>
      <patternFill patternType="solid">
        <fgColor indexed="53"/>
        <bgColor indexed="64"/>
      </patternFill>
    </fill>
    <fill>
      <patternFill patternType="solid">
        <fgColor indexed="51"/>
        <bgColor indexed="64"/>
      </patternFill>
    </fill>
    <fill>
      <patternFill patternType="solid">
        <fgColor indexed="29"/>
        <bgColor indexed="64"/>
      </patternFill>
    </fill>
    <fill>
      <patternFill patternType="solid">
        <fgColor rgb="FFB22919"/>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246384"/>
        <bgColor indexed="64"/>
      </patternFill>
    </fill>
    <fill>
      <patternFill patternType="solid">
        <fgColor theme="0"/>
        <bgColor indexed="64"/>
      </patternFill>
    </fill>
    <fill>
      <patternFill patternType="solid">
        <fgColor rgb="FF65B0CD"/>
        <bgColor indexed="64"/>
      </patternFill>
    </fill>
    <fill>
      <patternFill patternType="solid">
        <fgColor rgb="FFFFFFC9"/>
        <bgColor indexed="64"/>
      </patternFill>
    </fill>
    <fill>
      <patternFill patternType="solid">
        <fgColor rgb="FFCBE4EB"/>
        <bgColor indexed="64"/>
      </patternFill>
    </fill>
    <fill>
      <patternFill patternType="solid">
        <fgColor rgb="FFFFC000"/>
        <bgColor indexed="64"/>
      </patternFill>
    </fill>
    <fill>
      <patternFill patternType="solid">
        <fgColor rgb="FFF2F2F2"/>
        <bgColor indexed="64"/>
      </patternFill>
    </fill>
    <fill>
      <patternFill patternType="solid">
        <fgColor theme="1"/>
        <bgColor indexed="64"/>
      </patternFill>
    </fill>
    <fill>
      <patternFill patternType="solid">
        <fgColor theme="0" tint="-0.34998626667073579"/>
        <bgColor indexed="64"/>
      </patternFill>
    </fill>
    <fill>
      <patternFill patternType="solid">
        <fgColor rgb="FFB7D9E7"/>
        <bgColor indexed="64"/>
      </patternFill>
    </fill>
    <fill>
      <patternFill patternType="solid">
        <fgColor theme="0" tint="-0.14999847407452621"/>
        <bgColor indexed="64"/>
      </patternFill>
    </fill>
    <fill>
      <patternFill patternType="solid">
        <fgColor rgb="FF7030A0"/>
        <bgColor indexed="64"/>
      </patternFill>
    </fill>
    <fill>
      <patternFill patternType="solid">
        <fgColor theme="0" tint="-0.499984740745262"/>
        <bgColor indexed="64"/>
      </patternFill>
    </fill>
    <fill>
      <patternFill patternType="solid">
        <fgColor rgb="FF0070C0"/>
        <bgColor indexed="64"/>
      </patternFill>
    </fill>
    <fill>
      <patternFill patternType="solid">
        <fgColor rgb="FF00B0F0"/>
        <bgColor indexed="64"/>
      </patternFill>
    </fill>
    <fill>
      <patternFill patternType="solid">
        <fgColor rgb="FF00B050"/>
        <bgColor indexed="64"/>
      </patternFill>
    </fill>
  </fills>
  <borders count="126">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55"/>
      </right>
      <top style="medium">
        <color indexed="64"/>
      </top>
      <bottom style="medium">
        <color indexed="55"/>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medium">
        <color indexed="64"/>
      </bottom>
      <diagonal/>
    </border>
    <border>
      <left style="medium">
        <color indexed="64"/>
      </left>
      <right/>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22"/>
      </left>
      <right style="medium">
        <color indexed="64"/>
      </right>
      <top style="medium">
        <color indexed="22"/>
      </top>
      <bottom style="medium">
        <color indexed="64"/>
      </bottom>
      <diagonal/>
    </border>
    <border>
      <left style="double">
        <color indexed="64"/>
      </left>
      <right style="double">
        <color indexed="64"/>
      </right>
      <top style="double">
        <color indexed="64"/>
      </top>
      <bottom style="double">
        <color indexed="64"/>
      </bottom>
      <diagonal/>
    </border>
    <border>
      <left style="medium">
        <color indexed="8"/>
      </left>
      <right style="medium">
        <color indexed="8"/>
      </right>
      <top style="medium">
        <color indexed="8"/>
      </top>
      <bottom style="medium">
        <color indexed="8"/>
      </bottom>
      <diagonal/>
    </border>
    <border>
      <left style="medium">
        <color indexed="64"/>
      </left>
      <right/>
      <top style="medium">
        <color indexed="64"/>
      </top>
      <bottom style="medium">
        <color indexed="9"/>
      </bottom>
      <diagonal/>
    </border>
    <border>
      <left/>
      <right/>
      <top style="medium">
        <color indexed="64"/>
      </top>
      <bottom style="medium">
        <color indexed="9"/>
      </bottom>
      <diagonal/>
    </border>
    <border>
      <left/>
      <right style="medium">
        <color indexed="9"/>
      </right>
      <top style="medium">
        <color indexed="64"/>
      </top>
      <bottom style="medium">
        <color indexed="9"/>
      </bottom>
      <diagonal/>
    </border>
    <border>
      <left style="medium">
        <color indexed="64"/>
      </left>
      <right style="medium">
        <color indexed="9"/>
      </right>
      <top style="medium">
        <color indexed="64"/>
      </top>
      <bottom style="medium">
        <color indexed="9"/>
      </bottom>
      <diagonal/>
    </border>
    <border>
      <left/>
      <right style="medium">
        <color indexed="9"/>
      </right>
      <top style="medium">
        <color indexed="64"/>
      </top>
      <bottom/>
      <diagonal/>
    </border>
    <border>
      <left/>
      <right style="medium">
        <color indexed="9"/>
      </right>
      <top/>
      <bottom/>
      <diagonal/>
    </border>
    <border>
      <left style="medium">
        <color indexed="64"/>
      </left>
      <right/>
      <top/>
      <bottom style="medium">
        <color indexed="9"/>
      </bottom>
      <diagonal/>
    </border>
    <border>
      <left/>
      <right/>
      <top/>
      <bottom style="medium">
        <color indexed="9"/>
      </bottom>
      <diagonal/>
    </border>
    <border>
      <left/>
      <right style="medium">
        <color indexed="9"/>
      </right>
      <top/>
      <bottom style="medium">
        <color indexed="9"/>
      </bottom>
      <diagonal/>
    </border>
    <border>
      <left style="medium">
        <color indexed="8"/>
      </left>
      <right/>
      <top/>
      <bottom/>
      <diagonal/>
    </border>
    <border>
      <left/>
      <right style="medium">
        <color indexed="8"/>
      </right>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top style="medium">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right style="medium">
        <color indexed="8"/>
      </right>
      <top style="medium">
        <color indexed="8"/>
      </top>
      <bottom style="medium">
        <color indexed="8"/>
      </bottom>
      <diagonal/>
    </border>
    <border>
      <left style="thin">
        <color indexed="64"/>
      </left>
      <right/>
      <top/>
      <bottom style="thick">
        <color indexed="64"/>
      </bottom>
      <diagonal/>
    </border>
    <border>
      <left/>
      <right/>
      <top/>
      <bottom style="thick">
        <color indexed="64"/>
      </bottom>
      <diagonal/>
    </border>
    <border>
      <left style="thin">
        <color indexed="64"/>
      </left>
      <right/>
      <top/>
      <bottom style="thin">
        <color indexed="9"/>
      </bottom>
      <diagonal/>
    </border>
    <border>
      <left/>
      <right style="thin">
        <color indexed="9"/>
      </right>
      <top style="thin">
        <color indexed="64"/>
      </top>
      <bottom/>
      <diagonal/>
    </border>
    <border>
      <left/>
      <right style="thin">
        <color indexed="9"/>
      </right>
      <top/>
      <bottom/>
      <diagonal/>
    </border>
    <border>
      <left/>
      <right/>
      <top/>
      <bottom style="thin">
        <color indexed="9"/>
      </bottom>
      <diagonal/>
    </border>
    <border>
      <left/>
      <right style="thin">
        <color indexed="9"/>
      </right>
      <top/>
      <bottom style="thin">
        <color indexed="9"/>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top style="medium">
        <color indexed="9"/>
      </top>
      <bottom style="medium">
        <color indexed="64"/>
      </bottom>
      <diagonal/>
    </border>
    <border>
      <left/>
      <right style="medium">
        <color theme="0"/>
      </right>
      <top/>
      <bottom/>
      <diagonal/>
    </border>
    <border>
      <left/>
      <right/>
      <top/>
      <bottom style="medium">
        <color theme="0"/>
      </bottom>
      <diagonal/>
    </border>
    <border>
      <left/>
      <right style="medium">
        <color theme="0"/>
      </right>
      <top/>
      <bottom style="medium">
        <color theme="0"/>
      </bottom>
      <diagonal/>
    </border>
    <border>
      <left style="medium">
        <color auto="1"/>
      </left>
      <right/>
      <top style="medium">
        <color auto="1"/>
      </top>
      <bottom/>
      <diagonal/>
    </border>
    <border>
      <left/>
      <right/>
      <top style="medium">
        <color auto="1"/>
      </top>
      <bottom/>
      <diagonal/>
    </border>
    <border>
      <left/>
      <right style="medium">
        <color theme="0"/>
      </right>
      <top style="medium">
        <color auto="1"/>
      </top>
      <bottom/>
      <diagonal/>
    </border>
    <border>
      <left style="medium">
        <color auto="1"/>
      </left>
      <right/>
      <top/>
      <bottom/>
      <diagonal/>
    </border>
    <border>
      <left style="medium">
        <color auto="1"/>
      </left>
      <right/>
      <top/>
      <bottom style="medium">
        <color theme="0"/>
      </bottom>
      <diagonal/>
    </border>
    <border>
      <left/>
      <right/>
      <top/>
      <bottom style="medium">
        <color auto="1"/>
      </bottom>
      <diagonal/>
    </border>
    <border>
      <left/>
      <right/>
      <top style="thin">
        <color auto="1"/>
      </top>
      <bottom/>
      <diagonal/>
    </border>
    <border>
      <left style="thin">
        <color rgb="FF246384"/>
      </left>
      <right style="thin">
        <color rgb="FF246384"/>
      </right>
      <top style="thin">
        <color rgb="FF246384"/>
      </top>
      <bottom style="thin">
        <color rgb="FF246384"/>
      </bottom>
      <diagonal/>
    </border>
    <border>
      <left style="dotted">
        <color rgb="FF246384"/>
      </left>
      <right/>
      <top style="dotted">
        <color rgb="FF246384"/>
      </top>
      <bottom/>
      <diagonal/>
    </border>
    <border>
      <left/>
      <right/>
      <top style="dotted">
        <color rgb="FF246384"/>
      </top>
      <bottom/>
      <diagonal/>
    </border>
    <border>
      <left/>
      <right style="dotted">
        <color rgb="FF246384"/>
      </right>
      <top style="dotted">
        <color rgb="FF246384"/>
      </top>
      <bottom/>
      <diagonal/>
    </border>
    <border>
      <left style="dotted">
        <color rgb="FF246384"/>
      </left>
      <right/>
      <top/>
      <bottom/>
      <diagonal/>
    </border>
    <border>
      <left/>
      <right style="dotted">
        <color rgb="FF246384"/>
      </right>
      <top/>
      <bottom/>
      <diagonal/>
    </border>
    <border>
      <left style="dotted">
        <color rgb="FF246384"/>
      </left>
      <right/>
      <top/>
      <bottom style="dotted">
        <color rgb="FF246384"/>
      </bottom>
      <diagonal/>
    </border>
    <border>
      <left/>
      <right/>
      <top/>
      <bottom style="dotted">
        <color rgb="FF246384"/>
      </bottom>
      <diagonal/>
    </border>
    <border>
      <left/>
      <right style="dotted">
        <color rgb="FF246384"/>
      </right>
      <top/>
      <bottom style="dotted">
        <color rgb="FF246384"/>
      </bottom>
      <diagonal/>
    </border>
    <border>
      <left style="medium">
        <color rgb="FF246384"/>
      </left>
      <right/>
      <top style="medium">
        <color rgb="FF246384"/>
      </top>
      <bottom/>
      <diagonal/>
    </border>
    <border>
      <left/>
      <right/>
      <top style="medium">
        <color rgb="FF246384"/>
      </top>
      <bottom/>
      <diagonal/>
    </border>
    <border>
      <left/>
      <right style="medium">
        <color rgb="FF246384"/>
      </right>
      <top style="medium">
        <color rgb="FF246384"/>
      </top>
      <bottom/>
      <diagonal/>
    </border>
    <border>
      <left style="medium">
        <color rgb="FF246384"/>
      </left>
      <right/>
      <top/>
      <bottom/>
      <diagonal/>
    </border>
    <border>
      <left/>
      <right style="medium">
        <color rgb="FF246384"/>
      </right>
      <top/>
      <bottom/>
      <diagonal/>
    </border>
    <border>
      <left style="medium">
        <color rgb="FF246384"/>
      </left>
      <right/>
      <top/>
      <bottom style="medium">
        <color rgb="FF246384"/>
      </bottom>
      <diagonal/>
    </border>
    <border>
      <left/>
      <right/>
      <top/>
      <bottom style="medium">
        <color rgb="FF246384"/>
      </bottom>
      <diagonal/>
    </border>
    <border>
      <left/>
      <right style="medium">
        <color rgb="FF246384"/>
      </right>
      <top/>
      <bottom style="medium">
        <color rgb="FF246384"/>
      </bottom>
      <diagonal/>
    </border>
    <border>
      <left/>
      <right/>
      <top/>
      <bottom style="thin">
        <color rgb="FF246384"/>
      </bottom>
      <diagonal/>
    </border>
    <border>
      <left/>
      <right/>
      <top style="thin">
        <color rgb="FF246384"/>
      </top>
      <bottom style="thin">
        <color rgb="FF246384"/>
      </bottom>
      <diagonal/>
    </border>
    <border>
      <left style="medium">
        <color rgb="FF246384"/>
      </left>
      <right style="medium">
        <color rgb="FF246384"/>
      </right>
      <top style="medium">
        <color rgb="FF246384"/>
      </top>
      <bottom/>
      <diagonal/>
    </border>
    <border>
      <left style="thin">
        <color rgb="FF246384"/>
      </left>
      <right/>
      <top style="thin">
        <color rgb="FF246384"/>
      </top>
      <bottom/>
      <diagonal/>
    </border>
    <border>
      <left/>
      <right/>
      <top style="thin">
        <color rgb="FF246384"/>
      </top>
      <bottom/>
      <diagonal/>
    </border>
    <border>
      <left/>
      <right style="thin">
        <color rgb="FF246384"/>
      </right>
      <top style="thin">
        <color rgb="FF246384"/>
      </top>
      <bottom/>
      <diagonal/>
    </border>
    <border>
      <left style="thin">
        <color rgb="FF246384"/>
      </left>
      <right/>
      <top/>
      <bottom/>
      <diagonal/>
    </border>
    <border>
      <left/>
      <right style="thin">
        <color rgb="FF246384"/>
      </right>
      <top/>
      <bottom/>
      <diagonal/>
    </border>
    <border>
      <left style="thin">
        <color rgb="FF246384"/>
      </left>
      <right/>
      <top style="thin">
        <color indexed="64"/>
      </top>
      <bottom style="thin">
        <color indexed="64"/>
      </bottom>
      <diagonal/>
    </border>
    <border>
      <left/>
      <right style="thin">
        <color rgb="FF246384"/>
      </right>
      <top style="thin">
        <color indexed="64"/>
      </top>
      <bottom style="thin">
        <color indexed="64"/>
      </bottom>
      <diagonal/>
    </border>
    <border>
      <left style="thin">
        <color rgb="FF246384"/>
      </left>
      <right/>
      <top/>
      <bottom style="thin">
        <color indexed="64"/>
      </bottom>
      <diagonal/>
    </border>
    <border>
      <left/>
      <right style="thin">
        <color rgb="FF246384"/>
      </right>
      <top/>
      <bottom style="thin">
        <color indexed="64"/>
      </bottom>
      <diagonal/>
    </border>
    <border>
      <left style="thin">
        <color rgb="FF246384"/>
      </left>
      <right/>
      <top style="thin">
        <color indexed="64"/>
      </top>
      <bottom style="thin">
        <color rgb="FF246384"/>
      </bottom>
      <diagonal/>
    </border>
    <border>
      <left/>
      <right/>
      <top style="thin">
        <color indexed="64"/>
      </top>
      <bottom style="thin">
        <color rgb="FF246384"/>
      </bottom>
      <diagonal/>
    </border>
    <border>
      <left/>
      <right style="thin">
        <color rgb="FF246384"/>
      </right>
      <top style="thin">
        <color indexed="64"/>
      </top>
      <bottom style="thin">
        <color rgb="FF246384"/>
      </bottom>
      <diagonal/>
    </border>
    <border>
      <left style="thin">
        <color rgb="FF246384"/>
      </left>
      <right style="thin">
        <color rgb="FF246384"/>
      </right>
      <top style="thin">
        <color rgb="FF246384"/>
      </top>
      <bottom/>
      <diagonal/>
    </border>
    <border>
      <left style="thin">
        <color rgb="FF246384"/>
      </left>
      <right style="thin">
        <color rgb="FF246384"/>
      </right>
      <top/>
      <bottom/>
      <diagonal/>
    </border>
    <border>
      <left style="thin">
        <color rgb="FF246384"/>
      </left>
      <right style="thin">
        <color rgb="FF246384"/>
      </right>
      <top style="thin">
        <color indexed="64"/>
      </top>
      <bottom style="thin">
        <color indexed="64"/>
      </bottom>
      <diagonal/>
    </border>
    <border>
      <left style="thin">
        <color rgb="FF246384"/>
      </left>
      <right style="thin">
        <color rgb="FF246384"/>
      </right>
      <top style="thin">
        <color indexed="64"/>
      </top>
      <bottom style="thin">
        <color rgb="FF246384"/>
      </bottom>
      <diagonal/>
    </border>
    <border>
      <left style="thin">
        <color rgb="FF246384"/>
      </left>
      <right/>
      <top/>
      <bottom style="thin">
        <color rgb="FF246384"/>
      </bottom>
      <diagonal/>
    </border>
    <border>
      <left/>
      <right style="thin">
        <color rgb="FF246384"/>
      </right>
      <top/>
      <bottom style="thin">
        <color rgb="FF24638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s>
  <cellStyleXfs count="31">
    <xf numFmtId="0" fontId="0" fillId="0" borderId="0"/>
    <xf numFmtId="0" fontId="5" fillId="2" borderId="0" applyFont="0" applyFill="0" applyBorder="0" applyAlignment="0" applyProtection="0"/>
    <xf numFmtId="43" fontId="3" fillId="0" borderId="0" applyFont="0" applyFill="0" applyBorder="0" applyAlignment="0" applyProtection="0"/>
    <xf numFmtId="41" fontId="3" fillId="0" borderId="0" applyFont="0" applyFill="0" applyBorder="0" applyAlignment="0" applyProtection="0"/>
    <xf numFmtId="164" fontId="4" fillId="3" borderId="1" applyFont="0" applyFill="0" applyBorder="0" applyAlignment="0" applyProtection="0">
      <alignment horizontal="center"/>
      <protection locked="0"/>
    </xf>
    <xf numFmtId="165" fontId="6" fillId="0" borderId="0" applyFont="0" applyFill="0" applyBorder="0" applyAlignment="0" applyProtection="0"/>
    <xf numFmtId="166" fontId="3" fillId="0" borderId="0" applyFont="0" applyFill="0" applyBorder="0" applyAlignment="0" applyProtection="0"/>
    <xf numFmtId="39" fontId="13" fillId="4" borderId="2" applyFont="0" applyFill="0" applyBorder="0" applyAlignment="0" applyProtection="0">
      <alignment horizontal="centerContinuous" vertical="center"/>
    </xf>
    <xf numFmtId="0" fontId="33" fillId="2" borderId="0" applyFont="0" applyFill="0" applyBorder="0" applyAlignment="0" applyProtection="0"/>
    <xf numFmtId="0" fontId="34" fillId="0" borderId="0"/>
    <xf numFmtId="0" fontId="34" fillId="0" borderId="0"/>
    <xf numFmtId="0" fontId="34" fillId="0" borderId="0"/>
    <xf numFmtId="0" fontId="34" fillId="0" borderId="0"/>
    <xf numFmtId="44" fontId="3" fillId="0" borderId="0" applyFont="0" applyFill="0" applyBorder="0" applyAlignment="0" applyProtection="0"/>
    <xf numFmtId="0" fontId="33" fillId="0" borderId="0" applyFill="0" applyBorder="0" applyAlignment="0" applyProtection="0"/>
    <xf numFmtId="3" fontId="35" fillId="5" borderId="3">
      <alignment horizontal="center" vertical="center"/>
      <protection locked="0"/>
    </xf>
    <xf numFmtId="0" fontId="3" fillId="6" borderId="0" applyFont="0" applyBorder="0" applyAlignment="0" applyProtection="0"/>
    <xf numFmtId="0" fontId="3" fillId="7" borderId="0" applyFont="0" applyBorder="0" applyAlignment="0" applyProtection="0"/>
    <xf numFmtId="12" fontId="36" fillId="0" borderId="4" applyFont="0" applyFill="0" applyBorder="0" applyAlignment="0" applyProtection="0"/>
    <xf numFmtId="0" fontId="34" fillId="0" borderId="0"/>
    <xf numFmtId="9" fontId="3" fillId="0" borderId="0" applyFont="0" applyFill="0" applyBorder="0" applyAlignment="0" applyProtection="0"/>
    <xf numFmtId="169" fontId="34" fillId="0" borderId="0" applyFont="0" applyFill="0" applyBorder="0" applyAlignment="0" applyProtection="0">
      <protection locked="0"/>
    </xf>
    <xf numFmtId="10" fontId="34" fillId="0" borderId="0" applyFont="0" applyFill="0" applyBorder="0" applyAlignment="0" applyProtection="0">
      <protection locked="0"/>
    </xf>
    <xf numFmtId="10" fontId="3" fillId="0" borderId="5" applyFont="0" applyFill="0" applyBorder="0" applyAlignment="0" applyProtection="0"/>
    <xf numFmtId="0" fontId="2" fillId="0" borderId="0"/>
    <xf numFmtId="0" fontId="2" fillId="0" borderId="0"/>
    <xf numFmtId="0" fontId="109" fillId="0" borderId="0" applyNumberFormat="0" applyFill="0" applyBorder="0" applyAlignment="0" applyProtection="0"/>
    <xf numFmtId="9" fontId="3" fillId="0" borderId="0" applyFont="0" applyFill="0" applyBorder="0" applyAlignment="0" applyProtection="0"/>
    <xf numFmtId="0" fontId="3" fillId="0" borderId="0"/>
    <xf numFmtId="0" fontId="1" fillId="0" borderId="0"/>
    <xf numFmtId="0" fontId="108" fillId="0" borderId="0"/>
  </cellStyleXfs>
  <cellXfs count="1555">
    <xf numFmtId="0" fontId="0" fillId="0" borderId="0" xfId="0"/>
    <xf numFmtId="0" fontId="0" fillId="9" borderId="0" xfId="0" applyFill="1"/>
    <xf numFmtId="0" fontId="4" fillId="0" borderId="0" xfId="0" applyFont="1"/>
    <xf numFmtId="0" fontId="5" fillId="0" borderId="0" xfId="0" applyFont="1"/>
    <xf numFmtId="0" fontId="0" fillId="0" borderId="0" xfId="0" applyAlignment="1">
      <alignment horizontal="right"/>
    </xf>
    <xf numFmtId="0" fontId="0" fillId="0" borderId="6" xfId="0" applyBorder="1"/>
    <xf numFmtId="0" fontId="0" fillId="0" borderId="2" xfId="0" applyBorder="1"/>
    <xf numFmtId="0" fontId="0" fillId="0" borderId="7" xfId="0" applyBorder="1"/>
    <xf numFmtId="0" fontId="0" fillId="0" borderId="8" xfId="0" applyBorder="1"/>
    <xf numFmtId="0" fontId="0" fillId="0" borderId="6" xfId="0" applyBorder="1" applyAlignment="1">
      <alignment horizontal="center"/>
    </xf>
    <xf numFmtId="43" fontId="0" fillId="0" borderId="0" xfId="2" applyFont="1"/>
    <xf numFmtId="41" fontId="0" fillId="0" borderId="0" xfId="3" applyFont="1"/>
    <xf numFmtId="9" fontId="0" fillId="0" borderId="0" xfId="0" applyNumberFormat="1"/>
    <xf numFmtId="41" fontId="4" fillId="0" borderId="0" xfId="3" applyFont="1"/>
    <xf numFmtId="41" fontId="0" fillId="0" borderId="0" xfId="0" applyNumberFormat="1"/>
    <xf numFmtId="9" fontId="0" fillId="0" borderId="0" xfId="20" applyFont="1"/>
    <xf numFmtId="3" fontId="0" fillId="0" borderId="0" xfId="0" applyNumberFormat="1"/>
    <xf numFmtId="43" fontId="4" fillId="0" borderId="0" xfId="2" applyFont="1"/>
    <xf numFmtId="0" fontId="0" fillId="0" borderId="0" xfId="0" applyBorder="1"/>
    <xf numFmtId="0" fontId="6" fillId="0" borderId="0" xfId="0" applyFont="1"/>
    <xf numFmtId="0" fontId="7" fillId="0" borderId="0" xfId="0" applyFont="1"/>
    <xf numFmtId="41" fontId="5" fillId="0" borderId="0" xfId="3" applyFont="1"/>
    <xf numFmtId="0" fontId="8" fillId="10" borderId="0" xfId="0" applyFont="1" applyFill="1"/>
    <xf numFmtId="0" fontId="9" fillId="10" borderId="0" xfId="0" applyFont="1" applyFill="1"/>
    <xf numFmtId="0" fontId="10" fillId="0" borderId="0" xfId="0" applyFont="1"/>
    <xf numFmtId="0" fontId="0" fillId="11" borderId="0" xfId="0" applyFill="1"/>
    <xf numFmtId="0" fontId="0" fillId="0" borderId="0" xfId="0" applyFill="1"/>
    <xf numFmtId="0" fontId="5" fillId="0" borderId="0" xfId="0" applyFont="1" applyBorder="1"/>
    <xf numFmtId="43" fontId="5" fillId="0" borderId="0" xfId="2" applyFont="1" applyBorder="1"/>
    <xf numFmtId="43" fontId="5" fillId="0" borderId="14" xfId="2" applyFont="1" applyBorder="1"/>
    <xf numFmtId="0" fontId="4" fillId="0" borderId="15" xfId="0" quotePrefix="1" applyFont="1" applyBorder="1" applyAlignment="1">
      <alignment horizontal="left"/>
    </xf>
    <xf numFmtId="0" fontId="5" fillId="0" borderId="16" xfId="0" applyFont="1" applyBorder="1"/>
    <xf numFmtId="0" fontId="5" fillId="0" borderId="17" xfId="0" applyFont="1" applyBorder="1"/>
    <xf numFmtId="0" fontId="5" fillId="0" borderId="18" xfId="0" applyFont="1" applyBorder="1"/>
    <xf numFmtId="0" fontId="4" fillId="0" borderId="9" xfId="0" applyFont="1" applyBorder="1"/>
    <xf numFmtId="0" fontId="5" fillId="0" borderId="20" xfId="0" applyFont="1" applyBorder="1"/>
    <xf numFmtId="0" fontId="4" fillId="0" borderId="0" xfId="0" applyFont="1" applyBorder="1"/>
    <xf numFmtId="0" fontId="4" fillId="0" borderId="14" xfId="0" applyFont="1" applyBorder="1"/>
    <xf numFmtId="0" fontId="5" fillId="0" borderId="14" xfId="0" applyFont="1" applyBorder="1"/>
    <xf numFmtId="9" fontId="4" fillId="0" borderId="14" xfId="20" applyFont="1" applyBorder="1"/>
    <xf numFmtId="0" fontId="4" fillId="0" borderId="17" xfId="0" applyFont="1" applyBorder="1"/>
    <xf numFmtId="0" fontId="5" fillId="0" borderId="9" xfId="0" applyFont="1" applyBorder="1"/>
    <xf numFmtId="3" fontId="0" fillId="0" borderId="25" xfId="0" applyNumberFormat="1" applyBorder="1"/>
    <xf numFmtId="0" fontId="4" fillId="0" borderId="0" xfId="0" applyFont="1" applyAlignment="1">
      <alignment horizontal="right"/>
    </xf>
    <xf numFmtId="0" fontId="0" fillId="12" borderId="0" xfId="0" applyFill="1"/>
    <xf numFmtId="43" fontId="0" fillId="12" borderId="0" xfId="2" applyFont="1" applyFill="1"/>
    <xf numFmtId="0" fontId="4" fillId="12" borderId="0" xfId="0" applyFont="1" applyFill="1"/>
    <xf numFmtId="43" fontId="4" fillId="12" borderId="0" xfId="2" applyFont="1" applyFill="1"/>
    <xf numFmtId="41" fontId="0" fillId="12" borderId="0" xfId="3" applyFont="1" applyFill="1"/>
    <xf numFmtId="41" fontId="4" fillId="12" borderId="0" xfId="3" applyFont="1" applyFill="1"/>
    <xf numFmtId="41" fontId="5" fillId="12" borderId="0" xfId="3" applyFont="1" applyFill="1"/>
    <xf numFmtId="9" fontId="5" fillId="0" borderId="0" xfId="20" applyFont="1"/>
    <xf numFmtId="0" fontId="0" fillId="0" borderId="18" xfId="0" applyBorder="1"/>
    <xf numFmtId="0" fontId="0" fillId="0" borderId="21" xfId="0" applyBorder="1"/>
    <xf numFmtId="0" fontId="0" fillId="0" borderId="12" xfId="0" applyBorder="1"/>
    <xf numFmtId="9" fontId="0" fillId="0" borderId="0" xfId="20" applyFont="1" applyBorder="1"/>
    <xf numFmtId="0" fontId="0" fillId="0" borderId="15" xfId="0" applyBorder="1"/>
    <xf numFmtId="0" fontId="0" fillId="0" borderId="14" xfId="0" applyBorder="1"/>
    <xf numFmtId="0" fontId="0" fillId="0" borderId="10" xfId="0" applyBorder="1"/>
    <xf numFmtId="0" fontId="0" fillId="0" borderId="11" xfId="0" applyBorder="1"/>
    <xf numFmtId="0" fontId="0" fillId="0" borderId="13" xfId="0" applyBorder="1"/>
    <xf numFmtId="0" fontId="0" fillId="0" borderId="16" xfId="0" applyBorder="1"/>
    <xf numFmtId="0" fontId="0" fillId="13" borderId="25" xfId="0" applyFill="1" applyBorder="1"/>
    <xf numFmtId="41" fontId="0" fillId="0" borderId="14" xfId="3" applyFont="1" applyBorder="1"/>
    <xf numFmtId="10" fontId="0" fillId="0" borderId="0" xfId="0" applyNumberFormat="1"/>
    <xf numFmtId="0" fontId="0" fillId="0" borderId="17" xfId="0" applyBorder="1"/>
    <xf numFmtId="10" fontId="4" fillId="0" borderId="14" xfId="20" applyNumberFormat="1" applyFont="1" applyBorder="1"/>
    <xf numFmtId="41" fontId="0" fillId="11" borderId="0" xfId="3" applyFont="1" applyFill="1"/>
    <xf numFmtId="41" fontId="4" fillId="11" borderId="0" xfId="3" applyFont="1" applyFill="1"/>
    <xf numFmtId="43" fontId="0" fillId="11" borderId="0" xfId="2" applyFont="1" applyFill="1"/>
    <xf numFmtId="0" fontId="0" fillId="13" borderId="0" xfId="0" applyFill="1"/>
    <xf numFmtId="0" fontId="0" fillId="14" borderId="0" xfId="0" applyFill="1"/>
    <xf numFmtId="41" fontId="0" fillId="14" borderId="0" xfId="3" applyFont="1" applyFill="1"/>
    <xf numFmtId="41" fontId="0" fillId="15" borderId="0" xfId="3" applyFont="1" applyFill="1"/>
    <xf numFmtId="0" fontId="0" fillId="15" borderId="0" xfId="0" applyFill="1"/>
    <xf numFmtId="0" fontId="0" fillId="0" borderId="0" xfId="0" applyNumberFormat="1"/>
    <xf numFmtId="0" fontId="0" fillId="8" borderId="0" xfId="0" applyFill="1" applyBorder="1"/>
    <xf numFmtId="0" fontId="0" fillId="16" borderId="0" xfId="0" applyFill="1"/>
    <xf numFmtId="0" fontId="4" fillId="0" borderId="0" xfId="0" applyFont="1" applyFill="1" applyAlignment="1">
      <alignment horizontal="center"/>
    </xf>
    <xf numFmtId="0" fontId="4" fillId="0" borderId="0" xfId="0" applyFont="1" applyAlignment="1">
      <alignment horizontal="center"/>
    </xf>
    <xf numFmtId="0" fontId="0" fillId="10" borderId="0" xfId="0" applyFill="1"/>
    <xf numFmtId="0" fontId="0" fillId="0" borderId="20" xfId="0" applyBorder="1"/>
    <xf numFmtId="0" fontId="0" fillId="0" borderId="22" xfId="0" applyBorder="1"/>
    <xf numFmtId="0" fontId="0" fillId="0" borderId="23" xfId="0" applyBorder="1"/>
    <xf numFmtId="0" fontId="0" fillId="0" borderId="19" xfId="0" applyBorder="1"/>
    <xf numFmtId="0" fontId="0" fillId="0" borderId="24" xfId="0" applyBorder="1"/>
    <xf numFmtId="0" fontId="4" fillId="0" borderId="0" xfId="0" applyFont="1" applyAlignment="1">
      <alignment horizontal="left"/>
    </xf>
    <xf numFmtId="10" fontId="0" fillId="0" borderId="0" xfId="20" applyNumberFormat="1" applyFont="1"/>
    <xf numFmtId="41" fontId="0" fillId="0" borderId="0" xfId="3" applyFont="1" applyFill="1"/>
    <xf numFmtId="41" fontId="4" fillId="0" borderId="0" xfId="3" applyFont="1" applyFill="1"/>
    <xf numFmtId="41" fontId="5" fillId="0" borderId="0" xfId="3" applyFont="1" applyFill="1"/>
    <xf numFmtId="0" fontId="8" fillId="17" borderId="0" xfId="0" applyFont="1" applyFill="1"/>
    <xf numFmtId="0" fontId="9" fillId="17" borderId="0" xfId="0" applyFont="1" applyFill="1"/>
    <xf numFmtId="0" fontId="18" fillId="17" borderId="0" xfId="0" applyFont="1" applyFill="1"/>
    <xf numFmtId="0" fontId="11" fillId="17" borderId="0" xfId="0" applyFont="1" applyFill="1" applyAlignment="1">
      <alignment horizontal="right"/>
    </xf>
    <xf numFmtId="0" fontId="8" fillId="17" borderId="0" xfId="0" applyFont="1" applyFill="1" applyAlignment="1">
      <alignment horizontal="right"/>
    </xf>
    <xf numFmtId="0" fontId="0" fillId="0" borderId="0" xfId="0" applyFill="1" applyBorder="1"/>
    <xf numFmtId="43" fontId="5" fillId="0" borderId="21" xfId="2" applyFont="1" applyFill="1" applyBorder="1"/>
    <xf numFmtId="0" fontId="4" fillId="0" borderId="2" xfId="0" applyFont="1" applyBorder="1"/>
    <xf numFmtId="0" fontId="4" fillId="0" borderId="7" xfId="0" applyFont="1" applyBorder="1"/>
    <xf numFmtId="41" fontId="4" fillId="0" borderId="0" xfId="3" applyFont="1" applyBorder="1"/>
    <xf numFmtId="3" fontId="0" fillId="0" borderId="0" xfId="0" applyNumberFormat="1" applyBorder="1"/>
    <xf numFmtId="0" fontId="6" fillId="0" borderId="0" xfId="0" applyFont="1" applyFill="1" applyBorder="1"/>
    <xf numFmtId="0" fontId="0" fillId="18" borderId="0" xfId="0" applyFill="1"/>
    <xf numFmtId="0" fontId="0" fillId="0" borderId="0" xfId="0" quotePrefix="1"/>
    <xf numFmtId="41" fontId="0" fillId="19" borderId="0" xfId="3" applyFont="1" applyFill="1"/>
    <xf numFmtId="41" fontId="4" fillId="19" borderId="0" xfId="3" applyFont="1" applyFill="1"/>
    <xf numFmtId="41" fontId="5" fillId="19" borderId="0" xfId="3" applyFont="1" applyFill="1"/>
    <xf numFmtId="0" fontId="10" fillId="19" borderId="0" xfId="0" applyFont="1" applyFill="1"/>
    <xf numFmtId="0" fontId="0" fillId="19" borderId="0" xfId="0" applyFill="1"/>
    <xf numFmtId="43" fontId="0" fillId="19" borderId="0" xfId="2" applyFont="1" applyFill="1"/>
    <xf numFmtId="9" fontId="0" fillId="19" borderId="0" xfId="20" applyFont="1" applyFill="1"/>
    <xf numFmtId="0" fontId="0" fillId="0" borderId="5" xfId="0" applyBorder="1"/>
    <xf numFmtId="0" fontId="0" fillId="0" borderId="29" xfId="0" applyBorder="1"/>
    <xf numFmtId="0" fontId="0" fillId="0" borderId="30" xfId="0" applyBorder="1"/>
    <xf numFmtId="166" fontId="0" fillId="0" borderId="0" xfId="6" applyFont="1"/>
    <xf numFmtId="43" fontId="8" fillId="17" borderId="0" xfId="2" applyFont="1" applyFill="1"/>
    <xf numFmtId="0" fontId="0" fillId="13" borderId="15" xfId="0" applyFill="1" applyBorder="1"/>
    <xf numFmtId="0" fontId="0" fillId="13" borderId="14" xfId="0" applyFill="1" applyBorder="1"/>
    <xf numFmtId="0" fontId="0" fillId="13" borderId="16" xfId="0" applyFill="1" applyBorder="1"/>
    <xf numFmtId="0" fontId="0" fillId="13" borderId="0" xfId="0" applyFill="1" applyBorder="1"/>
    <xf numFmtId="9" fontId="0" fillId="13" borderId="14" xfId="20" applyFont="1" applyFill="1" applyBorder="1"/>
    <xf numFmtId="10" fontId="0" fillId="13" borderId="14" xfId="20" applyNumberFormat="1" applyFont="1" applyFill="1" applyBorder="1"/>
    <xf numFmtId="9" fontId="0" fillId="19" borderId="0" xfId="0" applyNumberFormat="1" applyFill="1"/>
    <xf numFmtId="41" fontId="0" fillId="0" borderId="0" xfId="0" applyNumberFormat="1" applyFill="1"/>
    <xf numFmtId="41" fontId="5" fillId="0" borderId="0" xfId="0" applyNumberFormat="1" applyFont="1" applyFill="1"/>
    <xf numFmtId="9" fontId="0" fillId="0" borderId="0" xfId="0" applyNumberFormat="1" applyFill="1"/>
    <xf numFmtId="0" fontId="4" fillId="0" borderId="5" xfId="0" applyFont="1" applyBorder="1"/>
    <xf numFmtId="0" fontId="4" fillId="13" borderId="0" xfId="0" applyFont="1" applyFill="1"/>
    <xf numFmtId="41" fontId="0" fillId="21" borderId="0" xfId="0" applyNumberFormat="1" applyFill="1"/>
    <xf numFmtId="0" fontId="5" fillId="21" borderId="0" xfId="0" applyFont="1" applyFill="1" applyBorder="1"/>
    <xf numFmtId="0" fontId="0" fillId="21" borderId="0" xfId="0" applyFill="1" applyBorder="1"/>
    <xf numFmtId="41" fontId="0" fillId="21" borderId="0" xfId="3" applyFont="1" applyFill="1"/>
    <xf numFmtId="43" fontId="5" fillId="0" borderId="13" xfId="2" applyFont="1" applyFill="1" applyBorder="1"/>
    <xf numFmtId="0" fontId="0" fillId="0" borderId="0" xfId="0" applyAlignment="1">
      <alignment horizontal="left"/>
    </xf>
    <xf numFmtId="41" fontId="0" fillId="13" borderId="0" xfId="0" applyNumberFormat="1" applyFill="1"/>
    <xf numFmtId="9" fontId="0" fillId="13" borderId="0" xfId="0" applyNumberFormat="1" applyFill="1"/>
    <xf numFmtId="0" fontId="0" fillId="13" borderId="18" xfId="0" applyFill="1" applyBorder="1"/>
    <xf numFmtId="41" fontId="9" fillId="19" borderId="0" xfId="3" applyFont="1" applyFill="1"/>
    <xf numFmtId="41" fontId="9" fillId="22" borderId="0" xfId="3" applyFont="1" applyFill="1"/>
    <xf numFmtId="0" fontId="11" fillId="10" borderId="0" xfId="0" applyFont="1" applyFill="1"/>
    <xf numFmtId="0" fontId="0" fillId="2" borderId="0" xfId="0" applyFill="1"/>
    <xf numFmtId="9" fontId="0" fillId="11" borderId="0" xfId="20" applyFont="1" applyFill="1"/>
    <xf numFmtId="10" fontId="0" fillId="0" borderId="0" xfId="23" applyFont="1" applyBorder="1"/>
    <xf numFmtId="0" fontId="0" fillId="20" borderId="0" xfId="0" applyFill="1"/>
    <xf numFmtId="0" fontId="0" fillId="20" borderId="0" xfId="0" applyFill="1" applyBorder="1"/>
    <xf numFmtId="0" fontId="0" fillId="20" borderId="22" xfId="0" applyFill="1" applyBorder="1"/>
    <xf numFmtId="0" fontId="0" fillId="20" borderId="19" xfId="0" applyFill="1" applyBorder="1"/>
    <xf numFmtId="0" fontId="0" fillId="20" borderId="24" xfId="0" applyFill="1" applyBorder="1"/>
    <xf numFmtId="0" fontId="0" fillId="2" borderId="0" xfId="0" applyFill="1" applyBorder="1"/>
    <xf numFmtId="0" fontId="0" fillId="0" borderId="31" xfId="0" applyBorder="1"/>
    <xf numFmtId="0" fontId="0" fillId="0" borderId="32" xfId="0" applyBorder="1"/>
    <xf numFmtId="0" fontId="0" fillId="0" borderId="25" xfId="0" applyBorder="1"/>
    <xf numFmtId="0" fontId="0" fillId="0" borderId="33" xfId="0" applyBorder="1"/>
    <xf numFmtId="0" fontId="5" fillId="0" borderId="5" xfId="0" applyFont="1" applyBorder="1"/>
    <xf numFmtId="0" fontId="22" fillId="11" borderId="0" xfId="0" applyFont="1" applyFill="1" applyBorder="1"/>
    <xf numFmtId="0" fontId="22" fillId="12" borderId="0" xfId="0" applyFont="1" applyFill="1" applyBorder="1"/>
    <xf numFmtId="0" fontId="24" fillId="0" borderId="0" xfId="0" applyFont="1" applyBorder="1"/>
    <xf numFmtId="0" fontId="23" fillId="0" borderId="0" xfId="0" applyFont="1" applyBorder="1"/>
    <xf numFmtId="0" fontId="25" fillId="19" borderId="0" xfId="0" applyFont="1" applyFill="1" applyBorder="1"/>
    <xf numFmtId="0" fontId="26" fillId="0" borderId="0" xfId="0" applyFont="1" applyBorder="1"/>
    <xf numFmtId="0" fontId="27" fillId="0" borderId="0" xfId="0" applyFont="1" applyBorder="1"/>
    <xf numFmtId="0" fontId="28" fillId="0" borderId="0" xfId="0" applyFont="1" applyBorder="1"/>
    <xf numFmtId="0" fontId="0" fillId="0" borderId="34" xfId="0" applyBorder="1"/>
    <xf numFmtId="0" fontId="0" fillId="0" borderId="35" xfId="0" applyBorder="1"/>
    <xf numFmtId="0" fontId="29" fillId="0" borderId="0" xfId="0" applyFont="1" applyBorder="1"/>
    <xf numFmtId="0" fontId="0" fillId="23" borderId="0" xfId="0" applyFill="1" applyBorder="1"/>
    <xf numFmtId="0" fontId="0" fillId="24" borderId="0" xfId="0" applyFill="1"/>
    <xf numFmtId="0" fontId="21" fillId="6" borderId="0" xfId="0" applyFont="1" applyFill="1"/>
    <xf numFmtId="0" fontId="21" fillId="10" borderId="0" xfId="0" applyFont="1" applyFill="1"/>
    <xf numFmtId="0" fontId="0" fillId="3" borderId="0" xfId="0" applyFill="1"/>
    <xf numFmtId="2" fontId="0" fillId="0" borderId="0" xfId="0" applyNumberFormat="1"/>
    <xf numFmtId="0" fontId="0" fillId="14" borderId="0" xfId="0" applyFill="1" applyAlignment="1">
      <alignment horizontal="right"/>
    </xf>
    <xf numFmtId="41" fontId="0" fillId="0" borderId="0" xfId="3" applyFont="1" applyAlignment="1">
      <alignment horizontal="right"/>
    </xf>
    <xf numFmtId="0" fontId="0" fillId="9" borderId="0" xfId="0" applyFill="1" applyAlignment="1">
      <alignment horizontal="right"/>
    </xf>
    <xf numFmtId="0" fontId="6" fillId="0" borderId="0" xfId="0" applyFont="1" applyBorder="1"/>
    <xf numFmtId="0" fontId="30" fillId="0" borderId="0" xfId="0" applyFont="1" applyBorder="1"/>
    <xf numFmtId="0" fontId="16" fillId="0" borderId="0" xfId="0" applyFont="1" applyBorder="1"/>
    <xf numFmtId="0" fontId="6" fillId="8" borderId="0" xfId="0" applyFont="1" applyFill="1" applyBorder="1"/>
    <xf numFmtId="0" fontId="6" fillId="20" borderId="36" xfId="0" applyFont="1" applyFill="1" applyBorder="1"/>
    <xf numFmtId="0" fontId="5" fillId="0" borderId="13" xfId="0" applyFont="1" applyBorder="1"/>
    <xf numFmtId="0" fontId="0" fillId="9" borderId="0" xfId="0" quotePrefix="1" applyFill="1"/>
    <xf numFmtId="0" fontId="0" fillId="3" borderId="0" xfId="0" applyFill="1" applyBorder="1"/>
    <xf numFmtId="14" fontId="0" fillId="0" borderId="0" xfId="0" applyNumberFormat="1" applyAlignment="1">
      <alignment horizontal="right"/>
    </xf>
    <xf numFmtId="14" fontId="0" fillId="9" borderId="0" xfId="0" applyNumberFormat="1" applyFill="1" applyAlignment="1">
      <alignment horizontal="right"/>
    </xf>
    <xf numFmtId="0" fontId="31" fillId="0" borderId="0" xfId="0" applyFont="1"/>
    <xf numFmtId="0" fontId="0" fillId="0" borderId="2" xfId="0" applyBorder="1" applyAlignment="1">
      <alignment horizontal="center"/>
    </xf>
    <xf numFmtId="0" fontId="0" fillId="0" borderId="7" xfId="0" applyBorder="1" applyAlignment="1">
      <alignment wrapText="1"/>
    </xf>
    <xf numFmtId="0" fontId="0" fillId="0" borderId="8" xfId="0" applyBorder="1" applyAlignment="1">
      <alignment wrapText="1"/>
    </xf>
    <xf numFmtId="0" fontId="0" fillId="0" borderId="20" xfId="0" applyBorder="1" applyAlignment="1">
      <alignment horizontal="center" vertical="top"/>
    </xf>
    <xf numFmtId="0" fontId="0" fillId="0" borderId="0" xfId="0" applyBorder="1" applyAlignment="1">
      <alignment vertical="top" wrapText="1"/>
    </xf>
    <xf numFmtId="0" fontId="0" fillId="0" borderId="0" xfId="0" applyBorder="1" applyAlignment="1">
      <alignment horizontal="center" vertical="top"/>
    </xf>
    <xf numFmtId="0" fontId="0" fillId="0" borderId="0" xfId="0" applyNumberFormat="1" applyBorder="1" applyAlignment="1">
      <alignment vertical="top" wrapText="1"/>
    </xf>
    <xf numFmtId="0" fontId="0" fillId="0" borderId="0" xfId="0" applyFill="1" applyBorder="1" applyAlignment="1">
      <alignment vertical="top" wrapText="1"/>
    </xf>
    <xf numFmtId="0" fontId="0" fillId="0" borderId="0" xfId="0" applyNumberFormat="1" applyFill="1" applyBorder="1" applyAlignment="1">
      <alignment vertical="top" wrapText="1"/>
    </xf>
    <xf numFmtId="0" fontId="0" fillId="0" borderId="0" xfId="0" applyBorder="1" applyAlignment="1">
      <alignment vertical="top"/>
    </xf>
    <xf numFmtId="21" fontId="0" fillId="0" borderId="22" xfId="0" applyNumberFormat="1" applyBorder="1" applyAlignment="1">
      <alignment horizontal="center" vertical="top"/>
    </xf>
    <xf numFmtId="168" fontId="0" fillId="0" borderId="22" xfId="0" applyNumberFormat="1" applyBorder="1" applyAlignment="1">
      <alignment horizontal="center" vertical="top"/>
    </xf>
    <xf numFmtId="0" fontId="0" fillId="0" borderId="23"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4" fillId="2" borderId="6" xfId="0" applyFont="1" applyFill="1" applyBorder="1" applyAlignment="1">
      <alignment horizontal="center"/>
    </xf>
    <xf numFmtId="0" fontId="32" fillId="0" borderId="0" xfId="0" applyFont="1"/>
    <xf numFmtId="168" fontId="0" fillId="0" borderId="6" xfId="0" applyNumberFormat="1" applyBorder="1" applyAlignment="1">
      <alignment horizontal="center"/>
    </xf>
    <xf numFmtId="0" fontId="0" fillId="0" borderId="0" xfId="0" applyAlignment="1">
      <alignment wrapText="1"/>
    </xf>
    <xf numFmtId="0" fontId="0" fillId="19" borderId="0" xfId="0" applyFill="1" applyAlignment="1">
      <alignment horizontal="right"/>
    </xf>
    <xf numFmtId="22" fontId="0" fillId="15" borderId="0" xfId="0" applyNumberFormat="1" applyFill="1"/>
    <xf numFmtId="41" fontId="0" fillId="0" borderId="5" xfId="3" applyFont="1" applyFill="1" applyBorder="1"/>
    <xf numFmtId="9" fontId="0" fillId="0" borderId="29" xfId="20" applyFont="1" applyFill="1" applyBorder="1"/>
    <xf numFmtId="43" fontId="0" fillId="0" borderId="29" xfId="2" applyFont="1" applyFill="1" applyBorder="1"/>
    <xf numFmtId="43" fontId="0" fillId="0" borderId="30" xfId="2" applyFont="1" applyFill="1" applyBorder="1"/>
    <xf numFmtId="9" fontId="0" fillId="0" borderId="0" xfId="20" applyFont="1" applyFill="1" applyBorder="1"/>
    <xf numFmtId="43" fontId="0" fillId="0" borderId="0" xfId="2" applyFont="1" applyFill="1" applyBorder="1"/>
    <xf numFmtId="43" fontId="0" fillId="0" borderId="22" xfId="2" applyFont="1" applyFill="1" applyBorder="1"/>
    <xf numFmtId="9" fontId="0" fillId="0" borderId="23" xfId="3" applyNumberFormat="1" applyFont="1" applyFill="1" applyBorder="1"/>
    <xf numFmtId="9" fontId="0" fillId="0" borderId="19" xfId="20" applyFont="1" applyFill="1" applyBorder="1"/>
    <xf numFmtId="43" fontId="0" fillId="0" borderId="19" xfId="2" applyFont="1" applyFill="1" applyBorder="1"/>
    <xf numFmtId="43" fontId="0" fillId="0" borderId="24" xfId="2" applyFont="1" applyFill="1" applyBorder="1"/>
    <xf numFmtId="41" fontId="0" fillId="0" borderId="20" xfId="3" applyFont="1" applyFill="1" applyBorder="1"/>
    <xf numFmtId="0" fontId="4" fillId="0" borderId="8" xfId="0" applyFont="1" applyBorder="1"/>
    <xf numFmtId="0" fontId="6" fillId="0" borderId="5" xfId="0" applyFont="1" applyBorder="1"/>
    <xf numFmtId="0" fontId="5" fillId="20" borderId="0" xfId="0" applyFont="1" applyFill="1" applyBorder="1"/>
    <xf numFmtId="0" fontId="7" fillId="0" borderId="0" xfId="0" applyNumberFormat="1" applyFont="1"/>
    <xf numFmtId="0" fontId="13" fillId="10" borderId="2" xfId="0" applyFont="1" applyFill="1" applyBorder="1" applyAlignment="1">
      <alignment horizontal="centerContinuous"/>
    </xf>
    <xf numFmtId="0" fontId="9" fillId="10" borderId="7" xfId="0" applyFont="1" applyFill="1" applyBorder="1" applyAlignment="1">
      <alignment horizontal="centerContinuous"/>
    </xf>
    <xf numFmtId="0" fontId="4" fillId="0" borderId="17" xfId="0" applyFont="1" applyBorder="1" applyAlignment="1">
      <alignment horizontal="center"/>
    </xf>
    <xf numFmtId="0" fontId="4" fillId="0" borderId="18" xfId="0" applyFont="1" applyBorder="1" applyAlignment="1">
      <alignment horizontal="center"/>
    </xf>
    <xf numFmtId="0" fontId="4" fillId="0" borderId="21" xfId="0" applyFont="1" applyBorder="1" applyAlignment="1">
      <alignment horizontal="center"/>
    </xf>
    <xf numFmtId="0" fontId="4" fillId="0" borderId="15" xfId="0" applyFont="1" applyBorder="1" applyAlignment="1">
      <alignment horizontal="center"/>
    </xf>
    <xf numFmtId="0" fontId="4" fillId="0" borderId="14" xfId="0" applyFont="1" applyBorder="1" applyAlignment="1">
      <alignment horizontal="center"/>
    </xf>
    <xf numFmtId="0" fontId="4" fillId="0" borderId="16" xfId="0" applyFont="1" applyBorder="1" applyAlignment="1">
      <alignment horizontal="center"/>
    </xf>
    <xf numFmtId="0" fontId="4" fillId="0" borderId="29" xfId="0" applyFont="1" applyBorder="1" applyAlignment="1">
      <alignment horizontal="right"/>
    </xf>
    <xf numFmtId="0" fontId="0" fillId="0" borderId="0" xfId="0" applyBorder="1" applyAlignment="1">
      <alignment horizontal="right"/>
    </xf>
    <xf numFmtId="10" fontId="3" fillId="20" borderId="25" xfId="20" applyNumberFormat="1" applyFont="1" applyFill="1" applyBorder="1" applyAlignment="1">
      <alignment horizontal="center"/>
    </xf>
    <xf numFmtId="10" fontId="3" fillId="0" borderId="0" xfId="20" applyNumberFormat="1" applyBorder="1" applyAlignment="1">
      <alignment horizontal="center"/>
    </xf>
    <xf numFmtId="0" fontId="4" fillId="0" borderId="0" xfId="0" applyFont="1" applyBorder="1" applyAlignment="1">
      <alignment horizontal="right"/>
    </xf>
    <xf numFmtId="10" fontId="3" fillId="0" borderId="25" xfId="20" applyNumberFormat="1" applyBorder="1" applyAlignment="1">
      <alignment horizontal="center"/>
    </xf>
    <xf numFmtId="0" fontId="0" fillId="0" borderId="19" xfId="0" applyBorder="1" applyAlignment="1">
      <alignment horizontal="right"/>
    </xf>
    <xf numFmtId="10" fontId="3" fillId="0" borderId="19" xfId="20" applyNumberFormat="1" applyBorder="1" applyAlignment="1">
      <alignment horizontal="center"/>
    </xf>
    <xf numFmtId="10" fontId="3" fillId="0" borderId="0" xfId="20" applyNumberFormat="1" applyAlignment="1">
      <alignment horizontal="center"/>
    </xf>
    <xf numFmtId="169" fontId="0" fillId="0" borderId="25" xfId="20" applyNumberFormat="1" applyFont="1" applyFill="1" applyBorder="1"/>
    <xf numFmtId="0" fontId="17" fillId="0" borderId="0" xfId="0" applyFont="1"/>
    <xf numFmtId="0" fontId="39" fillId="0" borderId="0" xfId="0" applyFont="1" applyAlignment="1">
      <alignment horizontal="left" indent="2"/>
    </xf>
    <xf numFmtId="0" fontId="17" fillId="0" borderId="0" xfId="0" applyFont="1" applyAlignment="1">
      <alignment horizontal="left" indent="2"/>
    </xf>
    <xf numFmtId="0" fontId="40" fillId="0" borderId="0" xfId="0" applyFont="1" applyAlignment="1">
      <alignment horizontal="left" indent="4"/>
    </xf>
    <xf numFmtId="0" fontId="41" fillId="0" borderId="0" xfId="0" applyFont="1" applyAlignment="1">
      <alignment horizontal="left" indent="8"/>
    </xf>
    <xf numFmtId="0" fontId="17" fillId="0" borderId="0" xfId="0" applyFont="1" applyAlignment="1">
      <alignment horizontal="left" indent="6"/>
    </xf>
    <xf numFmtId="0" fontId="42" fillId="0" borderId="0" xfId="0" applyFont="1" applyAlignment="1">
      <alignment horizontal="left" indent="12"/>
    </xf>
    <xf numFmtId="0" fontId="40" fillId="0" borderId="0" xfId="0" applyFont="1" applyAlignment="1">
      <alignment horizontal="left" indent="6"/>
    </xf>
    <xf numFmtId="0" fontId="41" fillId="0" borderId="0" xfId="0" applyFont="1" applyAlignment="1">
      <alignment horizontal="left" indent="10"/>
    </xf>
    <xf numFmtId="0" fontId="39" fillId="0" borderId="0" xfId="0" applyFont="1"/>
    <xf numFmtId="0" fontId="0" fillId="0" borderId="0" xfId="0" applyAlignment="1">
      <alignment horizontal="center"/>
    </xf>
    <xf numFmtId="0" fontId="6" fillId="2" borderId="0" xfId="0" applyFont="1" applyFill="1" applyBorder="1"/>
    <xf numFmtId="0" fontId="6" fillId="2" borderId="12" xfId="0" applyFont="1" applyFill="1" applyBorder="1"/>
    <xf numFmtId="0" fontId="6" fillId="2" borderId="14" xfId="0" applyFont="1" applyFill="1" applyBorder="1"/>
    <xf numFmtId="0" fontId="6"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alignment horizontal="right"/>
    </xf>
    <xf numFmtId="0" fontId="16" fillId="2" borderId="0" xfId="0" applyFont="1" applyFill="1" applyBorder="1"/>
    <xf numFmtId="0" fontId="6" fillId="2" borderId="14" xfId="0" applyFont="1" applyFill="1" applyBorder="1" applyAlignment="1">
      <alignment horizontal="center"/>
    </xf>
    <xf numFmtId="3" fontId="6" fillId="2" borderId="40" xfId="0" applyNumberFormat="1" applyFont="1" applyFill="1" applyBorder="1" applyAlignment="1">
      <alignment horizontal="center"/>
    </xf>
    <xf numFmtId="3" fontId="6" fillId="2" borderId="0" xfId="0" applyNumberFormat="1" applyFont="1" applyFill="1" applyBorder="1" applyAlignment="1">
      <alignment horizontal="center"/>
    </xf>
    <xf numFmtId="3" fontId="6" fillId="2" borderId="0" xfId="0" applyNumberFormat="1" applyFont="1" applyFill="1" applyBorder="1"/>
    <xf numFmtId="0" fontId="6" fillId="0" borderId="0" xfId="0" applyFont="1" applyFill="1" applyBorder="1" applyProtection="1">
      <protection locked="0"/>
    </xf>
    <xf numFmtId="0" fontId="0" fillId="0" borderId="0" xfId="0" applyProtection="1">
      <protection locked="0"/>
    </xf>
    <xf numFmtId="3" fontId="0" fillId="15" borderId="0" xfId="0" applyNumberFormat="1" applyFill="1"/>
    <xf numFmtId="3" fontId="0" fillId="15" borderId="0" xfId="3" applyNumberFormat="1" applyFont="1" applyFill="1"/>
    <xf numFmtId="37" fontId="0" fillId="15" borderId="0" xfId="3" applyNumberFormat="1" applyFont="1" applyFill="1"/>
    <xf numFmtId="0" fontId="6" fillId="2" borderId="20" xfId="0" applyFont="1" applyFill="1" applyBorder="1"/>
    <xf numFmtId="0" fontId="13" fillId="8" borderId="0" xfId="0" applyFont="1" applyFill="1" applyBorder="1"/>
    <xf numFmtId="43" fontId="4" fillId="20" borderId="0" xfId="2" applyFont="1" applyFill="1"/>
    <xf numFmtId="169" fontId="0" fillId="0" borderId="0" xfId="20" applyNumberFormat="1" applyFont="1"/>
    <xf numFmtId="0" fontId="45" fillId="2" borderId="0" xfId="0" applyFont="1" applyFill="1" applyBorder="1"/>
    <xf numFmtId="42" fontId="0" fillId="15" borderId="0" xfId="13" applyNumberFormat="1" applyFont="1" applyFill="1"/>
    <xf numFmtId="41" fontId="0" fillId="0" borderId="0" xfId="3" applyNumberFormat="1" applyFont="1"/>
    <xf numFmtId="1" fontId="0" fillId="19" borderId="0" xfId="20" applyNumberFormat="1" applyFont="1" applyFill="1"/>
    <xf numFmtId="169" fontId="16" fillId="2" borderId="40" xfId="0" applyNumberFormat="1" applyFont="1" applyFill="1" applyBorder="1" applyAlignment="1">
      <alignment horizontal="center" vertical="center"/>
    </xf>
    <xf numFmtId="0" fontId="6" fillId="2" borderId="40" xfId="0" applyFont="1" applyFill="1" applyBorder="1" applyAlignment="1">
      <alignment horizontal="center"/>
    </xf>
    <xf numFmtId="3" fontId="6" fillId="3" borderId="40" xfId="0" applyNumberFormat="1" applyFont="1" applyFill="1" applyBorder="1" applyAlignment="1" applyProtection="1">
      <alignment horizontal="center"/>
      <protection locked="0"/>
    </xf>
    <xf numFmtId="169" fontId="6" fillId="2" borderId="40" xfId="20" applyNumberFormat="1" applyFont="1" applyFill="1" applyBorder="1" applyAlignment="1">
      <alignment horizontal="center"/>
    </xf>
    <xf numFmtId="0" fontId="0" fillId="2" borderId="13" xfId="0" applyFill="1" applyBorder="1"/>
    <xf numFmtId="169" fontId="0" fillId="19" borderId="0" xfId="0" applyNumberFormat="1" applyFill="1"/>
    <xf numFmtId="169" fontId="0" fillId="0" borderId="0" xfId="0" applyNumberFormat="1" applyFill="1"/>
    <xf numFmtId="0" fontId="6" fillId="2" borderId="40" xfId="0" applyFont="1" applyFill="1" applyBorder="1" applyAlignment="1" applyProtection="1">
      <alignment horizontal="center" vertical="center"/>
    </xf>
    <xf numFmtId="0" fontId="6" fillId="8" borderId="0" xfId="0" applyFont="1" applyFill="1" applyBorder="1" applyProtection="1"/>
    <xf numFmtId="0" fontId="6" fillId="0" borderId="0" xfId="0" applyFont="1" applyFill="1" applyBorder="1" applyProtection="1"/>
    <xf numFmtId="0" fontId="6" fillId="2" borderId="12" xfId="0" applyFont="1" applyFill="1" applyBorder="1" applyProtection="1"/>
    <xf numFmtId="0" fontId="16" fillId="2" borderId="0" xfId="0" applyFont="1" applyFill="1" applyBorder="1" applyProtection="1"/>
    <xf numFmtId="0" fontId="6" fillId="2" borderId="0" xfId="0" applyFont="1" applyFill="1" applyBorder="1" applyProtection="1"/>
    <xf numFmtId="0" fontId="6" fillId="2" borderId="13" xfId="0" applyFont="1" applyFill="1" applyBorder="1" applyProtection="1"/>
    <xf numFmtId="0" fontId="6" fillId="2" borderId="0" xfId="0" applyFont="1" applyFill="1" applyBorder="1" applyAlignment="1" applyProtection="1">
      <alignment horizontal="center"/>
    </xf>
    <xf numFmtId="0" fontId="6" fillId="2" borderId="14" xfId="0" applyFont="1" applyFill="1" applyBorder="1" applyAlignment="1" applyProtection="1">
      <alignment horizontal="center"/>
    </xf>
    <xf numFmtId="0" fontId="6" fillId="3" borderId="40" xfId="0" applyFont="1" applyFill="1" applyBorder="1" applyProtection="1"/>
    <xf numFmtId="0" fontId="6" fillId="15" borderId="40" xfId="0" applyFont="1" applyFill="1" applyBorder="1" applyAlignment="1" applyProtection="1">
      <alignment horizontal="center"/>
    </xf>
    <xf numFmtId="0" fontId="13" fillId="23" borderId="40" xfId="0" applyFont="1" applyFill="1" applyBorder="1" applyAlignment="1" applyProtection="1">
      <alignment horizontal="center"/>
    </xf>
    <xf numFmtId="0" fontId="6" fillId="25" borderId="40" xfId="0" applyFont="1" applyFill="1" applyBorder="1" applyAlignment="1" applyProtection="1">
      <alignment horizontal="center"/>
    </xf>
    <xf numFmtId="0" fontId="6" fillId="24" borderId="5" xfId="0" applyFont="1" applyFill="1" applyBorder="1" applyProtection="1"/>
    <xf numFmtId="0" fontId="6" fillId="24" borderId="29" xfId="0" applyFont="1" applyFill="1" applyBorder="1" applyProtection="1"/>
    <xf numFmtId="0" fontId="6" fillId="24" borderId="41" xfId="0" applyFont="1" applyFill="1" applyBorder="1" applyProtection="1"/>
    <xf numFmtId="0" fontId="6" fillId="24" borderId="20" xfId="0" applyFont="1" applyFill="1" applyBorder="1" applyProtection="1"/>
    <xf numFmtId="0" fontId="6" fillId="24" borderId="0" xfId="0" applyFont="1" applyFill="1" applyBorder="1" applyProtection="1"/>
    <xf numFmtId="0" fontId="6" fillId="24" borderId="42" xfId="0" applyFont="1" applyFill="1" applyBorder="1" applyProtection="1"/>
    <xf numFmtId="0" fontId="6" fillId="2" borderId="40" xfId="0" applyFont="1" applyFill="1" applyBorder="1" applyAlignment="1" applyProtection="1">
      <alignment horizontal="center"/>
    </xf>
    <xf numFmtId="1" fontId="6" fillId="2" borderId="0" xfId="0" applyNumberFormat="1" applyFont="1" applyFill="1" applyBorder="1" applyAlignment="1" applyProtection="1">
      <alignment horizontal="center"/>
    </xf>
    <xf numFmtId="0" fontId="6" fillId="24" borderId="43" xfId="0" applyFont="1" applyFill="1" applyBorder="1" applyProtection="1"/>
    <xf numFmtId="0" fontId="6" fillId="24" borderId="44" xfId="0" applyFont="1" applyFill="1" applyBorder="1" applyProtection="1"/>
    <xf numFmtId="0" fontId="6" fillId="24" borderId="45" xfId="0" applyFont="1" applyFill="1" applyBorder="1" applyProtection="1"/>
    <xf numFmtId="0" fontId="6" fillId="2" borderId="15" xfId="0" applyFont="1" applyFill="1" applyBorder="1" applyProtection="1"/>
    <xf numFmtId="0" fontId="6" fillId="2" borderId="14" xfId="0" applyFont="1" applyFill="1" applyBorder="1" applyProtection="1"/>
    <xf numFmtId="0" fontId="6" fillId="2" borderId="16" xfId="0" applyFont="1" applyFill="1" applyBorder="1" applyProtection="1"/>
    <xf numFmtId="169" fontId="45" fillId="2" borderId="0" xfId="0" applyNumberFormat="1" applyFont="1" applyFill="1" applyBorder="1" applyAlignment="1">
      <alignment horizontal="center"/>
    </xf>
    <xf numFmtId="3" fontId="0" fillId="0" borderId="0" xfId="20" applyNumberFormat="1" applyFont="1"/>
    <xf numFmtId="4" fontId="0" fillId="0" borderId="0" xfId="3" applyNumberFormat="1" applyFont="1"/>
    <xf numFmtId="4" fontId="0" fillId="0" borderId="0" xfId="0" applyNumberFormat="1"/>
    <xf numFmtId="169" fontId="4" fillId="0" borderId="0" xfId="20" applyNumberFormat="1" applyFont="1"/>
    <xf numFmtId="0" fontId="6" fillId="2" borderId="29" xfId="0" applyFont="1" applyFill="1" applyBorder="1"/>
    <xf numFmtId="0" fontId="6" fillId="2" borderId="42" xfId="0" applyFont="1" applyFill="1" applyBorder="1"/>
    <xf numFmtId="0" fontId="6" fillId="2" borderId="44" xfId="0" applyFont="1" applyFill="1" applyBorder="1"/>
    <xf numFmtId="0" fontId="6" fillId="2" borderId="45" xfId="0" applyFont="1" applyFill="1" applyBorder="1"/>
    <xf numFmtId="171" fontId="0" fillId="15" borderId="0" xfId="13" applyNumberFormat="1" applyFont="1" applyFill="1"/>
    <xf numFmtId="44" fontId="0" fillId="0" borderId="0" xfId="13" applyFont="1"/>
    <xf numFmtId="3" fontId="0" fillId="19" borderId="0" xfId="0" applyNumberFormat="1" applyFill="1"/>
    <xf numFmtId="173" fontId="0" fillId="19" borderId="0" xfId="13" applyNumberFormat="1" applyFont="1" applyFill="1"/>
    <xf numFmtId="173" fontId="0" fillId="0" borderId="0" xfId="13" applyNumberFormat="1" applyFont="1" applyFill="1"/>
    <xf numFmtId="173" fontId="0" fillId="0" borderId="0" xfId="13" applyNumberFormat="1" applyFont="1"/>
    <xf numFmtId="173" fontId="0" fillId="0" borderId="30" xfId="13" applyNumberFormat="1" applyFont="1" applyBorder="1"/>
    <xf numFmtId="173" fontId="0" fillId="0" borderId="22" xfId="13" applyNumberFormat="1" applyFont="1" applyBorder="1"/>
    <xf numFmtId="173" fontId="0" fillId="0" borderId="24" xfId="13" applyNumberFormat="1" applyFont="1" applyBorder="1"/>
    <xf numFmtId="170" fontId="6" fillId="2" borderId="40" xfId="13" applyNumberFormat="1" applyFont="1" applyFill="1" applyBorder="1" applyAlignment="1" applyProtection="1">
      <alignment horizontal="center"/>
    </xf>
    <xf numFmtId="170" fontId="6" fillId="2" borderId="0" xfId="13" applyNumberFormat="1" applyFont="1" applyFill="1" applyBorder="1" applyAlignment="1" applyProtection="1">
      <alignment horizontal="center"/>
    </xf>
    <xf numFmtId="173" fontId="0" fillId="0" borderId="29" xfId="13" applyNumberFormat="1" applyFont="1" applyBorder="1"/>
    <xf numFmtId="173" fontId="0" fillId="0" borderId="0" xfId="13" applyNumberFormat="1" applyFont="1" applyBorder="1"/>
    <xf numFmtId="173" fontId="0" fillId="0" borderId="19" xfId="13" applyNumberFormat="1" applyFont="1" applyBorder="1"/>
    <xf numFmtId="0" fontId="6" fillId="2" borderId="0" xfId="0" applyFont="1" applyFill="1" applyBorder="1" applyAlignment="1" applyProtection="1">
      <alignment horizontal="right"/>
    </xf>
    <xf numFmtId="0" fontId="0" fillId="0" borderId="9" xfId="0" applyBorder="1"/>
    <xf numFmtId="43" fontId="0" fillId="0" borderId="12" xfId="2" applyFont="1" applyBorder="1"/>
    <xf numFmtId="167" fontId="0" fillId="13" borderId="0" xfId="2" applyNumberFormat="1" applyFont="1" applyFill="1" applyBorder="1"/>
    <xf numFmtId="41" fontId="0" fillId="0" borderId="0" xfId="2" applyNumberFormat="1" applyFont="1" applyBorder="1"/>
    <xf numFmtId="167" fontId="0" fillId="0" borderId="13" xfId="20" applyNumberFormat="1" applyFont="1" applyBorder="1"/>
    <xf numFmtId="167" fontId="0" fillId="13" borderId="13" xfId="2" applyNumberFormat="1" applyFont="1" applyFill="1" applyBorder="1"/>
    <xf numFmtId="41" fontId="0" fillId="0" borderId="14" xfId="2" applyNumberFormat="1" applyFont="1" applyBorder="1"/>
    <xf numFmtId="167" fontId="0" fillId="0" borderId="16" xfId="20" applyNumberFormat="1" applyFont="1" applyBorder="1"/>
    <xf numFmtId="0" fontId="10" fillId="0" borderId="14" xfId="0" applyFont="1" applyBorder="1"/>
    <xf numFmtId="0" fontId="5" fillId="0" borderId="14" xfId="0" applyFont="1" applyBorder="1" applyAlignment="1">
      <alignment horizontal="center"/>
    </xf>
    <xf numFmtId="0" fontId="5" fillId="0" borderId="14" xfId="0" applyFont="1" applyBorder="1" applyAlignment="1">
      <alignment horizontal="right"/>
    </xf>
    <xf numFmtId="174" fontId="5" fillId="26" borderId="0" xfId="3" applyNumberFormat="1" applyFont="1" applyFill="1" applyBorder="1"/>
    <xf numFmtId="174" fontId="4" fillId="0" borderId="14" xfId="20" applyNumberFormat="1" applyFont="1" applyBorder="1"/>
    <xf numFmtId="43" fontId="0" fillId="0" borderId="17" xfId="2" applyFont="1" applyBorder="1"/>
    <xf numFmtId="167" fontId="0" fillId="13" borderId="18" xfId="2" applyNumberFormat="1" applyFont="1" applyFill="1" applyBorder="1"/>
    <xf numFmtId="41" fontId="0" fillId="0" borderId="18" xfId="2" applyNumberFormat="1" applyFont="1" applyBorder="1"/>
    <xf numFmtId="167" fontId="0" fillId="0" borderId="21" xfId="20" applyNumberFormat="1" applyFont="1" applyBorder="1"/>
    <xf numFmtId="167" fontId="0" fillId="13" borderId="21" xfId="2" applyNumberFormat="1" applyFont="1" applyFill="1" applyBorder="1"/>
    <xf numFmtId="43" fontId="0" fillId="0" borderId="15" xfId="2" applyFont="1" applyBorder="1"/>
    <xf numFmtId="167" fontId="0" fillId="13" borderId="14" xfId="2" applyNumberFormat="1" applyFont="1" applyFill="1" applyBorder="1"/>
    <xf numFmtId="167" fontId="0" fillId="13" borderId="16" xfId="2" applyNumberFormat="1" applyFont="1" applyFill="1" applyBorder="1"/>
    <xf numFmtId="0" fontId="4" fillId="0" borderId="0" xfId="0" quotePrefix="1" applyFont="1" applyBorder="1" applyAlignment="1">
      <alignment horizontal="left"/>
    </xf>
    <xf numFmtId="174" fontId="4" fillId="0" borderId="0" xfId="20" applyNumberFormat="1" applyFont="1" applyBorder="1"/>
    <xf numFmtId="9" fontId="0" fillId="0" borderId="0" xfId="20" applyFont="1" applyFill="1"/>
    <xf numFmtId="0" fontId="0" fillId="0" borderId="0" xfId="3" applyNumberFormat="1" applyFont="1" applyFill="1"/>
    <xf numFmtId="1" fontId="6" fillId="3" borderId="40" xfId="0" applyNumberFormat="1" applyFont="1" applyFill="1" applyBorder="1" applyAlignment="1" applyProtection="1">
      <alignment horizontal="center"/>
      <protection locked="0"/>
    </xf>
    <xf numFmtId="1" fontId="0" fillId="0" borderId="0" xfId="0" applyNumberFormat="1" applyFill="1"/>
    <xf numFmtId="1" fontId="0" fillId="0" borderId="0" xfId="0" applyNumberFormat="1"/>
    <xf numFmtId="1" fontId="0" fillId="11" borderId="0" xfId="0" applyNumberFormat="1" applyFill="1"/>
    <xf numFmtId="3" fontId="6" fillId="2" borderId="40" xfId="2" applyNumberFormat="1" applyFont="1" applyFill="1" applyBorder="1" applyAlignment="1" applyProtection="1">
      <alignment horizontal="center"/>
    </xf>
    <xf numFmtId="3" fontId="6" fillId="2" borderId="0" xfId="2" applyNumberFormat="1" applyFont="1" applyFill="1" applyBorder="1" applyAlignment="1" applyProtection="1">
      <alignment horizontal="center"/>
    </xf>
    <xf numFmtId="0" fontId="45" fillId="2" borderId="0" xfId="0" applyFont="1" applyFill="1" applyBorder="1" applyAlignment="1">
      <alignment horizontal="left"/>
    </xf>
    <xf numFmtId="0" fontId="6" fillId="2" borderId="41" xfId="0" applyFont="1" applyFill="1" applyBorder="1"/>
    <xf numFmtId="3" fontId="6" fillId="2" borderId="0" xfId="0" applyNumberFormat="1" applyFont="1" applyFill="1" applyBorder="1" applyAlignment="1" applyProtection="1">
      <alignment horizontal="center"/>
    </xf>
    <xf numFmtId="170" fontId="6" fillId="3" borderId="40" xfId="0" applyNumberFormat="1" applyFont="1" applyFill="1" applyBorder="1" applyAlignment="1" applyProtection="1">
      <alignment horizontal="center"/>
      <protection locked="0"/>
    </xf>
    <xf numFmtId="170" fontId="6" fillId="2" borderId="0" xfId="0" applyNumberFormat="1" applyFont="1" applyFill="1" applyBorder="1" applyAlignment="1" applyProtection="1">
      <alignment horizontal="center"/>
    </xf>
    <xf numFmtId="0" fontId="6" fillId="2" borderId="20" xfId="0" applyFont="1" applyFill="1" applyBorder="1" applyAlignment="1">
      <alignment horizontal="right"/>
    </xf>
    <xf numFmtId="0" fontId="6" fillId="2" borderId="43" xfId="0" applyFont="1" applyFill="1" applyBorder="1" applyAlignment="1">
      <alignment horizontal="right"/>
    </xf>
    <xf numFmtId="175" fontId="0" fillId="0" borderId="0" xfId="3" applyNumberFormat="1" applyFont="1"/>
    <xf numFmtId="173" fontId="0" fillId="11" borderId="0" xfId="13" applyNumberFormat="1" applyFont="1" applyFill="1"/>
    <xf numFmtId="3" fontId="0" fillId="14" borderId="0" xfId="3" applyNumberFormat="1" applyFont="1" applyFill="1"/>
    <xf numFmtId="176" fontId="0" fillId="0" borderId="0" xfId="20" applyNumberFormat="1" applyFont="1"/>
    <xf numFmtId="10" fontId="0" fillId="0" borderId="14" xfId="20" applyNumberFormat="1" applyFont="1" applyBorder="1"/>
    <xf numFmtId="10" fontId="0" fillId="19" borderId="0" xfId="20" applyNumberFormat="1" applyFont="1" applyFill="1"/>
    <xf numFmtId="10" fontId="0" fillId="0" borderId="0" xfId="20" applyNumberFormat="1" applyFont="1" applyFill="1"/>
    <xf numFmtId="10" fontId="0" fillId="11" borderId="0" xfId="20" applyNumberFormat="1" applyFont="1" applyFill="1"/>
    <xf numFmtId="41" fontId="4" fillId="0" borderId="14" xfId="3" applyFont="1" applyBorder="1"/>
    <xf numFmtId="169" fontId="6" fillId="2" borderId="40" xfId="20" applyNumberFormat="1" applyFont="1" applyFill="1" applyBorder="1" applyAlignment="1" applyProtection="1">
      <alignment horizontal="center"/>
    </xf>
    <xf numFmtId="169" fontId="0" fillId="19" borderId="0" xfId="20" applyNumberFormat="1" applyFont="1" applyFill="1"/>
    <xf numFmtId="41" fontId="0" fillId="0" borderId="14" xfId="3" applyFont="1" applyFill="1" applyBorder="1"/>
    <xf numFmtId="41" fontId="0" fillId="0" borderId="14" xfId="0" applyNumberFormat="1" applyFill="1" applyBorder="1"/>
    <xf numFmtId="2" fontId="0" fillId="0" borderId="0" xfId="20" applyNumberFormat="1" applyFont="1"/>
    <xf numFmtId="5" fontId="0" fillId="19" borderId="0" xfId="13" applyNumberFormat="1" applyFont="1" applyFill="1"/>
    <xf numFmtId="5" fontId="0" fillId="0" borderId="0" xfId="13" applyNumberFormat="1" applyFont="1"/>
    <xf numFmtId="5" fontId="0" fillId="11" borderId="0" xfId="13" applyNumberFormat="1" applyFont="1" applyFill="1"/>
    <xf numFmtId="0" fontId="6" fillId="0" borderId="0" xfId="0" applyFont="1" applyFill="1" applyBorder="1" applyAlignment="1">
      <alignment horizontal="center"/>
    </xf>
    <xf numFmtId="0" fontId="0" fillId="0" borderId="0" xfId="0" applyFill="1" applyBorder="1" applyAlignment="1">
      <alignment horizontal="right"/>
    </xf>
    <xf numFmtId="0" fontId="6" fillId="2" borderId="0" xfId="0" applyFont="1" applyFill="1" applyBorder="1" applyAlignment="1" applyProtection="1"/>
    <xf numFmtId="3" fontId="0" fillId="0" borderId="0" xfId="2" applyNumberFormat="1" applyFont="1"/>
    <xf numFmtId="1" fontId="0" fillId="19" borderId="0" xfId="0" applyNumberFormat="1" applyFill="1"/>
    <xf numFmtId="1" fontId="0" fillId="11" borderId="0" xfId="20" applyNumberFormat="1" applyFont="1" applyFill="1"/>
    <xf numFmtId="0" fontId="4" fillId="0" borderId="0" xfId="0" applyFont="1" applyFill="1" applyBorder="1"/>
    <xf numFmtId="173" fontId="4" fillId="0" borderId="0" xfId="13" applyNumberFormat="1" applyFont="1"/>
    <xf numFmtId="173" fontId="8" fillId="17" borderId="0" xfId="13" applyNumberFormat="1" applyFont="1" applyFill="1"/>
    <xf numFmtId="173" fontId="9" fillId="10" borderId="0" xfId="13" applyNumberFormat="1" applyFont="1" applyFill="1"/>
    <xf numFmtId="173" fontId="5" fillId="0" borderId="0" xfId="13" applyNumberFormat="1" applyFont="1"/>
    <xf numFmtId="173" fontId="5" fillId="0" borderId="14" xfId="13" applyNumberFormat="1" applyFont="1" applyBorder="1"/>
    <xf numFmtId="173" fontId="0" fillId="0" borderId="14" xfId="13" applyNumberFormat="1" applyFont="1" applyBorder="1"/>
    <xf numFmtId="173" fontId="5" fillId="0" borderId="0" xfId="13" applyNumberFormat="1" applyFont="1" applyBorder="1"/>
    <xf numFmtId="0" fontId="5" fillId="0" borderId="0" xfId="0" applyFont="1" applyAlignment="1">
      <alignment horizontal="right"/>
    </xf>
    <xf numFmtId="0" fontId="4" fillId="20" borderId="0" xfId="0" applyFont="1" applyFill="1"/>
    <xf numFmtId="173" fontId="4" fillId="20" borderId="0" xfId="13" applyNumberFormat="1" applyFont="1" applyFill="1"/>
    <xf numFmtId="173" fontId="4" fillId="0" borderId="0" xfId="13" applyNumberFormat="1" applyFont="1" applyBorder="1"/>
    <xf numFmtId="170" fontId="0" fillId="0" borderId="0" xfId="0" applyNumberFormat="1"/>
    <xf numFmtId="170" fontId="0" fillId="0" borderId="14" xfId="0" applyNumberFormat="1" applyBorder="1"/>
    <xf numFmtId="173" fontId="4" fillId="0" borderId="18" xfId="13" applyNumberFormat="1" applyFont="1" applyBorder="1"/>
    <xf numFmtId="169" fontId="5" fillId="0" borderId="0" xfId="20" applyNumberFormat="1" applyFont="1"/>
    <xf numFmtId="173" fontId="4" fillId="0" borderId="14" xfId="13" applyNumberFormat="1" applyFont="1" applyBorder="1"/>
    <xf numFmtId="0" fontId="0" fillId="8" borderId="0" xfId="0" applyFill="1"/>
    <xf numFmtId="0" fontId="5" fillId="0" borderId="0" xfId="0" applyFont="1" applyFill="1"/>
    <xf numFmtId="0" fontId="8" fillId="16" borderId="0" xfId="0" applyFont="1" applyFill="1"/>
    <xf numFmtId="0" fontId="18" fillId="16" borderId="0" xfId="0" applyFont="1" applyFill="1"/>
    <xf numFmtId="0" fontId="18" fillId="16" borderId="0" xfId="0" applyFont="1" applyFill="1" applyAlignment="1">
      <alignment horizontal="right"/>
    </xf>
    <xf numFmtId="173" fontId="18" fillId="16" borderId="0" xfId="13" applyNumberFormat="1" applyFont="1" applyFill="1"/>
    <xf numFmtId="170" fontId="6" fillId="2" borderId="0" xfId="0" applyNumberFormat="1" applyFont="1" applyFill="1" applyBorder="1" applyAlignment="1">
      <alignment horizontal="center"/>
    </xf>
    <xf numFmtId="169" fontId="0" fillId="0" borderId="0" xfId="20" applyNumberFormat="1" applyFont="1" applyFill="1"/>
    <xf numFmtId="167" fontId="0" fillId="0" borderId="0" xfId="2" applyNumberFormat="1" applyFont="1"/>
    <xf numFmtId="167" fontId="0" fillId="11" borderId="0" xfId="2" applyNumberFormat="1" applyFont="1" applyFill="1"/>
    <xf numFmtId="173" fontId="0" fillId="0" borderId="0" xfId="0" applyNumberFormat="1"/>
    <xf numFmtId="41" fontId="0" fillId="19" borderId="0" xfId="0" applyNumberFormat="1" applyFill="1"/>
    <xf numFmtId="169" fontId="6" fillId="2" borderId="0" xfId="20" applyNumberFormat="1" applyFont="1" applyFill="1" applyBorder="1" applyProtection="1"/>
    <xf numFmtId="0" fontId="44" fillId="2" borderId="12" xfId="0" applyFont="1" applyFill="1" applyBorder="1" applyAlignment="1" applyProtection="1">
      <alignment horizontal="left" vertical="center"/>
    </xf>
    <xf numFmtId="0" fontId="37" fillId="2" borderId="0" xfId="0" applyFont="1" applyFill="1" applyBorder="1" applyProtection="1"/>
    <xf numFmtId="0" fontId="37" fillId="2" borderId="13" xfId="0" applyFont="1" applyFill="1" applyBorder="1" applyProtection="1"/>
    <xf numFmtId="169" fontId="6" fillId="3" borderId="40" xfId="20" applyNumberFormat="1" applyFont="1" applyFill="1" applyBorder="1" applyAlignment="1" applyProtection="1">
      <alignment horizontal="center"/>
      <protection locked="0"/>
    </xf>
    <xf numFmtId="0" fontId="6" fillId="2" borderId="29" xfId="0" applyFont="1" applyFill="1" applyBorder="1" applyAlignment="1">
      <alignment horizontal="right"/>
    </xf>
    <xf numFmtId="0" fontId="6" fillId="2" borderId="44" xfId="0" applyFont="1" applyFill="1" applyBorder="1" applyAlignment="1">
      <alignment horizontal="right"/>
    </xf>
    <xf numFmtId="0" fontId="47" fillId="2" borderId="5" xfId="0" applyFont="1" applyFill="1" applyBorder="1" applyAlignment="1">
      <alignment horizontal="left"/>
    </xf>
    <xf numFmtId="10" fontId="0" fillId="0" borderId="0" xfId="3" applyNumberFormat="1" applyFont="1"/>
    <xf numFmtId="10" fontId="0" fillId="18" borderId="0" xfId="20" applyNumberFormat="1" applyFont="1" applyFill="1"/>
    <xf numFmtId="169" fontId="0" fillId="11" borderId="0" xfId="20" applyNumberFormat="1" applyFont="1" applyFill="1"/>
    <xf numFmtId="9" fontId="0" fillId="13" borderId="18" xfId="20" applyFont="1" applyFill="1" applyBorder="1"/>
    <xf numFmtId="167" fontId="0" fillId="0" borderId="18" xfId="20" applyNumberFormat="1" applyFont="1" applyBorder="1"/>
    <xf numFmtId="167" fontId="0" fillId="0" borderId="0" xfId="20" applyNumberFormat="1" applyFont="1" applyBorder="1"/>
    <xf numFmtId="167" fontId="0" fillId="0" borderId="14" xfId="20" applyNumberFormat="1" applyFont="1" applyBorder="1"/>
    <xf numFmtId="9" fontId="0" fillId="13" borderId="21" xfId="20" applyFont="1" applyFill="1" applyBorder="1"/>
    <xf numFmtId="9" fontId="0" fillId="13" borderId="0" xfId="20" applyFont="1" applyFill="1" applyBorder="1"/>
    <xf numFmtId="169" fontId="0" fillId="0" borderId="14" xfId="20" applyNumberFormat="1" applyFont="1" applyBorder="1"/>
    <xf numFmtId="0" fontId="4" fillId="0" borderId="29" xfId="0" applyFont="1" applyBorder="1"/>
    <xf numFmtId="43" fontId="0" fillId="19" borderId="14" xfId="2" applyFont="1" applyFill="1" applyBorder="1"/>
    <xf numFmtId="9" fontId="4" fillId="0" borderId="0" xfId="0" applyNumberFormat="1" applyFont="1"/>
    <xf numFmtId="41" fontId="0" fillId="20" borderId="0" xfId="3" applyFont="1" applyFill="1"/>
    <xf numFmtId="9" fontId="0" fillId="20" borderId="0" xfId="20" applyFont="1" applyFill="1"/>
    <xf numFmtId="41" fontId="4" fillId="20" borderId="0" xfId="3" applyFont="1" applyFill="1"/>
    <xf numFmtId="175" fontId="0" fillId="0" borderId="0" xfId="0" applyNumberFormat="1"/>
    <xf numFmtId="4" fontId="0" fillId="0" borderId="0" xfId="20" applyNumberFormat="1" applyFont="1"/>
    <xf numFmtId="3" fontId="0" fillId="0" borderId="14" xfId="20" applyNumberFormat="1" applyFont="1" applyBorder="1"/>
    <xf numFmtId="178" fontId="0" fillId="0" borderId="0" xfId="0" applyNumberFormat="1"/>
    <xf numFmtId="179" fontId="0" fillId="0" borderId="0" xfId="2" applyNumberFormat="1" applyFont="1"/>
    <xf numFmtId="0" fontId="43" fillId="2" borderId="0" xfId="0" applyFont="1" applyFill="1" applyBorder="1" applyAlignment="1">
      <alignment horizontal="left"/>
    </xf>
    <xf numFmtId="0" fontId="6" fillId="2" borderId="50" xfId="0" applyFont="1" applyFill="1" applyBorder="1" applyAlignment="1">
      <alignment horizontal="center"/>
    </xf>
    <xf numFmtId="0" fontId="6" fillId="2" borderId="50" xfId="0" applyFont="1" applyFill="1" applyBorder="1"/>
    <xf numFmtId="10" fontId="4" fillId="0" borderId="0" xfId="20" applyNumberFormat="1" applyFont="1" applyBorder="1"/>
    <xf numFmtId="9" fontId="4" fillId="0" borderId="0" xfId="20" applyFont="1" applyBorder="1"/>
    <xf numFmtId="41" fontId="5" fillId="26" borderId="0" xfId="3" applyNumberFormat="1" applyFont="1" applyFill="1" applyBorder="1"/>
    <xf numFmtId="3" fontId="0" fillId="0" borderId="17" xfId="0" applyNumberFormat="1" applyBorder="1"/>
    <xf numFmtId="3" fontId="0" fillId="0" borderId="12" xfId="0" applyNumberFormat="1" applyBorder="1"/>
    <xf numFmtId="3" fontId="0" fillId="0" borderId="15" xfId="0" applyNumberFormat="1" applyBorder="1"/>
    <xf numFmtId="10" fontId="0" fillId="13" borderId="17" xfId="20" applyNumberFormat="1" applyFont="1" applyFill="1" applyBorder="1"/>
    <xf numFmtId="10" fontId="0" fillId="13" borderId="18" xfId="20" applyNumberFormat="1" applyFont="1" applyFill="1" applyBorder="1"/>
    <xf numFmtId="10" fontId="0" fillId="13" borderId="21" xfId="20" applyNumberFormat="1" applyFont="1" applyFill="1" applyBorder="1"/>
    <xf numFmtId="10" fontId="0" fillId="13" borderId="12" xfId="20" applyNumberFormat="1" applyFont="1" applyFill="1" applyBorder="1"/>
    <xf numFmtId="10" fontId="0" fillId="13" borderId="0" xfId="20" applyNumberFormat="1" applyFont="1" applyFill="1" applyBorder="1"/>
    <xf numFmtId="10" fontId="0" fillId="13" borderId="13" xfId="20" applyNumberFormat="1" applyFont="1" applyFill="1" applyBorder="1"/>
    <xf numFmtId="10" fontId="0" fillId="13" borderId="15" xfId="20" applyNumberFormat="1" applyFont="1" applyFill="1" applyBorder="1"/>
    <xf numFmtId="10" fontId="0" fillId="13" borderId="16" xfId="20" applyNumberFormat="1" applyFont="1" applyFill="1" applyBorder="1"/>
    <xf numFmtId="5" fontId="6" fillId="2" borderId="40" xfId="13" applyNumberFormat="1" applyFont="1" applyFill="1" applyBorder="1" applyAlignment="1" applyProtection="1">
      <alignment horizontal="center"/>
    </xf>
    <xf numFmtId="0" fontId="6" fillId="2" borderId="19" xfId="0" applyFont="1" applyFill="1" applyBorder="1" applyAlignment="1" applyProtection="1">
      <alignment horizontal="center"/>
    </xf>
    <xf numFmtId="0" fontId="6" fillId="2" borderId="0" xfId="0" applyFont="1" applyFill="1" applyBorder="1" applyAlignment="1" applyProtection="1">
      <alignment horizontal="left"/>
    </xf>
    <xf numFmtId="3" fontId="6" fillId="2" borderId="40" xfId="0" applyNumberFormat="1" applyFont="1" applyFill="1" applyBorder="1" applyAlignment="1" applyProtection="1">
      <alignment horizontal="center"/>
    </xf>
    <xf numFmtId="169" fontId="6" fillId="2" borderId="0" xfId="0" applyNumberFormat="1" applyFont="1" applyFill="1" applyBorder="1" applyAlignment="1" applyProtection="1">
      <alignment horizontal="center"/>
    </xf>
    <xf numFmtId="1" fontId="6" fillId="2" borderId="40" xfId="2" applyNumberFormat="1" applyFont="1" applyFill="1" applyBorder="1" applyAlignment="1" applyProtection="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48" fillId="0" borderId="0" xfId="0" applyFont="1" applyFill="1"/>
    <xf numFmtId="0" fontId="48" fillId="0" borderId="0" xfId="0" applyFont="1" applyFill="1" applyBorder="1"/>
    <xf numFmtId="0" fontId="48" fillId="0" borderId="0" xfId="0" applyFont="1" applyFill="1" applyBorder="1" applyAlignment="1">
      <alignment horizontal="center"/>
    </xf>
    <xf numFmtId="0" fontId="48" fillId="0" borderId="22" xfId="0" applyFont="1" applyFill="1" applyBorder="1" applyAlignment="1">
      <alignment horizontal="center"/>
    </xf>
    <xf numFmtId="0" fontId="49" fillId="0" borderId="0" xfId="0" applyFont="1" applyFill="1"/>
    <xf numFmtId="173" fontId="48" fillId="0" borderId="0" xfId="13" applyNumberFormat="1" applyFont="1" applyFill="1" applyBorder="1" applyAlignment="1">
      <alignment horizontal="right"/>
    </xf>
    <xf numFmtId="173" fontId="48" fillId="0" borderId="22" xfId="13" applyNumberFormat="1" applyFont="1" applyFill="1" applyBorder="1" applyAlignment="1">
      <alignment horizontal="right"/>
    </xf>
    <xf numFmtId="169" fontId="48" fillId="0" borderId="0" xfId="20" applyNumberFormat="1" applyFont="1" applyFill="1" applyBorder="1" applyAlignment="1">
      <alignment horizontal="right"/>
    </xf>
    <xf numFmtId="169" fontId="48" fillId="0" borderId="22" xfId="20" applyNumberFormat="1" applyFont="1" applyFill="1" applyBorder="1" applyAlignment="1">
      <alignment horizontal="right"/>
    </xf>
    <xf numFmtId="169" fontId="48" fillId="0" borderId="0" xfId="20" applyNumberFormat="1" applyFont="1" applyFill="1" applyBorder="1" applyAlignment="1">
      <alignment horizontal="center"/>
    </xf>
    <xf numFmtId="169" fontId="48" fillId="0" borderId="22" xfId="20" applyNumberFormat="1" applyFont="1" applyFill="1" applyBorder="1" applyAlignment="1">
      <alignment horizontal="center"/>
    </xf>
    <xf numFmtId="0" fontId="48" fillId="0" borderId="22" xfId="0" applyFont="1" applyFill="1" applyBorder="1"/>
    <xf numFmtId="173" fontId="48" fillId="0" borderId="0" xfId="13" applyNumberFormat="1" applyFont="1" applyFill="1" applyBorder="1"/>
    <xf numFmtId="173" fontId="48" fillId="0" borderId="22" xfId="13" applyNumberFormat="1" applyFont="1" applyFill="1" applyBorder="1"/>
    <xf numFmtId="0" fontId="48" fillId="0" borderId="23" xfId="0" applyFont="1" applyFill="1" applyBorder="1"/>
    <xf numFmtId="0" fontId="48" fillId="0" borderId="24" xfId="0" applyFont="1" applyFill="1" applyBorder="1"/>
    <xf numFmtId="0" fontId="51" fillId="0" borderId="0" xfId="0" applyFont="1" applyFill="1" applyBorder="1"/>
    <xf numFmtId="173" fontId="48" fillId="0" borderId="0" xfId="0" applyNumberFormat="1" applyFont="1" applyFill="1" applyBorder="1"/>
    <xf numFmtId="173" fontId="48" fillId="0" borderId="22" xfId="0" applyNumberFormat="1" applyFont="1" applyFill="1" applyBorder="1"/>
    <xf numFmtId="44" fontId="48" fillId="0" borderId="0" xfId="13" applyNumberFormat="1" applyFont="1" applyFill="1" applyBorder="1"/>
    <xf numFmtId="44" fontId="48" fillId="0" borderId="22" xfId="13" applyNumberFormat="1" applyFont="1" applyFill="1" applyBorder="1"/>
    <xf numFmtId="3" fontId="48" fillId="0" borderId="0" xfId="0" applyNumberFormat="1" applyFont="1" applyFill="1" applyBorder="1"/>
    <xf numFmtId="3" fontId="48" fillId="0" borderId="22" xfId="0" applyNumberFormat="1" applyFont="1" applyFill="1" applyBorder="1"/>
    <xf numFmtId="169" fontId="48" fillId="0" borderId="0" xfId="20" applyNumberFormat="1" applyFont="1" applyFill="1" applyBorder="1"/>
    <xf numFmtId="169" fontId="48" fillId="0" borderId="22" xfId="20" applyNumberFormat="1" applyFont="1" applyFill="1" applyBorder="1"/>
    <xf numFmtId="0" fontId="52" fillId="0" borderId="0" xfId="0" applyFont="1" applyFill="1"/>
    <xf numFmtId="0" fontId="53" fillId="0" borderId="0" xfId="0" applyFont="1" applyFill="1"/>
    <xf numFmtId="0" fontId="54" fillId="0" borderId="0" xfId="0" applyFont="1" applyFill="1"/>
    <xf numFmtId="0" fontId="20" fillId="0" borderId="0" xfId="0" applyFont="1" applyFill="1"/>
    <xf numFmtId="0" fontId="45" fillId="0" borderId="0" xfId="0" applyFont="1"/>
    <xf numFmtId="0" fontId="55" fillId="0" borderId="0" xfId="0" applyFont="1" applyFill="1" applyBorder="1"/>
    <xf numFmtId="0" fontId="55" fillId="0" borderId="13" xfId="0" applyFont="1" applyBorder="1"/>
    <xf numFmtId="0" fontId="55" fillId="0" borderId="0" xfId="0" applyFont="1"/>
    <xf numFmtId="0" fontId="55" fillId="0" borderId="12" xfId="0" applyFont="1" applyBorder="1"/>
    <xf numFmtId="0" fontId="55" fillId="0" borderId="0" xfId="0" applyFont="1" applyBorder="1"/>
    <xf numFmtId="0" fontId="0" fillId="2" borderId="12" xfId="0" applyFill="1" applyBorder="1"/>
    <xf numFmtId="170" fontId="6" fillId="2" borderId="40" xfId="0" applyNumberFormat="1" applyFont="1" applyFill="1" applyBorder="1" applyAlignment="1" applyProtection="1">
      <alignment horizontal="center"/>
    </xf>
    <xf numFmtId="1" fontId="0" fillId="19" borderId="0" xfId="0" applyNumberFormat="1" applyFill="1" applyAlignment="1"/>
    <xf numFmtId="1" fontId="0" fillId="19" borderId="0" xfId="3" applyNumberFormat="1" applyFont="1" applyFill="1" applyAlignment="1"/>
    <xf numFmtId="1" fontId="8" fillId="17" borderId="0" xfId="2" applyNumberFormat="1" applyFont="1" applyFill="1"/>
    <xf numFmtId="1" fontId="0" fillId="0" borderId="0" xfId="2" applyNumberFormat="1" applyFont="1"/>
    <xf numFmtId="1" fontId="4" fillId="0" borderId="0" xfId="2" applyNumberFormat="1" applyFont="1"/>
    <xf numFmtId="1" fontId="0" fillId="16" borderId="0" xfId="2" applyNumberFormat="1" applyFont="1" applyFill="1"/>
    <xf numFmtId="169" fontId="0" fillId="18" borderId="0" xfId="20" applyNumberFormat="1" applyFont="1" applyFill="1"/>
    <xf numFmtId="180" fontId="0" fillId="0" borderId="0" xfId="0" applyNumberFormat="1"/>
    <xf numFmtId="169" fontId="0" fillId="13" borderId="17" xfId="20" applyNumberFormat="1" applyFont="1" applyFill="1" applyBorder="1"/>
    <xf numFmtId="169" fontId="0" fillId="13" borderId="12" xfId="20" applyNumberFormat="1" applyFont="1" applyFill="1" applyBorder="1"/>
    <xf numFmtId="169" fontId="0" fillId="13" borderId="0" xfId="20" applyNumberFormat="1" applyFont="1" applyFill="1" applyBorder="1"/>
    <xf numFmtId="169" fontId="0" fillId="13" borderId="14" xfId="20" applyNumberFormat="1" applyFont="1" applyFill="1" applyBorder="1"/>
    <xf numFmtId="181" fontId="0" fillId="0" borderId="14" xfId="0" applyNumberFormat="1" applyBorder="1"/>
    <xf numFmtId="177" fontId="0" fillId="0" borderId="0" xfId="0" applyNumberFormat="1"/>
    <xf numFmtId="0" fontId="0" fillId="26" borderId="0" xfId="0" applyFill="1"/>
    <xf numFmtId="9" fontId="0" fillId="26" borderId="0" xfId="0" applyNumberFormat="1" applyFill="1"/>
    <xf numFmtId="3" fontId="0" fillId="26" borderId="0" xfId="0" applyNumberFormat="1" applyFill="1"/>
    <xf numFmtId="0" fontId="6" fillId="2" borderId="51" xfId="0" applyFont="1" applyFill="1" applyBorder="1"/>
    <xf numFmtId="0" fontId="6" fillId="2" borderId="19" xfId="0" applyFont="1" applyFill="1" applyBorder="1"/>
    <xf numFmtId="0" fontId="45" fillId="2" borderId="0" xfId="0" applyFont="1" applyFill="1" applyBorder="1" applyAlignment="1">
      <alignment horizontal="right"/>
    </xf>
    <xf numFmtId="169" fontId="4" fillId="19" borderId="0" xfId="20" applyNumberFormat="1" applyFont="1" applyFill="1"/>
    <xf numFmtId="169" fontId="4" fillId="0" borderId="0" xfId="20" applyNumberFormat="1" applyFont="1" applyFill="1"/>
    <xf numFmtId="169" fontId="4" fillId="11" borderId="0" xfId="20" applyNumberFormat="1" applyFont="1" applyFill="1"/>
    <xf numFmtId="169" fontId="0" fillId="0" borderId="0" xfId="0" applyNumberFormat="1"/>
    <xf numFmtId="1" fontId="0" fillId="19" borderId="0" xfId="20" applyNumberFormat="1" applyFont="1" applyFill="1" applyAlignment="1"/>
    <xf numFmtId="0" fontId="6" fillId="2" borderId="51" xfId="0" applyFont="1" applyFill="1" applyBorder="1" applyProtection="1"/>
    <xf numFmtId="0" fontId="6" fillId="2" borderId="19" xfId="0" applyFont="1" applyFill="1" applyBorder="1" applyProtection="1"/>
    <xf numFmtId="0" fontId="6" fillId="2" borderId="52" xfId="0" applyFont="1" applyFill="1" applyBorder="1" applyProtection="1"/>
    <xf numFmtId="169" fontId="6" fillId="2" borderId="40" xfId="0" applyNumberFormat="1" applyFont="1" applyFill="1" applyBorder="1" applyAlignment="1">
      <alignment horizontal="center" vertical="center"/>
    </xf>
    <xf numFmtId="169" fontId="6" fillId="2" borderId="0" xfId="20" applyNumberFormat="1" applyFont="1" applyFill="1" applyBorder="1" applyAlignment="1" applyProtection="1">
      <alignment horizontal="center"/>
    </xf>
    <xf numFmtId="0" fontId="43" fillId="2" borderId="0" xfId="0" applyFont="1" applyFill="1" applyBorder="1" applyProtection="1"/>
    <xf numFmtId="0" fontId="43" fillId="2" borderId="14" xfId="0" applyFont="1" applyFill="1" applyBorder="1" applyAlignment="1" applyProtection="1">
      <alignment horizontal="center"/>
    </xf>
    <xf numFmtId="0" fontId="43" fillId="2" borderId="19" xfId="0" applyFont="1" applyFill="1" applyBorder="1" applyAlignment="1" applyProtection="1">
      <alignment horizontal="center"/>
    </xf>
    <xf numFmtId="0" fontId="6" fillId="2" borderId="14" xfId="0" applyFont="1" applyFill="1" applyBorder="1" applyAlignment="1" applyProtection="1"/>
    <xf numFmtId="0" fontId="43" fillId="2" borderId="14" xfId="0" applyFont="1" applyFill="1" applyBorder="1" applyAlignment="1" applyProtection="1"/>
    <xf numFmtId="0" fontId="43" fillId="2" borderId="0" xfId="0" applyFont="1" applyFill="1" applyBorder="1" applyAlignment="1" applyProtection="1"/>
    <xf numFmtId="0" fontId="6" fillId="13" borderId="0" xfId="0" applyFont="1" applyFill="1"/>
    <xf numFmtId="0" fontId="6" fillId="13" borderId="0" xfId="0" applyFont="1" applyFill="1" applyAlignment="1">
      <alignment horizontal="right"/>
    </xf>
    <xf numFmtId="10" fontId="6" fillId="13" borderId="0" xfId="0" applyNumberFormat="1" applyFont="1" applyFill="1"/>
    <xf numFmtId="9" fontId="0" fillId="0" borderId="0" xfId="0" applyNumberFormat="1" applyAlignment="1">
      <alignment horizontal="right"/>
    </xf>
    <xf numFmtId="0" fontId="0" fillId="0" borderId="14" xfId="0" applyBorder="1" applyAlignment="1">
      <alignment horizontal="right"/>
    </xf>
    <xf numFmtId="0" fontId="12" fillId="2" borderId="0" xfId="0" applyFont="1" applyFill="1" applyBorder="1"/>
    <xf numFmtId="0" fontId="6" fillId="2" borderId="19" xfId="0" applyFont="1" applyFill="1" applyBorder="1" applyAlignment="1">
      <alignment horizontal="right"/>
    </xf>
    <xf numFmtId="173" fontId="0" fillId="14" borderId="0" xfId="13" applyNumberFormat="1" applyFont="1" applyFill="1"/>
    <xf numFmtId="169" fontId="0" fillId="0" borderId="14" xfId="20" applyNumberFormat="1" applyFont="1" applyFill="1" applyBorder="1"/>
    <xf numFmtId="181" fontId="0" fillId="0" borderId="0" xfId="0" applyNumberFormat="1" applyBorder="1"/>
    <xf numFmtId="173" fontId="0" fillId="15" borderId="0" xfId="13" applyNumberFormat="1" applyFont="1" applyFill="1"/>
    <xf numFmtId="169" fontId="0" fillId="26" borderId="0" xfId="0" applyNumberFormat="1" applyFill="1"/>
    <xf numFmtId="167" fontId="0" fillId="0" borderId="0" xfId="0" applyNumberFormat="1"/>
    <xf numFmtId="0" fontId="3" fillId="13" borderId="0" xfId="0" applyFont="1" applyFill="1"/>
    <xf numFmtId="3" fontId="0" fillId="0" borderId="0" xfId="13" applyNumberFormat="1" applyFont="1"/>
    <xf numFmtId="43" fontId="5" fillId="0" borderId="0" xfId="0" applyNumberFormat="1" applyFont="1"/>
    <xf numFmtId="169" fontId="0" fillId="26" borderId="0" xfId="20" applyNumberFormat="1" applyFont="1" applyFill="1"/>
    <xf numFmtId="0" fontId="0" fillId="20" borderId="0" xfId="0" applyFill="1" applyAlignment="1">
      <alignment horizontal="right"/>
    </xf>
    <xf numFmtId="0" fontId="0" fillId="0" borderId="53" xfId="0" applyBorder="1"/>
    <xf numFmtId="0" fontId="0" fillId="0" borderId="54" xfId="0" applyBorder="1"/>
    <xf numFmtId="0" fontId="4" fillId="0" borderId="54" xfId="0" applyFont="1" applyBorder="1" applyAlignment="1">
      <alignment horizontal="right"/>
    </xf>
    <xf numFmtId="10" fontId="3" fillId="0" borderId="54" xfId="20" applyNumberFormat="1" applyBorder="1" applyAlignment="1">
      <alignment horizontal="center"/>
    </xf>
    <xf numFmtId="0" fontId="0" fillId="0" borderId="55" xfId="0" applyBorder="1"/>
    <xf numFmtId="169" fontId="3" fillId="20" borderId="25" xfId="20" applyNumberFormat="1" applyFont="1" applyFill="1" applyBorder="1" applyAlignment="1">
      <alignment horizontal="center"/>
    </xf>
    <xf numFmtId="169" fontId="3" fillId="0" borderId="0" xfId="20" applyNumberFormat="1" applyBorder="1" applyAlignment="1">
      <alignment horizontal="center"/>
    </xf>
    <xf numFmtId="169" fontId="3" fillId="0" borderId="25" xfId="20" applyNumberFormat="1" applyBorder="1" applyAlignment="1">
      <alignment horizontal="center"/>
    </xf>
    <xf numFmtId="44" fontId="0" fillId="18" borderId="0" xfId="13" applyFont="1" applyFill="1"/>
    <xf numFmtId="0" fontId="58" fillId="2" borderId="0" xfId="0" applyFont="1" applyFill="1" applyBorder="1" applyAlignment="1">
      <alignment horizontal="right"/>
    </xf>
    <xf numFmtId="0" fontId="43" fillId="2" borderId="20" xfId="0" applyFont="1" applyFill="1" applyBorder="1" applyProtection="1"/>
    <xf numFmtId="1" fontId="0" fillId="0" borderId="0" xfId="20" applyNumberFormat="1" applyFont="1"/>
    <xf numFmtId="1" fontId="0" fillId="19" borderId="0" xfId="13" applyNumberFormat="1" applyFont="1" applyFill="1"/>
    <xf numFmtId="0" fontId="46" fillId="10" borderId="0" xfId="0" applyFont="1" applyFill="1"/>
    <xf numFmtId="169" fontId="48" fillId="0" borderId="0" xfId="0" applyNumberFormat="1" applyFont="1" applyFill="1" applyBorder="1" applyAlignment="1">
      <alignment horizontal="center"/>
    </xf>
    <xf numFmtId="169" fontId="48" fillId="0" borderId="0" xfId="0" applyNumberFormat="1" applyFont="1" applyFill="1" applyBorder="1"/>
    <xf numFmtId="169" fontId="48" fillId="0" borderId="22" xfId="0" applyNumberFormat="1" applyFont="1" applyFill="1" applyBorder="1" applyAlignment="1">
      <alignment horizontal="center"/>
    </xf>
    <xf numFmtId="169" fontId="0" fillId="13" borderId="0" xfId="20" applyNumberFormat="1" applyFont="1" applyFill="1"/>
    <xf numFmtId="10" fontId="3" fillId="0" borderId="29" xfId="20" applyNumberFormat="1" applyBorder="1" applyAlignment="1">
      <alignment horizontal="center"/>
    </xf>
    <xf numFmtId="10" fontId="3" fillId="0" borderId="25" xfId="20" applyNumberFormat="1" applyFont="1" applyFill="1" applyBorder="1" applyAlignment="1">
      <alignment horizontal="center"/>
    </xf>
    <xf numFmtId="10" fontId="0" fillId="13" borderId="0" xfId="0" applyNumberFormat="1" applyFill="1"/>
    <xf numFmtId="173" fontId="5" fillId="0" borderId="0" xfId="0" applyNumberFormat="1" applyFont="1" applyAlignment="1">
      <alignment horizontal="right"/>
    </xf>
    <xf numFmtId="43" fontId="5" fillId="0" borderId="0" xfId="0" applyNumberFormat="1" applyFont="1" applyAlignment="1">
      <alignment horizontal="right"/>
    </xf>
    <xf numFmtId="173" fontId="48" fillId="0" borderId="0" xfId="0" applyNumberFormat="1" applyFont="1" applyFill="1" applyBorder="1" applyAlignment="1">
      <alignment horizontal="center"/>
    </xf>
    <xf numFmtId="10" fontId="3" fillId="0" borderId="0" xfId="20" applyNumberFormat="1" applyFont="1" applyFill="1" applyBorder="1" applyAlignment="1">
      <alignment horizontal="center"/>
    </xf>
    <xf numFmtId="170" fontId="3" fillId="0" borderId="25" xfId="20" applyNumberFormat="1" applyFont="1" applyFill="1" applyBorder="1" applyAlignment="1">
      <alignment horizontal="center"/>
    </xf>
    <xf numFmtId="3" fontId="3" fillId="0" borderId="25" xfId="20" applyNumberFormat="1" applyFont="1" applyFill="1" applyBorder="1" applyAlignment="1">
      <alignment horizontal="center"/>
    </xf>
    <xf numFmtId="169" fontId="3" fillId="0" borderId="25" xfId="20" applyNumberFormat="1" applyFont="1" applyFill="1" applyBorder="1" applyAlignment="1">
      <alignment horizontal="center"/>
    </xf>
    <xf numFmtId="0" fontId="6" fillId="2" borderId="57" xfId="0" applyFont="1" applyFill="1" applyBorder="1"/>
    <xf numFmtId="0" fontId="6" fillId="2" borderId="58" xfId="0" applyFont="1" applyFill="1" applyBorder="1" applyAlignment="1">
      <alignment horizontal="right"/>
    </xf>
    <xf numFmtId="0" fontId="6" fillId="2" borderId="58" xfId="0" applyFont="1" applyFill="1" applyBorder="1"/>
    <xf numFmtId="169" fontId="6" fillId="2" borderId="0" xfId="20" applyNumberFormat="1" applyFont="1" applyFill="1" applyBorder="1" applyAlignment="1">
      <alignment horizontal="center"/>
    </xf>
    <xf numFmtId="1" fontId="0" fillId="20" borderId="0" xfId="0" applyNumberFormat="1" applyFill="1" applyAlignment="1"/>
    <xf numFmtId="169" fontId="0" fillId="15" borderId="0" xfId="3" applyNumberFormat="1" applyFont="1" applyFill="1"/>
    <xf numFmtId="182" fontId="0" fillId="0" borderId="0" xfId="2" applyNumberFormat="1" applyFont="1"/>
    <xf numFmtId="5" fontId="0" fillId="0" borderId="0" xfId="3" applyNumberFormat="1" applyFont="1"/>
    <xf numFmtId="0" fontId="47" fillId="2" borderId="29" xfId="0" applyFont="1" applyFill="1" applyBorder="1" applyAlignment="1">
      <alignment horizontal="left"/>
    </xf>
    <xf numFmtId="3" fontId="6" fillId="0" borderId="0" xfId="0" applyNumberFormat="1" applyFont="1" applyFill="1" applyBorder="1"/>
    <xf numFmtId="37" fontId="0" fillId="0" borderId="0" xfId="0" applyNumberFormat="1"/>
    <xf numFmtId="169" fontId="6" fillId="0" borderId="0" xfId="0" applyNumberFormat="1" applyFont="1" applyFill="1" applyBorder="1" applyAlignment="1">
      <alignment horizontal="center"/>
    </xf>
    <xf numFmtId="169" fontId="6" fillId="2" borderId="0" xfId="0" applyNumberFormat="1" applyFont="1" applyFill="1" applyBorder="1" applyAlignment="1">
      <alignment horizontal="right"/>
    </xf>
    <xf numFmtId="0" fontId="6" fillId="2" borderId="0" xfId="0" applyFont="1" applyFill="1" applyBorder="1" applyAlignment="1"/>
    <xf numFmtId="0" fontId="0" fillId="21" borderId="0" xfId="0" applyFill="1"/>
    <xf numFmtId="0" fontId="4" fillId="21" borderId="0" xfId="0" applyFont="1" applyFill="1"/>
    <xf numFmtId="0" fontId="0" fillId="21" borderId="0" xfId="0" applyNumberFormat="1" applyFill="1"/>
    <xf numFmtId="9" fontId="0" fillId="21" borderId="0" xfId="0" applyNumberFormat="1" applyFill="1"/>
    <xf numFmtId="0" fontId="6" fillId="24" borderId="59" xfId="0" applyFont="1" applyFill="1" applyBorder="1"/>
    <xf numFmtId="0" fontId="0" fillId="21" borderId="12" xfId="0" applyFill="1" applyBorder="1"/>
    <xf numFmtId="0" fontId="0" fillId="21" borderId="13" xfId="0" applyFill="1" applyBorder="1"/>
    <xf numFmtId="0" fontId="6" fillId="24" borderId="17" xfId="0" applyFont="1" applyFill="1" applyBorder="1"/>
    <xf numFmtId="0" fontId="6" fillId="24" borderId="18" xfId="0" applyFont="1" applyFill="1" applyBorder="1"/>
    <xf numFmtId="0" fontId="6" fillId="24" borderId="60" xfId="0" applyFont="1" applyFill="1" applyBorder="1"/>
    <xf numFmtId="0" fontId="6" fillId="24" borderId="0" xfId="0" applyFont="1" applyFill="1" applyBorder="1"/>
    <xf numFmtId="0" fontId="6" fillId="24" borderId="61" xfId="0" applyFont="1" applyFill="1" applyBorder="1"/>
    <xf numFmtId="0" fontId="6" fillId="24" borderId="62" xfId="0" applyFont="1" applyFill="1" applyBorder="1"/>
    <xf numFmtId="0" fontId="6" fillId="24" borderId="63" xfId="0" applyFont="1" applyFill="1" applyBorder="1"/>
    <xf numFmtId="167" fontId="0" fillId="20" borderId="0" xfId="0" applyNumberFormat="1" applyFill="1"/>
    <xf numFmtId="167" fontId="0" fillId="20" borderId="0" xfId="2" applyNumberFormat="1" applyFont="1" applyFill="1"/>
    <xf numFmtId="3" fontId="61" fillId="2" borderId="0" xfId="0" applyNumberFormat="1" applyFont="1" applyFill="1" applyBorder="1" applyAlignment="1">
      <alignment horizontal="center"/>
    </xf>
    <xf numFmtId="167" fontId="4" fillId="0" borderId="0" xfId="0" applyNumberFormat="1" applyFont="1"/>
    <xf numFmtId="9" fontId="0" fillId="0" borderId="25" xfId="0" applyNumberFormat="1" applyBorder="1" applyAlignment="1">
      <alignment horizontal="right"/>
    </xf>
    <xf numFmtId="3" fontId="61" fillId="2" borderId="0" xfId="0" applyNumberFormat="1" applyFont="1" applyFill="1" applyBorder="1" applyAlignment="1" applyProtection="1">
      <alignment horizontal="center"/>
      <protection locked="0"/>
    </xf>
    <xf numFmtId="0" fontId="13" fillId="24" borderId="17" xfId="0" applyFont="1" applyFill="1" applyBorder="1"/>
    <xf numFmtId="0" fontId="13" fillId="24" borderId="18" xfId="0" applyFont="1" applyFill="1" applyBorder="1"/>
    <xf numFmtId="0" fontId="62" fillId="24" borderId="18" xfId="0" applyFont="1" applyFill="1" applyBorder="1" applyAlignment="1">
      <alignment horizontal="center"/>
    </xf>
    <xf numFmtId="0" fontId="62" fillId="24" borderId="18" xfId="0" applyFont="1" applyFill="1" applyBorder="1"/>
    <xf numFmtId="169" fontId="62" fillId="24" borderId="18" xfId="0" applyNumberFormat="1" applyFont="1" applyFill="1" applyBorder="1" applyAlignment="1">
      <alignment horizontal="center"/>
    </xf>
    <xf numFmtId="0" fontId="13" fillId="24" borderId="60" xfId="0" applyFont="1" applyFill="1" applyBorder="1"/>
    <xf numFmtId="0" fontId="13" fillId="24" borderId="12" xfId="0" applyFont="1" applyFill="1" applyBorder="1"/>
    <xf numFmtId="0" fontId="13" fillId="24" borderId="0" xfId="0" applyFont="1" applyFill="1" applyBorder="1"/>
    <xf numFmtId="0" fontId="62" fillId="24" borderId="0" xfId="0" applyFont="1" applyFill="1" applyBorder="1" applyAlignment="1">
      <alignment horizontal="center"/>
    </xf>
    <xf numFmtId="0" fontId="62" fillId="24" borderId="0" xfId="0" applyFont="1" applyFill="1" applyBorder="1"/>
    <xf numFmtId="169" fontId="62" fillId="24" borderId="0" xfId="0" applyNumberFormat="1" applyFont="1" applyFill="1" applyBorder="1" applyAlignment="1">
      <alignment horizontal="center"/>
    </xf>
    <xf numFmtId="0" fontId="13" fillId="24" borderId="61" xfId="0" applyFont="1" applyFill="1" applyBorder="1"/>
    <xf numFmtId="0" fontId="62" fillId="24" borderId="12" xfId="0" applyFont="1" applyFill="1" applyBorder="1" applyAlignment="1">
      <alignment horizontal="center"/>
    </xf>
    <xf numFmtId="0" fontId="13" fillId="24" borderId="0" xfId="0" applyFont="1" applyFill="1" applyBorder="1" applyAlignment="1">
      <alignment horizontal="right"/>
    </xf>
    <xf numFmtId="169" fontId="13" fillId="24" borderId="25" xfId="20" applyNumberFormat="1" applyFont="1" applyFill="1" applyBorder="1" applyAlignment="1">
      <alignment horizontal="center"/>
    </xf>
    <xf numFmtId="37" fontId="13" fillId="24" borderId="25" xfId="0" applyNumberFormat="1" applyFont="1" applyFill="1" applyBorder="1" applyAlignment="1">
      <alignment horizontal="center"/>
    </xf>
    <xf numFmtId="0" fontId="13" fillId="24" borderId="59" xfId="0" applyFont="1" applyFill="1" applyBorder="1"/>
    <xf numFmtId="0" fontId="13" fillId="24" borderId="62" xfId="0" applyFont="1" applyFill="1" applyBorder="1"/>
    <xf numFmtId="0" fontId="13" fillId="24" borderId="62" xfId="0" applyFont="1" applyFill="1" applyBorder="1" applyAlignment="1">
      <alignment horizontal="right"/>
    </xf>
    <xf numFmtId="0" fontId="62" fillId="24" borderId="62" xfId="0" applyFont="1" applyFill="1" applyBorder="1"/>
    <xf numFmtId="169" fontId="62" fillId="24" borderId="62" xfId="0" applyNumberFormat="1" applyFont="1" applyFill="1" applyBorder="1" applyAlignment="1">
      <alignment horizontal="center"/>
    </xf>
    <xf numFmtId="0" fontId="13" fillId="24" borderId="63" xfId="0" applyFont="1" applyFill="1" applyBorder="1"/>
    <xf numFmtId="167" fontId="5" fillId="0" borderId="0" xfId="2" applyNumberFormat="1" applyFont="1"/>
    <xf numFmtId="43" fontId="0" fillId="0" borderId="0" xfId="0" applyNumberFormat="1"/>
    <xf numFmtId="9" fontId="0" fillId="21" borderId="0" xfId="20" applyFont="1" applyFill="1"/>
    <xf numFmtId="167" fontId="0" fillId="19" borderId="0" xfId="0" applyNumberFormat="1" applyFill="1"/>
    <xf numFmtId="0" fontId="56" fillId="20" borderId="0" xfId="0" applyFont="1" applyFill="1" applyAlignment="1">
      <alignment horizontal="right"/>
    </xf>
    <xf numFmtId="169" fontId="45" fillId="24" borderId="18" xfId="0" applyNumberFormat="1" applyFont="1" applyFill="1" applyBorder="1" applyAlignment="1">
      <alignment horizontal="center"/>
    </xf>
    <xf numFmtId="0" fontId="45" fillId="24" borderId="0" xfId="0" applyFont="1" applyFill="1" applyBorder="1"/>
    <xf numFmtId="0" fontId="45" fillId="24" borderId="18" xfId="0" applyFont="1" applyFill="1" applyBorder="1"/>
    <xf numFmtId="169" fontId="45" fillId="24" borderId="0" xfId="0" applyNumberFormat="1" applyFont="1" applyFill="1" applyBorder="1" applyAlignment="1">
      <alignment horizontal="center"/>
    </xf>
    <xf numFmtId="0" fontId="6" fillId="24" borderId="62" xfId="0" applyFont="1" applyFill="1" applyBorder="1" applyAlignment="1">
      <alignment horizontal="right"/>
    </xf>
    <xf numFmtId="0" fontId="45" fillId="24" borderId="62" xfId="0" applyFont="1" applyFill="1" applyBorder="1"/>
    <xf numFmtId="169" fontId="45" fillId="24" borderId="62" xfId="0" applyNumberFormat="1" applyFont="1" applyFill="1" applyBorder="1" applyAlignment="1">
      <alignment horizontal="center"/>
    </xf>
    <xf numFmtId="170" fontId="0" fillId="0" borderId="0" xfId="0" applyNumberFormat="1" applyBorder="1"/>
    <xf numFmtId="0" fontId="63" fillId="2" borderId="0" xfId="0" applyFont="1" applyFill="1" applyBorder="1" applyAlignment="1" applyProtection="1">
      <alignment horizontal="center"/>
    </xf>
    <xf numFmtId="0" fontId="4" fillId="0" borderId="64" xfId="0" applyFont="1" applyBorder="1"/>
    <xf numFmtId="0" fontId="0" fillId="9" borderId="65" xfId="0" applyFill="1" applyBorder="1"/>
    <xf numFmtId="0" fontId="4" fillId="9" borderId="0" xfId="0" applyFont="1" applyFill="1" applyBorder="1"/>
    <xf numFmtId="9" fontId="0" fillId="9" borderId="65" xfId="20" applyFont="1" applyFill="1" applyBorder="1"/>
    <xf numFmtId="0" fontId="4" fillId="9" borderId="0" xfId="0" applyFont="1" applyFill="1"/>
    <xf numFmtId="0" fontId="5" fillId="9" borderId="0" xfId="0" applyFont="1" applyFill="1"/>
    <xf numFmtId="169" fontId="5" fillId="9" borderId="0" xfId="20" applyNumberFormat="1" applyFont="1" applyFill="1"/>
    <xf numFmtId="169" fontId="4" fillId="9" borderId="0" xfId="20" applyNumberFormat="1" applyFont="1" applyFill="1"/>
    <xf numFmtId="169" fontId="0" fillId="0" borderId="25" xfId="20" applyNumberFormat="1" applyFont="1" applyBorder="1"/>
    <xf numFmtId="167" fontId="4" fillId="0" borderId="14" xfId="2" applyNumberFormat="1" applyFont="1" applyBorder="1"/>
    <xf numFmtId="167" fontId="5" fillId="26" borderId="0" xfId="2" applyNumberFormat="1" applyFont="1" applyFill="1" applyBorder="1"/>
    <xf numFmtId="0" fontId="4" fillId="0" borderId="15" xfId="0" applyFont="1" applyBorder="1" applyAlignment="1">
      <alignment horizontal="right"/>
    </xf>
    <xf numFmtId="167" fontId="0" fillId="9" borderId="17" xfId="2" applyNumberFormat="1" applyFont="1" applyFill="1" applyBorder="1"/>
    <xf numFmtId="167" fontId="0" fillId="9" borderId="12" xfId="2" applyNumberFormat="1" applyFont="1" applyFill="1" applyBorder="1"/>
    <xf numFmtId="9" fontId="64" fillId="9" borderId="0" xfId="20" applyFont="1" applyFill="1" applyBorder="1"/>
    <xf numFmtId="169" fontId="0" fillId="0" borderId="0" xfId="20" applyNumberFormat="1" applyFont="1" applyFill="1" applyBorder="1"/>
    <xf numFmtId="0" fontId="4" fillId="0" borderId="0" xfId="0" applyFont="1" applyBorder="1" applyAlignment="1">
      <alignment horizontal="left"/>
    </xf>
    <xf numFmtId="41" fontId="32" fillId="19" borderId="0" xfId="3" applyFont="1" applyFill="1"/>
    <xf numFmtId="41" fontId="32" fillId="0" borderId="0" xfId="3" applyFont="1"/>
    <xf numFmtId="41" fontId="21" fillId="0" borderId="0" xfId="3" applyFont="1"/>
    <xf numFmtId="41" fontId="3" fillId="19" borderId="0" xfId="3" applyFont="1" applyFill="1"/>
    <xf numFmtId="41" fontId="3" fillId="20" borderId="0" xfId="3" applyFont="1" applyFill="1"/>
    <xf numFmtId="0" fontId="65" fillId="0" borderId="0" xfId="0" applyFont="1"/>
    <xf numFmtId="0" fontId="65" fillId="0" borderId="0" xfId="0" applyFont="1" applyAlignment="1">
      <alignment wrapText="1"/>
    </xf>
    <xf numFmtId="0" fontId="0" fillId="0" borderId="0" xfId="0" applyNumberFormat="1" applyAlignment="1">
      <alignment wrapText="1"/>
    </xf>
    <xf numFmtId="0" fontId="32" fillId="0" borderId="0" xfId="0" applyFont="1" applyAlignment="1">
      <alignment wrapText="1"/>
    </xf>
    <xf numFmtId="0" fontId="67" fillId="0" borderId="0" xfId="0" applyFont="1" applyAlignment="1">
      <alignment wrapText="1"/>
    </xf>
    <xf numFmtId="0" fontId="3" fillId="0" borderId="0" xfId="0" applyFont="1" applyAlignment="1">
      <alignment wrapText="1"/>
    </xf>
    <xf numFmtId="0" fontId="6" fillId="2" borderId="0" xfId="0" applyFont="1" applyFill="1" applyBorder="1" applyAlignment="1">
      <alignment horizontal="right" indent="1"/>
    </xf>
    <xf numFmtId="0" fontId="68" fillId="0" borderId="0" xfId="0" applyFont="1"/>
    <xf numFmtId="173" fontId="32" fillId="0" borderId="0" xfId="13" applyNumberFormat="1" applyFont="1"/>
    <xf numFmtId="9" fontId="32" fillId="0" borderId="0" xfId="20" applyFont="1"/>
    <xf numFmtId="0" fontId="3" fillId="0" borderId="0" xfId="0" applyFont="1"/>
    <xf numFmtId="0" fontId="63" fillId="2" borderId="12" xfId="0" applyFont="1" applyFill="1" applyBorder="1" applyProtection="1"/>
    <xf numFmtId="0" fontId="63" fillId="2" borderId="0" xfId="0" applyFont="1" applyFill="1" applyBorder="1" applyProtection="1"/>
    <xf numFmtId="0" fontId="63" fillId="2" borderId="15" xfId="0" applyFont="1" applyFill="1" applyBorder="1" applyProtection="1"/>
    <xf numFmtId="0" fontId="63" fillId="2" borderId="14" xfId="0" applyFont="1" applyFill="1" applyBorder="1" applyProtection="1"/>
    <xf numFmtId="9" fontId="0" fillId="15" borderId="0" xfId="20" applyFont="1" applyFill="1"/>
    <xf numFmtId="9" fontId="0" fillId="14" borderId="0" xfId="20" applyFont="1" applyFill="1"/>
    <xf numFmtId="169" fontId="16" fillId="2" borderId="40" xfId="20" applyNumberFormat="1" applyFont="1" applyFill="1" applyBorder="1" applyAlignment="1" applyProtection="1">
      <alignment horizontal="center"/>
    </xf>
    <xf numFmtId="169" fontId="16" fillId="2" borderId="0" xfId="0" applyNumberFormat="1" applyFont="1" applyFill="1" applyBorder="1" applyAlignment="1" applyProtection="1">
      <alignment horizontal="center"/>
    </xf>
    <xf numFmtId="0" fontId="6" fillId="2" borderId="0" xfId="0" applyFont="1" applyFill="1" applyBorder="1" applyAlignment="1" applyProtection="1">
      <alignment horizontal="center" vertical="center"/>
    </xf>
    <xf numFmtId="0" fontId="6" fillId="2" borderId="29" xfId="0" applyFont="1" applyFill="1" applyBorder="1" applyProtection="1"/>
    <xf numFmtId="0" fontId="6" fillId="2" borderId="29" xfId="0" applyFont="1" applyFill="1" applyBorder="1" applyAlignment="1" applyProtection="1">
      <alignment horizontal="center"/>
    </xf>
    <xf numFmtId="0" fontId="43" fillId="2" borderId="5" xfId="0" applyFont="1" applyFill="1" applyBorder="1" applyProtection="1"/>
    <xf numFmtId="0" fontId="6" fillId="2" borderId="29" xfId="0" applyFont="1" applyFill="1" applyBorder="1" applyAlignment="1" applyProtection="1">
      <alignment horizontal="left"/>
    </xf>
    <xf numFmtId="0" fontId="6" fillId="2" borderId="41" xfId="0" applyFont="1" applyFill="1" applyBorder="1" applyProtection="1"/>
    <xf numFmtId="0" fontId="6" fillId="2" borderId="42" xfId="0" applyFont="1" applyFill="1" applyBorder="1" applyProtection="1"/>
    <xf numFmtId="0" fontId="6" fillId="2" borderId="20" xfId="0" applyFont="1" applyFill="1" applyBorder="1" applyProtection="1"/>
    <xf numFmtId="0" fontId="6" fillId="2" borderId="0" xfId="0" applyFont="1" applyFill="1" applyBorder="1" applyAlignment="1" applyProtection="1">
      <alignment horizontal="center" wrapText="1"/>
    </xf>
    <xf numFmtId="1" fontId="6" fillId="2" borderId="0" xfId="2" applyNumberFormat="1" applyFont="1" applyFill="1" applyBorder="1" applyAlignment="1" applyProtection="1">
      <alignment horizontal="center"/>
    </xf>
    <xf numFmtId="0" fontId="6" fillId="2" borderId="43" xfId="0" applyFont="1" applyFill="1" applyBorder="1" applyProtection="1"/>
    <xf numFmtId="0" fontId="6" fillId="2" borderId="44" xfId="0" applyFont="1" applyFill="1" applyBorder="1" applyAlignment="1" applyProtection="1">
      <alignment horizontal="left"/>
    </xf>
    <xf numFmtId="0" fontId="6" fillId="2" borderId="44" xfId="0" applyFont="1" applyFill="1" applyBorder="1" applyProtection="1"/>
    <xf numFmtId="0" fontId="6" fillId="2" borderId="45" xfId="0" applyFont="1" applyFill="1" applyBorder="1" applyProtection="1"/>
    <xf numFmtId="0" fontId="6" fillId="2" borderId="66" xfId="0" applyFont="1" applyFill="1" applyBorder="1" applyProtection="1"/>
    <xf numFmtId="0" fontId="6" fillId="2" borderId="66" xfId="0" applyFont="1" applyFill="1" applyBorder="1" applyAlignment="1" applyProtection="1">
      <alignment horizontal="left"/>
    </xf>
    <xf numFmtId="14" fontId="0" fillId="0" borderId="0" xfId="0" applyNumberFormat="1"/>
    <xf numFmtId="0" fontId="6" fillId="2" borderId="0" xfId="0" applyFont="1" applyFill="1" applyBorder="1" applyProtection="1">
      <protection locked="0"/>
    </xf>
    <xf numFmtId="15" fontId="0" fillId="0" borderId="0" xfId="0" applyNumberFormat="1"/>
    <xf numFmtId="0" fontId="69" fillId="0" borderId="0" xfId="0" applyFont="1" applyFill="1" applyBorder="1"/>
    <xf numFmtId="173" fontId="69" fillId="0" borderId="0" xfId="0" applyNumberFormat="1" applyFont="1" applyFill="1" applyBorder="1"/>
    <xf numFmtId="41" fontId="3" fillId="19" borderId="0" xfId="3" applyFill="1"/>
    <xf numFmtId="41" fontId="3" fillId="0" borderId="0" xfId="3" applyFill="1"/>
    <xf numFmtId="169" fontId="3" fillId="19" borderId="0" xfId="20" applyNumberFormat="1" applyFill="1"/>
    <xf numFmtId="169" fontId="3" fillId="0" borderId="0" xfId="20" applyNumberFormat="1" applyFill="1"/>
    <xf numFmtId="9" fontId="3" fillId="19" borderId="0" xfId="20" applyFill="1"/>
    <xf numFmtId="9" fontId="3" fillId="0" borderId="0" xfId="20" applyFill="1"/>
    <xf numFmtId="173" fontId="3" fillId="19" borderId="0" xfId="13" applyNumberFormat="1" applyFill="1"/>
    <xf numFmtId="173" fontId="3" fillId="0" borderId="0" xfId="13" applyNumberFormat="1" applyFill="1"/>
    <xf numFmtId="1" fontId="3" fillId="19" borderId="0" xfId="20" applyNumberFormat="1" applyFill="1"/>
    <xf numFmtId="5" fontId="3" fillId="19" borderId="0" xfId="13" applyNumberFormat="1" applyFont="1" applyFill="1"/>
    <xf numFmtId="5" fontId="3" fillId="0" borderId="0" xfId="13" applyNumberFormat="1" applyFill="1"/>
    <xf numFmtId="43" fontId="3" fillId="19" borderId="0" xfId="2" applyFill="1"/>
    <xf numFmtId="43" fontId="3" fillId="0" borderId="0" xfId="2" applyFill="1"/>
    <xf numFmtId="10" fontId="3" fillId="19" borderId="0" xfId="20" applyNumberFormat="1" applyFill="1"/>
    <xf numFmtId="10" fontId="3" fillId="0" borderId="0" xfId="20" applyNumberFormat="1" applyFill="1"/>
    <xf numFmtId="167" fontId="3" fillId="19" borderId="0" xfId="2" applyNumberFormat="1" applyFill="1"/>
    <xf numFmtId="167" fontId="3" fillId="0" borderId="0" xfId="2" applyNumberFormat="1" applyFill="1"/>
    <xf numFmtId="43" fontId="3" fillId="19" borderId="14" xfId="2" applyFill="1" applyBorder="1"/>
    <xf numFmtId="43" fontId="3" fillId="0" borderId="14" xfId="2" applyFill="1" applyBorder="1"/>
    <xf numFmtId="0" fontId="5" fillId="0" borderId="0" xfId="0" applyFont="1" applyBorder="1" applyAlignment="1">
      <alignment wrapText="1"/>
    </xf>
    <xf numFmtId="0" fontId="0" fillId="27" borderId="0" xfId="0" applyFill="1" applyBorder="1" applyProtection="1">
      <protection locked="0"/>
    </xf>
    <xf numFmtId="0" fontId="0" fillId="27" borderId="0" xfId="0" applyFill="1" applyBorder="1"/>
    <xf numFmtId="0" fontId="5" fillId="27" borderId="0" xfId="0" applyFont="1" applyFill="1" applyBorder="1"/>
    <xf numFmtId="0" fontId="0" fillId="27" borderId="0" xfId="0" applyFont="1" applyFill="1" applyBorder="1"/>
    <xf numFmtId="0" fontId="0" fillId="0" borderId="0" xfId="0" applyNumberFormat="1" applyBorder="1"/>
    <xf numFmtId="0" fontId="0" fillId="0" borderId="19" xfId="0" applyNumberFormat="1" applyBorder="1"/>
    <xf numFmtId="0" fontId="0" fillId="0" borderId="0" xfId="0" applyFont="1" applyFill="1" applyBorder="1"/>
    <xf numFmtId="0" fontId="21" fillId="0" borderId="0" xfId="0" applyFont="1"/>
    <xf numFmtId="0" fontId="72" fillId="0" borderId="0" xfId="0" applyFont="1"/>
    <xf numFmtId="0" fontId="6" fillId="8" borderId="0" xfId="0" applyFont="1" applyFill="1" applyBorder="1" applyAlignment="1" applyProtection="1">
      <alignment vertical="center"/>
    </xf>
    <xf numFmtId="0" fontId="6" fillId="2" borderId="12" xfId="0" applyFont="1" applyFill="1" applyBorder="1" applyAlignment="1" applyProtection="1">
      <alignment vertical="center"/>
    </xf>
    <xf numFmtId="0" fontId="6" fillId="2" borderId="0" xfId="0" applyFont="1" applyFill="1" applyBorder="1" applyAlignment="1" applyProtection="1">
      <alignment horizontal="left" vertical="center"/>
    </xf>
    <xf numFmtId="0" fontId="6" fillId="2" borderId="0" xfId="0" applyFont="1" applyFill="1" applyBorder="1" applyAlignment="1" applyProtection="1">
      <alignment vertical="center"/>
    </xf>
    <xf numFmtId="0" fontId="6" fillId="2" borderId="0" xfId="0" applyFont="1" applyFill="1" applyBorder="1" applyAlignment="1" applyProtection="1">
      <alignment horizontal="right" vertical="center"/>
    </xf>
    <xf numFmtId="0" fontId="6" fillId="2" borderId="13" xfId="0" applyFont="1" applyFill="1" applyBorder="1" applyAlignment="1" applyProtection="1">
      <alignment vertical="center"/>
    </xf>
    <xf numFmtId="0" fontId="6" fillId="0" borderId="0" xfId="0" applyFont="1" applyFill="1" applyBorder="1" applyAlignment="1" applyProtection="1">
      <alignment vertical="center"/>
      <protection locked="0"/>
    </xf>
    <xf numFmtId="5" fontId="6" fillId="2" borderId="0" xfId="13" applyNumberFormat="1" applyFont="1" applyFill="1" applyBorder="1" applyAlignment="1" applyProtection="1">
      <alignment horizontal="center"/>
    </xf>
    <xf numFmtId="0" fontId="6" fillId="2" borderId="67" xfId="0" applyFont="1" applyFill="1" applyBorder="1" applyAlignment="1" applyProtection="1">
      <alignment horizontal="center"/>
    </xf>
    <xf numFmtId="0" fontId="6" fillId="2" borderId="68" xfId="0" applyFont="1" applyFill="1" applyBorder="1" applyAlignment="1" applyProtection="1">
      <alignment horizontal="right"/>
    </xf>
    <xf numFmtId="5" fontId="6" fillId="2" borderId="68" xfId="13" applyNumberFormat="1" applyFont="1" applyFill="1" applyBorder="1" applyAlignment="1" applyProtection="1">
      <alignment horizontal="center"/>
    </xf>
    <xf numFmtId="0" fontId="6" fillId="2" borderId="68" xfId="0" applyFont="1" applyFill="1" applyBorder="1" applyProtection="1"/>
    <xf numFmtId="169" fontId="6" fillId="2" borderId="73" xfId="20" applyNumberFormat="1" applyFont="1" applyFill="1" applyBorder="1" applyAlignment="1" applyProtection="1">
      <alignment horizontal="center"/>
    </xf>
    <xf numFmtId="10" fontId="4" fillId="0" borderId="0" xfId="0" applyNumberFormat="1" applyFont="1"/>
    <xf numFmtId="0" fontId="0" fillId="29" borderId="0" xfId="0" applyFill="1"/>
    <xf numFmtId="0" fontId="4" fillId="0" borderId="0" xfId="0" applyFont="1" applyFill="1"/>
    <xf numFmtId="10" fontId="0" fillId="29" borderId="0" xfId="20" applyNumberFormat="1" applyFont="1" applyFill="1"/>
    <xf numFmtId="0" fontId="0" fillId="29" borderId="14" xfId="0" applyFill="1" applyBorder="1"/>
    <xf numFmtId="0" fontId="0" fillId="29" borderId="0" xfId="0" applyFill="1" applyAlignment="1">
      <alignment horizontal="right"/>
    </xf>
    <xf numFmtId="10" fontId="0" fillId="29" borderId="0" xfId="0" applyNumberFormat="1" applyFill="1"/>
    <xf numFmtId="173" fontId="5" fillId="29" borderId="0" xfId="13" applyNumberFormat="1" applyFont="1" applyFill="1"/>
    <xf numFmtId="173" fontId="4" fillId="29" borderId="0" xfId="13" applyNumberFormat="1" applyFont="1" applyFill="1"/>
    <xf numFmtId="173" fontId="3" fillId="29" borderId="0" xfId="13" applyNumberFormat="1" applyFont="1" applyFill="1"/>
    <xf numFmtId="173" fontId="3" fillId="29" borderId="14" xfId="13" applyNumberFormat="1" applyFont="1" applyFill="1" applyBorder="1"/>
    <xf numFmtId="173" fontId="0" fillId="29" borderId="0" xfId="13" applyNumberFormat="1" applyFont="1" applyFill="1"/>
    <xf numFmtId="0" fontId="74" fillId="0" borderId="0" xfId="0" applyFont="1"/>
    <xf numFmtId="0" fontId="75" fillId="0" borderId="0" xfId="0" applyFont="1" applyFill="1" applyBorder="1" applyProtection="1">
      <protection locked="0"/>
    </xf>
    <xf numFmtId="0" fontId="6" fillId="2" borderId="75" xfId="0" applyFont="1" applyFill="1" applyBorder="1" applyAlignment="1" applyProtection="1">
      <alignment horizontal="center"/>
    </xf>
    <xf numFmtId="0" fontId="63" fillId="2" borderId="70" xfId="0" applyFont="1" applyFill="1" applyBorder="1" applyAlignment="1" applyProtection="1">
      <alignment horizontal="center"/>
    </xf>
    <xf numFmtId="0" fontId="63" fillId="2" borderId="71" xfId="0" applyFont="1" applyFill="1" applyBorder="1" applyAlignment="1" applyProtection="1">
      <alignment horizontal="center"/>
    </xf>
    <xf numFmtId="0" fontId="6" fillId="2" borderId="71" xfId="0" applyFont="1" applyFill="1" applyBorder="1" applyAlignment="1" applyProtection="1">
      <alignment horizontal="center"/>
    </xf>
    <xf numFmtId="0" fontId="6" fillId="2" borderId="72" xfId="0" applyFont="1" applyFill="1" applyBorder="1" applyAlignment="1" applyProtection="1">
      <alignment horizontal="center"/>
    </xf>
    <xf numFmtId="0" fontId="63" fillId="2" borderId="73" xfId="0" applyFont="1" applyFill="1" applyBorder="1" applyAlignment="1" applyProtection="1">
      <alignment horizontal="center"/>
    </xf>
    <xf numFmtId="169" fontId="6" fillId="2" borderId="73" xfId="20" applyNumberFormat="1" applyFont="1" applyFill="1" applyBorder="1" applyAlignment="1" applyProtection="1">
      <alignment horizontal="center" vertical="center"/>
    </xf>
    <xf numFmtId="0" fontId="6" fillId="2" borderId="67" xfId="0" applyFont="1" applyFill="1" applyBorder="1" applyAlignment="1" applyProtection="1">
      <alignment horizontal="center" vertical="center"/>
    </xf>
    <xf numFmtId="0" fontId="6" fillId="2" borderId="67" xfId="0" applyFont="1" applyFill="1" applyBorder="1" applyAlignment="1" applyProtection="1">
      <alignment horizontal="right"/>
    </xf>
    <xf numFmtId="169" fontId="6" fillId="2" borderId="74" xfId="20" applyNumberFormat="1" applyFont="1" applyFill="1" applyBorder="1" applyAlignment="1" applyProtection="1">
      <alignment horizontal="center"/>
    </xf>
    <xf numFmtId="0" fontId="6" fillId="2" borderId="68" xfId="0" applyFont="1" applyFill="1" applyBorder="1" applyAlignment="1" applyProtection="1">
      <alignment horizontal="center"/>
    </xf>
    <xf numFmtId="5" fontId="6" fillId="2" borderId="69" xfId="13" applyNumberFormat="1" applyFont="1" applyFill="1" applyBorder="1" applyAlignment="1" applyProtection="1">
      <alignment horizontal="center"/>
    </xf>
    <xf numFmtId="0" fontId="6" fillId="2" borderId="73" xfId="0" applyFont="1" applyFill="1" applyBorder="1" applyProtection="1">
      <protection locked="0"/>
    </xf>
    <xf numFmtId="0" fontId="0" fillId="2" borderId="0" xfId="0" applyFill="1" applyBorder="1" applyProtection="1">
      <protection locked="0"/>
    </xf>
    <xf numFmtId="0" fontId="6" fillId="2" borderId="73" xfId="0" applyFont="1" applyFill="1" applyBorder="1"/>
    <xf numFmtId="0" fontId="6" fillId="2" borderId="74" xfId="0" applyFont="1" applyFill="1" applyBorder="1"/>
    <xf numFmtId="0" fontId="6" fillId="2" borderId="68" xfId="0" applyFont="1" applyFill="1" applyBorder="1"/>
    <xf numFmtId="0" fontId="6" fillId="2" borderId="69" xfId="0" applyFont="1" applyFill="1" applyBorder="1" applyAlignment="1" applyProtection="1">
      <alignment horizontal="right"/>
    </xf>
    <xf numFmtId="173" fontId="4" fillId="0" borderId="0" xfId="13" applyNumberFormat="1" applyFont="1" applyFill="1"/>
    <xf numFmtId="173" fontId="5" fillId="29" borderId="14" xfId="13" applyNumberFormat="1" applyFont="1" applyFill="1" applyBorder="1"/>
    <xf numFmtId="173" fontId="0" fillId="0" borderId="14" xfId="13" applyNumberFormat="1" applyFont="1" applyFill="1" applyBorder="1"/>
    <xf numFmtId="9" fontId="0" fillId="9" borderId="28" xfId="20" applyFont="1" applyFill="1" applyBorder="1"/>
    <xf numFmtId="9" fontId="0" fillId="9" borderId="26" xfId="20" applyFont="1" applyFill="1" applyBorder="1"/>
    <xf numFmtId="9" fontId="0" fillId="9" borderId="27" xfId="20" applyFont="1" applyFill="1" applyBorder="1"/>
    <xf numFmtId="9" fontId="0" fillId="29" borderId="0" xfId="3" applyNumberFormat="1" applyFont="1" applyFill="1"/>
    <xf numFmtId="9" fontId="0" fillId="14" borderId="0" xfId="3" applyNumberFormat="1" applyFont="1" applyFill="1"/>
    <xf numFmtId="9" fontId="0" fillId="11" borderId="0" xfId="3" applyNumberFormat="1" applyFont="1" applyFill="1"/>
    <xf numFmtId="1" fontId="0" fillId="29" borderId="0" xfId="2" applyNumberFormat="1" applyFont="1" applyFill="1"/>
    <xf numFmtId="43" fontId="0" fillId="29" borderId="0" xfId="2" applyFont="1" applyFill="1"/>
    <xf numFmtId="0" fontId="0" fillId="29" borderId="25" xfId="0" applyFill="1" applyBorder="1"/>
    <xf numFmtId="0" fontId="3" fillId="29" borderId="0" xfId="0" applyFont="1" applyFill="1"/>
    <xf numFmtId="0" fontId="44" fillId="28" borderId="9" xfId="0" applyFont="1" applyFill="1" applyBorder="1" applyAlignment="1" applyProtection="1">
      <alignment horizontal="left" vertical="center"/>
    </xf>
    <xf numFmtId="0" fontId="37" fillId="28" borderId="10" xfId="0" applyFont="1" applyFill="1" applyBorder="1" applyProtection="1"/>
    <xf numFmtId="0" fontId="73" fillId="28" borderId="10" xfId="0" applyFont="1" applyFill="1" applyBorder="1"/>
    <xf numFmtId="0" fontId="73" fillId="28" borderId="11" xfId="0" applyFont="1" applyFill="1" applyBorder="1"/>
    <xf numFmtId="0" fontId="6" fillId="28" borderId="10" xfId="0" applyFont="1" applyFill="1" applyBorder="1" applyProtection="1"/>
    <xf numFmtId="0" fontId="6" fillId="28" borderId="11" xfId="0" applyFont="1" applyFill="1" applyBorder="1" applyProtection="1"/>
    <xf numFmtId="173" fontId="0" fillId="29" borderId="76" xfId="13" applyNumberFormat="1" applyFont="1" applyFill="1" applyBorder="1"/>
    <xf numFmtId="2" fontId="0" fillId="29" borderId="0" xfId="0" applyNumberFormat="1" applyFill="1"/>
    <xf numFmtId="10" fontId="0" fillId="29" borderId="14" xfId="20" applyNumberFormat="1" applyFont="1" applyFill="1" applyBorder="1"/>
    <xf numFmtId="0" fontId="0" fillId="0" borderId="76" xfId="0" applyBorder="1"/>
    <xf numFmtId="10" fontId="0" fillId="0" borderId="76" xfId="20" applyNumberFormat="1" applyFont="1" applyBorder="1"/>
    <xf numFmtId="9" fontId="0" fillId="0" borderId="0" xfId="2" applyNumberFormat="1" applyFont="1" applyBorder="1"/>
    <xf numFmtId="9" fontId="0" fillId="0" borderId="28" xfId="2" applyNumberFormat="1" applyFont="1" applyBorder="1"/>
    <xf numFmtId="9" fontId="0" fillId="0" borderId="26" xfId="2" applyNumberFormat="1" applyFont="1" applyBorder="1"/>
    <xf numFmtId="9" fontId="0" fillId="0" borderId="27" xfId="2" applyNumberFormat="1" applyFont="1" applyBorder="1"/>
    <xf numFmtId="169" fontId="0" fillId="13" borderId="15" xfId="20" applyNumberFormat="1" applyFont="1" applyFill="1" applyBorder="1"/>
    <xf numFmtId="9" fontId="0" fillId="0" borderId="18" xfId="2" applyNumberFormat="1" applyFont="1" applyBorder="1"/>
    <xf numFmtId="9" fontId="0" fillId="0" borderId="18" xfId="20" applyNumberFormat="1" applyFont="1" applyBorder="1"/>
    <xf numFmtId="9" fontId="0" fillId="0" borderId="0" xfId="20" applyNumberFormat="1" applyFont="1" applyBorder="1"/>
    <xf numFmtId="9" fontId="0" fillId="0" borderId="14" xfId="2" applyNumberFormat="1" applyFont="1" applyBorder="1"/>
    <xf numFmtId="9" fontId="0" fillId="0" borderId="14" xfId="20" applyNumberFormat="1" applyFont="1" applyBorder="1"/>
    <xf numFmtId="0" fontId="5" fillId="0" borderId="76" xfId="0" applyFont="1" applyBorder="1"/>
    <xf numFmtId="9" fontId="5" fillId="26" borderId="0" xfId="3" applyNumberFormat="1" applyFont="1" applyFill="1" applyBorder="1"/>
    <xf numFmtId="9" fontId="5" fillId="26" borderId="76" xfId="3" applyNumberFormat="1" applyFont="1" applyFill="1" applyBorder="1"/>
    <xf numFmtId="169" fontId="0" fillId="29" borderId="17" xfId="0" applyNumberFormat="1" applyFill="1" applyBorder="1"/>
    <xf numFmtId="169" fontId="0" fillId="29" borderId="12" xfId="0" applyNumberFormat="1" applyFill="1" applyBorder="1"/>
    <xf numFmtId="169" fontId="0" fillId="29" borderId="9" xfId="0" applyNumberFormat="1" applyFill="1" applyBorder="1"/>
    <xf numFmtId="9" fontId="0" fillId="29" borderId="0" xfId="13" applyNumberFormat="1" applyFont="1" applyFill="1"/>
    <xf numFmtId="169" fontId="0" fillId="29" borderId="0" xfId="2" applyNumberFormat="1" applyFont="1" applyFill="1"/>
    <xf numFmtId="169" fontId="0" fillId="29" borderId="0" xfId="0" applyNumberFormat="1" applyFill="1"/>
    <xf numFmtId="8" fontId="0" fillId="19" borderId="0" xfId="20" applyNumberFormat="1" applyFont="1" applyFill="1"/>
    <xf numFmtId="0" fontId="0" fillId="18" borderId="0" xfId="20" applyNumberFormat="1" applyFont="1" applyFill="1"/>
    <xf numFmtId="0" fontId="3" fillId="0" borderId="0" xfId="0" applyFont="1" applyBorder="1"/>
    <xf numFmtId="0" fontId="76" fillId="30" borderId="0" xfId="0" applyFont="1" applyFill="1"/>
    <xf numFmtId="0" fontId="76" fillId="0" borderId="0" xfId="0" applyFont="1" applyFill="1"/>
    <xf numFmtId="0" fontId="76" fillId="8" borderId="0" xfId="0" applyFont="1" applyFill="1"/>
    <xf numFmtId="0" fontId="76" fillId="31" borderId="0" xfId="0" applyFont="1" applyFill="1" applyBorder="1"/>
    <xf numFmtId="0" fontId="76" fillId="32" borderId="0" xfId="0" applyFont="1" applyFill="1"/>
    <xf numFmtId="0" fontId="77" fillId="31" borderId="0" xfId="0" applyFont="1" applyFill="1" applyBorder="1" applyAlignment="1">
      <alignment horizontal="center" vertical="center"/>
    </xf>
    <xf numFmtId="0" fontId="76" fillId="31" borderId="0" xfId="0" applyFont="1" applyFill="1"/>
    <xf numFmtId="0" fontId="76" fillId="32" borderId="0" xfId="0" applyFont="1" applyFill="1" applyBorder="1"/>
    <xf numFmtId="0" fontId="76" fillId="33" borderId="0" xfId="0" applyFont="1" applyFill="1" applyBorder="1"/>
    <xf numFmtId="0" fontId="79" fillId="31" borderId="0" xfId="0" applyFont="1" applyFill="1"/>
    <xf numFmtId="0" fontId="78" fillId="31" borderId="0" xfId="0" applyFont="1" applyFill="1" applyBorder="1" applyAlignment="1">
      <alignment vertical="center"/>
    </xf>
    <xf numFmtId="0" fontId="78" fillId="31" borderId="0" xfId="0" applyFont="1" applyFill="1" applyBorder="1" applyAlignment="1">
      <alignment horizontal="center" vertical="center"/>
    </xf>
    <xf numFmtId="0" fontId="79" fillId="31" borderId="0" xfId="0" applyFont="1" applyFill="1" applyBorder="1" applyAlignment="1">
      <alignment vertical="center"/>
    </xf>
    <xf numFmtId="0" fontId="76" fillId="31" borderId="0" xfId="0" applyFont="1" applyFill="1" applyBorder="1" applyAlignment="1"/>
    <xf numFmtId="0" fontId="80" fillId="31" borderId="0" xfId="0" applyFont="1" applyFill="1" applyBorder="1" applyAlignment="1">
      <alignment vertical="center"/>
    </xf>
    <xf numFmtId="0" fontId="80" fillId="31" borderId="0" xfId="0" applyFont="1" applyFill="1" applyBorder="1" applyAlignment="1">
      <alignment horizontal="left" vertical="center"/>
    </xf>
    <xf numFmtId="0" fontId="7" fillId="35" borderId="0" xfId="0" applyFont="1" applyFill="1" applyBorder="1" applyAlignment="1" applyProtection="1"/>
    <xf numFmtId="0" fontId="81" fillId="8" borderId="0" xfId="0" applyFont="1" applyFill="1" applyBorder="1" applyAlignment="1" applyProtection="1">
      <alignment vertical="center"/>
    </xf>
    <xf numFmtId="183" fontId="60" fillId="36" borderId="0" xfId="0" applyNumberFormat="1" applyFont="1" applyFill="1"/>
    <xf numFmtId="16" fontId="0" fillId="0" borderId="0" xfId="0" quotePrefix="1" applyNumberFormat="1"/>
    <xf numFmtId="0" fontId="80" fillId="31" borderId="0" xfId="0" applyFont="1" applyFill="1" applyBorder="1" applyAlignment="1">
      <alignment horizontal="center" vertical="center"/>
    </xf>
    <xf numFmtId="0" fontId="83" fillId="8" borderId="0" xfId="0" applyFont="1" applyFill="1" applyBorder="1" applyAlignment="1" applyProtection="1">
      <alignment horizontal="center" vertical="center"/>
    </xf>
    <xf numFmtId="183" fontId="19" fillId="36" borderId="0" xfId="0" applyNumberFormat="1" applyFont="1" applyFill="1"/>
    <xf numFmtId="0" fontId="82" fillId="2" borderId="0" xfId="13" applyNumberFormat="1" applyFont="1" applyFill="1" applyBorder="1" applyAlignment="1" applyProtection="1">
      <alignment horizontal="center" vertical="center"/>
    </xf>
    <xf numFmtId="0" fontId="83" fillId="35" borderId="0" xfId="0" applyFont="1" applyFill="1" applyBorder="1" applyAlignment="1" applyProtection="1"/>
    <xf numFmtId="0" fontId="83" fillId="32" borderId="0" xfId="0" applyFont="1" applyFill="1" applyBorder="1" applyAlignment="1" applyProtection="1"/>
    <xf numFmtId="0" fontId="85" fillId="32" borderId="0" xfId="0" applyFont="1" applyFill="1" applyBorder="1" applyAlignment="1" applyProtection="1">
      <alignment vertical="center"/>
    </xf>
    <xf numFmtId="167" fontId="83" fillId="34" borderId="77" xfId="2" applyNumberFormat="1" applyFont="1" applyFill="1" applyBorder="1" applyAlignment="1" applyProtection="1">
      <alignment horizontal="center" vertical="center"/>
      <protection locked="0"/>
    </xf>
    <xf numFmtId="0" fontId="87" fillId="32" borderId="0" xfId="0" applyFont="1" applyFill="1" applyBorder="1" applyAlignment="1" applyProtection="1">
      <alignment horizontal="center"/>
    </xf>
    <xf numFmtId="9" fontId="88" fillId="30" borderId="0" xfId="20" applyFont="1" applyFill="1" applyBorder="1" applyAlignment="1" applyProtection="1">
      <alignment horizontal="center"/>
    </xf>
    <xf numFmtId="0" fontId="43" fillId="2" borderId="0" xfId="0" applyFont="1" applyFill="1" applyBorder="1" applyAlignment="1" applyProtection="1">
      <alignment horizontal="center"/>
    </xf>
    <xf numFmtId="0" fontId="83" fillId="32" borderId="0" xfId="0" applyFont="1" applyFill="1" applyBorder="1" applyAlignment="1" applyProtection="1">
      <alignment horizontal="center"/>
    </xf>
    <xf numFmtId="0" fontId="86" fillId="32" borderId="0" xfId="0" applyFont="1" applyFill="1" applyBorder="1" applyAlignment="1" applyProtection="1">
      <alignment vertical="center"/>
    </xf>
    <xf numFmtId="0" fontId="89" fillId="32" borderId="0" xfId="0" quotePrefix="1" applyFont="1" applyFill="1" applyBorder="1" applyAlignment="1" applyProtection="1"/>
    <xf numFmtId="0" fontId="84" fillId="32" borderId="0" xfId="0" applyFont="1" applyFill="1" applyBorder="1" applyAlignment="1" applyProtection="1">
      <alignment vertical="center"/>
    </xf>
    <xf numFmtId="0" fontId="83" fillId="32" borderId="0" xfId="0" applyFont="1" applyFill="1" applyBorder="1" applyAlignment="1" applyProtection="1">
      <alignment vertical="center"/>
    </xf>
    <xf numFmtId="0" fontId="91" fillId="35" borderId="0" xfId="0" applyFont="1" applyFill="1" applyBorder="1" applyAlignment="1" applyProtection="1">
      <alignment horizontal="center"/>
    </xf>
    <xf numFmtId="0" fontId="86" fillId="30" borderId="0" xfId="0" applyFont="1" applyFill="1" applyBorder="1" applyAlignment="1" applyProtection="1">
      <alignment vertical="center"/>
    </xf>
    <xf numFmtId="0" fontId="83" fillId="30" borderId="78" xfId="0" applyFont="1" applyFill="1" applyBorder="1" applyAlignment="1" applyProtection="1"/>
    <xf numFmtId="0" fontId="83" fillId="30" borderId="79" xfId="0" applyFont="1" applyFill="1" applyBorder="1" applyAlignment="1" applyProtection="1"/>
    <xf numFmtId="0" fontId="83" fillId="30" borderId="80" xfId="0" applyFont="1" applyFill="1" applyBorder="1" applyAlignment="1" applyProtection="1"/>
    <xf numFmtId="0" fontId="83" fillId="30" borderId="81" xfId="0" quotePrefix="1" applyFont="1" applyFill="1" applyBorder="1" applyAlignment="1" applyProtection="1">
      <alignment horizontal="right"/>
    </xf>
    <xf numFmtId="0" fontId="86" fillId="30" borderId="82" xfId="0" applyFont="1" applyFill="1" applyBorder="1" applyAlignment="1" applyProtection="1">
      <alignment vertical="center"/>
    </xf>
    <xf numFmtId="0" fontId="83" fillId="30" borderId="83" xfId="0" applyFont="1" applyFill="1" applyBorder="1" applyAlignment="1" applyProtection="1"/>
    <xf numFmtId="0" fontId="83" fillId="30" borderId="84" xfId="0" applyFont="1" applyFill="1" applyBorder="1" applyAlignment="1" applyProtection="1"/>
    <xf numFmtId="0" fontId="83" fillId="30" borderId="85" xfId="0" applyFont="1" applyFill="1" applyBorder="1" applyAlignment="1" applyProtection="1"/>
    <xf numFmtId="170" fontId="88" fillId="30" borderId="0" xfId="20" applyNumberFormat="1" applyFont="1" applyFill="1" applyBorder="1" applyAlignment="1" applyProtection="1">
      <alignment horizontal="center"/>
    </xf>
    <xf numFmtId="170" fontId="83" fillId="34" borderId="77" xfId="2" applyNumberFormat="1" applyFont="1" applyFill="1" applyBorder="1" applyAlignment="1" applyProtection="1">
      <alignment horizontal="center" vertical="center"/>
      <protection locked="0"/>
    </xf>
    <xf numFmtId="9" fontId="83" fillId="34" borderId="77" xfId="20" applyFont="1" applyFill="1" applyBorder="1" applyAlignment="1" applyProtection="1">
      <alignment horizontal="center" vertical="center"/>
      <protection locked="0"/>
    </xf>
    <xf numFmtId="0" fontId="92" fillId="32" borderId="0" xfId="0" applyFont="1" applyFill="1" applyBorder="1" applyAlignment="1" applyProtection="1">
      <alignment vertical="center"/>
    </xf>
    <xf numFmtId="0" fontId="83" fillId="32" borderId="0" xfId="0" applyNumberFormat="1" applyFont="1" applyFill="1" applyBorder="1" applyAlignment="1" applyProtection="1"/>
    <xf numFmtId="0" fontId="88" fillId="30" borderId="0" xfId="20" applyNumberFormat="1" applyFont="1" applyFill="1" applyBorder="1" applyAlignment="1" applyProtection="1">
      <alignment horizontal="center"/>
    </xf>
    <xf numFmtId="173" fontId="90" fillId="31" borderId="0" xfId="13" applyNumberFormat="1" applyFont="1" applyFill="1" applyBorder="1" applyAlignment="1" applyProtection="1">
      <alignment horizontal="center" vertical="center"/>
    </xf>
    <xf numFmtId="0" fontId="92" fillId="32" borderId="0" xfId="0" applyFont="1" applyFill="1" applyBorder="1" applyAlignment="1" applyProtection="1">
      <alignment horizontal="right"/>
    </xf>
    <xf numFmtId="0" fontId="8" fillId="16" borderId="9" xfId="0" applyFont="1" applyFill="1" applyBorder="1" applyAlignment="1" applyProtection="1"/>
    <xf numFmtId="0" fontId="8" fillId="16" borderId="10" xfId="0" applyFont="1" applyFill="1" applyBorder="1" applyAlignment="1" applyProtection="1"/>
    <xf numFmtId="0" fontId="8" fillId="16" borderId="11" xfId="0" applyFont="1" applyFill="1" applyBorder="1" applyAlignment="1" applyProtection="1"/>
    <xf numFmtId="0" fontId="6" fillId="2" borderId="37" xfId="0" applyFont="1" applyFill="1" applyBorder="1" applyAlignment="1" applyProtection="1"/>
    <xf numFmtId="0" fontId="6" fillId="2" borderId="38" xfId="0" applyFont="1" applyFill="1" applyBorder="1" applyAlignment="1" applyProtection="1"/>
    <xf numFmtId="0" fontId="6" fillId="2" borderId="39" xfId="0" applyFont="1" applyFill="1" applyBorder="1" applyAlignment="1" applyProtection="1"/>
    <xf numFmtId="167" fontId="83" fillId="34" borderId="0" xfId="2" applyNumberFormat="1" applyFont="1" applyFill="1" applyBorder="1" applyAlignment="1" applyProtection="1">
      <alignment horizontal="center" vertical="center"/>
      <protection locked="0"/>
    </xf>
    <xf numFmtId="0" fontId="89" fillId="32" borderId="0" xfId="0" applyFont="1" applyFill="1" applyBorder="1" applyAlignment="1" applyProtection="1">
      <alignment horizontal="center"/>
    </xf>
    <xf numFmtId="170" fontId="93" fillId="30" borderId="0" xfId="20" applyNumberFormat="1" applyFont="1" applyFill="1" applyBorder="1" applyAlignment="1" applyProtection="1">
      <alignment horizontal="center"/>
    </xf>
    <xf numFmtId="0" fontId="83" fillId="34" borderId="77" xfId="2" applyNumberFormat="1" applyFont="1" applyFill="1" applyBorder="1" applyAlignment="1" applyProtection="1">
      <alignment horizontal="center" vertical="center"/>
      <protection locked="0"/>
    </xf>
    <xf numFmtId="0" fontId="89" fillId="32" borderId="0" xfId="0" applyFont="1" applyFill="1" applyBorder="1" applyAlignment="1" applyProtection="1">
      <alignment vertical="center"/>
    </xf>
    <xf numFmtId="170" fontId="0" fillId="0" borderId="0" xfId="2" applyNumberFormat="1" applyFont="1"/>
    <xf numFmtId="0" fontId="89" fillId="32" borderId="0" xfId="0" applyFont="1" applyFill="1" applyBorder="1" applyAlignment="1" applyProtection="1"/>
    <xf numFmtId="0" fontId="92" fillId="32" borderId="0" xfId="0" applyFont="1" applyFill="1" applyBorder="1" applyAlignment="1" applyProtection="1"/>
    <xf numFmtId="0" fontId="84" fillId="32" borderId="0" xfId="0" applyFont="1" applyFill="1" applyBorder="1" applyAlignment="1">
      <alignment horizontal="right"/>
    </xf>
    <xf numFmtId="0" fontId="84" fillId="0" borderId="0" xfId="0" applyFont="1" applyFill="1" applyBorder="1"/>
    <xf numFmtId="0" fontId="83" fillId="32" borderId="0" xfId="0" applyFont="1" applyFill="1" applyBorder="1" applyAlignment="1">
      <alignment horizontal="right"/>
    </xf>
    <xf numFmtId="0" fontId="83" fillId="0" borderId="0" xfId="0" applyFont="1" applyFill="1" applyBorder="1"/>
    <xf numFmtId="0" fontId="94" fillId="8" borderId="0" xfId="0" applyFont="1" applyFill="1" applyBorder="1"/>
    <xf numFmtId="0" fontId="83" fillId="32" borderId="0" xfId="0" applyFont="1" applyFill="1" applyBorder="1" applyAlignment="1">
      <alignment horizontal="center"/>
    </xf>
    <xf numFmtId="0" fontId="95" fillId="32" borderId="0" xfId="0" applyFont="1" applyFill="1" applyBorder="1"/>
    <xf numFmtId="0" fontId="83" fillId="32" borderId="0" xfId="0" applyFont="1" applyFill="1" applyBorder="1"/>
    <xf numFmtId="0" fontId="87" fillId="32" borderId="0" xfId="0" applyFont="1" applyFill="1" applyBorder="1" applyAlignment="1">
      <alignment horizontal="right"/>
    </xf>
    <xf numFmtId="0" fontId="93" fillId="30" borderId="0" xfId="20" applyNumberFormat="1" applyFont="1" applyFill="1" applyBorder="1" applyAlignment="1" applyProtection="1">
      <alignment horizontal="center"/>
    </xf>
    <xf numFmtId="0" fontId="96" fillId="32" borderId="0" xfId="0" applyFont="1" applyFill="1" applyBorder="1" applyAlignment="1">
      <alignment horizontal="right"/>
    </xf>
    <xf numFmtId="0" fontId="97" fillId="35" borderId="0" xfId="0" applyFont="1" applyFill="1" applyBorder="1" applyAlignment="1" applyProtection="1"/>
    <xf numFmtId="0" fontId="3" fillId="27" borderId="0" xfId="0" applyFont="1" applyFill="1" applyBorder="1"/>
    <xf numFmtId="0" fontId="84" fillId="8" borderId="0" xfId="0" applyFont="1" applyFill="1" applyBorder="1"/>
    <xf numFmtId="0" fontId="84" fillId="8" borderId="0" xfId="0" applyFont="1" applyFill="1" applyBorder="1" applyAlignment="1">
      <alignment horizontal="center"/>
    </xf>
    <xf numFmtId="0" fontId="76" fillId="8" borderId="0" xfId="0" applyFont="1" applyFill="1" applyBorder="1"/>
    <xf numFmtId="0" fontId="83" fillId="8" borderId="0" xfId="0" applyFont="1" applyFill="1" applyBorder="1"/>
    <xf numFmtId="3" fontId="83" fillId="8" borderId="0" xfId="13" applyNumberFormat="1" applyFont="1" applyFill="1" applyBorder="1"/>
    <xf numFmtId="0" fontId="98" fillId="31" borderId="86" xfId="0" applyFont="1" applyFill="1" applyBorder="1" applyAlignment="1">
      <alignment vertical="center"/>
    </xf>
    <xf numFmtId="0" fontId="80" fillId="31" borderId="87" xfId="0" applyFont="1" applyFill="1" applyBorder="1" applyAlignment="1">
      <alignment horizontal="left" vertical="center"/>
    </xf>
    <xf numFmtId="0" fontId="80" fillId="31" borderId="87" xfId="0" applyFont="1" applyFill="1" applyBorder="1" applyAlignment="1">
      <alignment vertical="center"/>
    </xf>
    <xf numFmtId="0" fontId="80" fillId="31" borderId="87" xfId="0" applyFont="1" applyFill="1" applyBorder="1" applyAlignment="1">
      <alignment horizontal="center" vertical="center"/>
    </xf>
    <xf numFmtId="0" fontId="98" fillId="31" borderId="88" xfId="0" applyFont="1" applyFill="1" applyBorder="1" applyAlignment="1">
      <alignment horizontal="right" vertical="center"/>
    </xf>
    <xf numFmtId="0" fontId="84" fillId="8" borderId="89" xfId="0" applyFont="1" applyFill="1" applyBorder="1"/>
    <xf numFmtId="0" fontId="84" fillId="8" borderId="90" xfId="0" applyFont="1" applyFill="1" applyBorder="1"/>
    <xf numFmtId="0" fontId="84" fillId="8" borderId="91" xfId="0" applyFont="1" applyFill="1" applyBorder="1"/>
    <xf numFmtId="0" fontId="84" fillId="8" borderId="93" xfId="0" applyFont="1" applyFill="1" applyBorder="1"/>
    <xf numFmtId="0" fontId="84" fillId="30" borderId="9" xfId="0" applyFont="1" applyFill="1" applyBorder="1"/>
    <xf numFmtId="165" fontId="83" fillId="8" borderId="0" xfId="5" applyFont="1" applyFill="1" applyBorder="1"/>
    <xf numFmtId="173" fontId="83" fillId="8" borderId="0" xfId="13" applyNumberFormat="1" applyFont="1" applyFill="1" applyBorder="1"/>
    <xf numFmtId="0" fontId="83" fillId="30" borderId="10" xfId="0" applyFont="1" applyFill="1" applyBorder="1"/>
    <xf numFmtId="169" fontId="83" fillId="8" borderId="0" xfId="20" applyNumberFormat="1" applyFont="1" applyFill="1" applyBorder="1"/>
    <xf numFmtId="3" fontId="83" fillId="8" borderId="0" xfId="5" applyNumberFormat="1" applyFont="1" applyFill="1" applyBorder="1"/>
    <xf numFmtId="0" fontId="83" fillId="8" borderId="89" xfId="0" applyFont="1" applyFill="1" applyBorder="1"/>
    <xf numFmtId="0" fontId="83" fillId="8" borderId="90" xfId="0" applyFont="1" applyFill="1" applyBorder="1"/>
    <xf numFmtId="0" fontId="83" fillId="8" borderId="91" xfId="0" applyFont="1" applyFill="1" applyBorder="1"/>
    <xf numFmtId="0" fontId="83" fillId="8" borderId="92" xfId="0" applyFont="1" applyFill="1" applyBorder="1"/>
    <xf numFmtId="0" fontId="83" fillId="8" borderId="94" xfId="0" applyFont="1" applyFill="1" applyBorder="1"/>
    <xf numFmtId="0" fontId="83" fillId="8" borderId="94" xfId="0" applyFont="1" applyFill="1" applyBorder="1" applyAlignment="1">
      <alignment horizontal="center"/>
    </xf>
    <xf numFmtId="3" fontId="83" fillId="8" borderId="94" xfId="13" applyNumberFormat="1" applyFont="1" applyFill="1" applyBorder="1"/>
    <xf numFmtId="0" fontId="100" fillId="8" borderId="0" xfId="0" applyFont="1" applyFill="1"/>
    <xf numFmtId="0" fontId="83" fillId="8" borderId="0" xfId="0" applyFont="1" applyFill="1"/>
    <xf numFmtId="0" fontId="91" fillId="8" borderId="0" xfId="0" applyFont="1" applyFill="1"/>
    <xf numFmtId="0" fontId="91" fillId="0" borderId="0" xfId="0" applyFont="1" applyFill="1"/>
    <xf numFmtId="43" fontId="83" fillId="8" borderId="0" xfId="2" applyFont="1" applyFill="1" applyBorder="1"/>
    <xf numFmtId="37" fontId="83" fillId="8" borderId="0" xfId="13" applyNumberFormat="1" applyFont="1" applyFill="1" applyBorder="1"/>
    <xf numFmtId="0" fontId="83" fillId="8" borderId="95" xfId="0" applyFont="1" applyFill="1" applyBorder="1"/>
    <xf numFmtId="165" fontId="83" fillId="8" borderId="95" xfId="5" applyFont="1" applyFill="1" applyBorder="1"/>
    <xf numFmtId="173" fontId="83" fillId="8" borderId="95" xfId="13" applyNumberFormat="1" applyFont="1" applyFill="1" applyBorder="1"/>
    <xf numFmtId="43" fontId="83" fillId="8" borderId="95" xfId="2" applyFont="1" applyFill="1" applyBorder="1"/>
    <xf numFmtId="37" fontId="83" fillId="8" borderId="94" xfId="13" applyNumberFormat="1" applyFont="1" applyFill="1" applyBorder="1"/>
    <xf numFmtId="165" fontId="83" fillId="8" borderId="94" xfId="5" applyFont="1" applyFill="1" applyBorder="1"/>
    <xf numFmtId="165" fontId="83" fillId="30" borderId="10" xfId="5" applyFont="1" applyFill="1" applyBorder="1"/>
    <xf numFmtId="37" fontId="83" fillId="30" borderId="11" xfId="13" applyNumberFormat="1" applyFont="1" applyFill="1" applyBorder="1"/>
    <xf numFmtId="0" fontId="84" fillId="8" borderId="95" xfId="0" applyFont="1" applyFill="1" applyBorder="1"/>
    <xf numFmtId="0" fontId="90" fillId="32" borderId="0" xfId="0" applyFont="1" applyFill="1" applyBorder="1" applyAlignment="1">
      <alignment horizontal="right"/>
    </xf>
    <xf numFmtId="167" fontId="101" fillId="34" borderId="77" xfId="2" applyNumberFormat="1" applyFont="1" applyFill="1" applyBorder="1" applyAlignment="1" applyProtection="1">
      <alignment horizontal="center" vertical="center"/>
      <protection locked="0"/>
    </xf>
    <xf numFmtId="9" fontId="83" fillId="32" borderId="0" xfId="0" applyNumberFormat="1" applyFont="1" applyFill="1" applyBorder="1" applyAlignment="1" applyProtection="1"/>
    <xf numFmtId="9" fontId="83" fillId="8" borderId="14" xfId="20" applyFont="1" applyFill="1" applyBorder="1"/>
    <xf numFmtId="0" fontId="98" fillId="31" borderId="96" xfId="0" applyFont="1" applyFill="1" applyBorder="1" applyAlignment="1">
      <alignment horizontal="right" vertical="center"/>
    </xf>
    <xf numFmtId="0" fontId="98" fillId="31" borderId="87" xfId="0" applyFont="1" applyFill="1" applyBorder="1" applyAlignment="1">
      <alignment vertical="center"/>
    </xf>
    <xf numFmtId="0" fontId="90" fillId="31" borderId="97" xfId="0" applyFont="1" applyFill="1" applyBorder="1" applyAlignment="1">
      <alignment horizontal="center" vertical="center"/>
    </xf>
    <xf numFmtId="0" fontId="90" fillId="31" borderId="98" xfId="0" applyFont="1" applyFill="1" applyBorder="1" applyAlignment="1">
      <alignment horizontal="center" vertical="center"/>
    </xf>
    <xf numFmtId="0" fontId="90" fillId="31" borderId="99" xfId="0" applyFont="1" applyFill="1" applyBorder="1" applyAlignment="1">
      <alignment horizontal="center" vertical="center"/>
    </xf>
    <xf numFmtId="0" fontId="83" fillId="8" borderId="100" xfId="0" applyFont="1" applyFill="1" applyBorder="1"/>
    <xf numFmtId="0" fontId="83" fillId="8" borderId="101" xfId="0" applyFont="1" applyFill="1" applyBorder="1"/>
    <xf numFmtId="165" fontId="83" fillId="8" borderId="100" xfId="5" applyFont="1" applyFill="1" applyBorder="1"/>
    <xf numFmtId="165" fontId="83" fillId="8" borderId="101" xfId="5" applyFont="1" applyFill="1" applyBorder="1"/>
    <xf numFmtId="3" fontId="83" fillId="8" borderId="100" xfId="13" applyNumberFormat="1" applyFont="1" applyFill="1" applyBorder="1"/>
    <xf numFmtId="3" fontId="83" fillId="8" borderId="101" xfId="13" applyNumberFormat="1" applyFont="1" applyFill="1" applyBorder="1"/>
    <xf numFmtId="169" fontId="83" fillId="8" borderId="100" xfId="20" applyNumberFormat="1" applyFont="1" applyFill="1" applyBorder="1"/>
    <xf numFmtId="169" fontId="83" fillId="8" borderId="101" xfId="20" applyNumberFormat="1" applyFont="1" applyFill="1" applyBorder="1"/>
    <xf numFmtId="9" fontId="83" fillId="8" borderId="104" xfId="20" applyFont="1" applyFill="1" applyBorder="1"/>
    <xf numFmtId="9" fontId="83" fillId="8" borderId="105" xfId="20" applyFont="1" applyFill="1" applyBorder="1"/>
    <xf numFmtId="0" fontId="83" fillId="8" borderId="107" xfId="0" applyFont="1" applyFill="1" applyBorder="1"/>
    <xf numFmtId="0" fontId="90" fillId="31" borderId="109" xfId="0" applyFont="1" applyFill="1" applyBorder="1" applyAlignment="1">
      <alignment horizontal="center" vertical="center"/>
    </xf>
    <xf numFmtId="0" fontId="84" fillId="8" borderId="110" xfId="0" applyFont="1" applyFill="1" applyBorder="1"/>
    <xf numFmtId="0" fontId="83" fillId="8" borderId="110" xfId="0" applyFont="1" applyFill="1" applyBorder="1"/>
    <xf numFmtId="3" fontId="83" fillId="8" borderId="110" xfId="13" applyNumberFormat="1" applyFont="1" applyFill="1" applyBorder="1"/>
    <xf numFmtId="169" fontId="83" fillId="8" borderId="110" xfId="20" applyNumberFormat="1" applyFont="1" applyFill="1" applyBorder="1"/>
    <xf numFmtId="165" fontId="83" fillId="8" borderId="110" xfId="5" applyFont="1" applyFill="1" applyBorder="1"/>
    <xf numFmtId="3" fontId="83" fillId="8" borderId="0" xfId="0" applyNumberFormat="1" applyFont="1" applyFill="1" applyBorder="1"/>
    <xf numFmtId="0" fontId="84" fillId="37" borderId="9" xfId="0" applyFont="1" applyFill="1" applyBorder="1"/>
    <xf numFmtId="0" fontId="83" fillId="37" borderId="10" xfId="0" applyFont="1" applyFill="1" applyBorder="1"/>
    <xf numFmtId="3" fontId="83" fillId="37" borderId="10" xfId="5" applyNumberFormat="1" applyFont="1" applyFill="1" applyBorder="1"/>
    <xf numFmtId="165" fontId="83" fillId="37" borderId="0" xfId="5" applyFont="1" applyFill="1" applyBorder="1"/>
    <xf numFmtId="3" fontId="83" fillId="37" borderId="10" xfId="0" applyNumberFormat="1" applyFont="1" applyFill="1" applyBorder="1"/>
    <xf numFmtId="170" fontId="3" fillId="19" borderId="0" xfId="20" applyNumberFormat="1" applyFill="1"/>
    <xf numFmtId="170" fontId="3" fillId="0" borderId="0" xfId="20" applyNumberFormat="1" applyFill="1"/>
    <xf numFmtId="173" fontId="0" fillId="19" borderId="0" xfId="13" applyNumberFormat="1" applyFont="1" applyFill="1" applyAlignment="1"/>
    <xf numFmtId="0" fontId="6" fillId="36" borderId="0" xfId="0" applyFont="1" applyFill="1"/>
    <xf numFmtId="0" fontId="7" fillId="36" borderId="0" xfId="0" applyFont="1" applyFill="1"/>
    <xf numFmtId="4" fontId="0" fillId="29" borderId="0" xfId="0" applyNumberFormat="1" applyFill="1"/>
    <xf numFmtId="9" fontId="0" fillId="0" borderId="14" xfId="20" applyFont="1" applyBorder="1"/>
    <xf numFmtId="0" fontId="0" fillId="0" borderId="0" xfId="0" applyAlignment="1"/>
    <xf numFmtId="9" fontId="0" fillId="19" borderId="0" xfId="20" applyFont="1" applyFill="1" applyAlignment="1"/>
    <xf numFmtId="9" fontId="3" fillId="19" borderId="0" xfId="20" applyNumberFormat="1" applyFill="1"/>
    <xf numFmtId="9" fontId="0" fillId="11" borderId="0" xfId="20" applyNumberFormat="1" applyFont="1" applyFill="1"/>
    <xf numFmtId="9" fontId="3" fillId="0" borderId="0" xfId="20" applyNumberFormat="1" applyFill="1"/>
    <xf numFmtId="0" fontId="59" fillId="0" borderId="0" xfId="0" applyFont="1"/>
    <xf numFmtId="9" fontId="83" fillId="35" borderId="0" xfId="0" applyNumberFormat="1" applyFont="1" applyFill="1" applyBorder="1" applyAlignment="1" applyProtection="1"/>
    <xf numFmtId="9" fontId="59" fillId="0" borderId="0" xfId="20" applyFont="1"/>
    <xf numFmtId="0" fontId="4" fillId="0" borderId="76" xfId="0" applyFont="1" applyBorder="1"/>
    <xf numFmtId="0" fontId="4" fillId="0" borderId="76" xfId="0" applyFont="1" applyBorder="1" applyAlignment="1">
      <alignment horizontal="right"/>
    </xf>
    <xf numFmtId="173" fontId="4" fillId="0" borderId="76" xfId="13" applyNumberFormat="1" applyFont="1" applyBorder="1"/>
    <xf numFmtId="44" fontId="5" fillId="0" borderId="0" xfId="13" applyNumberFormat="1" applyFont="1"/>
    <xf numFmtId="0" fontId="0" fillId="19" borderId="0" xfId="0" applyNumberFormat="1" applyFill="1"/>
    <xf numFmtId="0" fontId="0" fillId="0" borderId="0" xfId="0" applyNumberFormat="1" applyFill="1"/>
    <xf numFmtId="167" fontId="0" fillId="0" borderId="13" xfId="2" applyNumberFormat="1" applyFont="1" applyBorder="1"/>
    <xf numFmtId="9" fontId="4" fillId="0" borderId="0" xfId="20" applyFont="1"/>
    <xf numFmtId="0" fontId="102" fillId="32" borderId="0" xfId="0" applyFont="1" applyFill="1" applyBorder="1"/>
    <xf numFmtId="173" fontId="3" fillId="0" borderId="0" xfId="13" applyNumberFormat="1" applyFont="1" applyBorder="1"/>
    <xf numFmtId="3" fontId="83" fillId="8" borderId="89" xfId="0" applyNumberFormat="1" applyFont="1" applyFill="1" applyBorder="1"/>
    <xf numFmtId="0" fontId="84" fillId="8" borderId="94" xfId="0" applyFont="1" applyFill="1" applyBorder="1"/>
    <xf numFmtId="0" fontId="84" fillId="8" borderId="101" xfId="0" applyFont="1" applyFill="1" applyBorder="1"/>
    <xf numFmtId="0" fontId="84" fillId="8" borderId="94" xfId="0" applyFont="1" applyFill="1" applyBorder="1" applyAlignment="1">
      <alignment horizontal="center"/>
    </xf>
    <xf numFmtId="0" fontId="84" fillId="8" borderId="97" xfId="0" applyFont="1" applyFill="1" applyBorder="1"/>
    <xf numFmtId="0" fontId="84" fillId="8" borderId="98" xfId="0" applyFont="1" applyFill="1" applyBorder="1"/>
    <xf numFmtId="0" fontId="84" fillId="8" borderId="99" xfId="0" applyFont="1" applyFill="1" applyBorder="1"/>
    <xf numFmtId="0" fontId="84" fillId="8" borderId="100" xfId="0" applyFont="1" applyFill="1" applyBorder="1"/>
    <xf numFmtId="0" fontId="83" fillId="8" borderId="113" xfId="0" applyFont="1" applyFill="1" applyBorder="1"/>
    <xf numFmtId="0" fontId="83" fillId="8" borderId="114" xfId="0" applyFont="1" applyFill="1" applyBorder="1"/>
    <xf numFmtId="0" fontId="83" fillId="30" borderId="100" xfId="0" applyFont="1" applyFill="1" applyBorder="1"/>
    <xf numFmtId="0" fontId="83" fillId="30" borderId="0" xfId="0" applyFont="1" applyFill="1" applyBorder="1"/>
    <xf numFmtId="173" fontId="83" fillId="30" borderId="0" xfId="13" applyNumberFormat="1" applyFont="1" applyFill="1" applyBorder="1"/>
    <xf numFmtId="167" fontId="83" fillId="30" borderId="0" xfId="2" applyNumberFormat="1" applyFont="1" applyFill="1" applyBorder="1"/>
    <xf numFmtId="9" fontId="83" fillId="30" borderId="0" xfId="20" applyFont="1" applyFill="1" applyBorder="1"/>
    <xf numFmtId="0" fontId="83" fillId="8" borderId="97" xfId="0" applyFont="1" applyFill="1" applyBorder="1"/>
    <xf numFmtId="0" fontId="83" fillId="8" borderId="98" xfId="0" applyFont="1" applyFill="1" applyBorder="1"/>
    <xf numFmtId="0" fontId="83" fillId="8" borderId="99" xfId="0" applyFont="1" applyFill="1" applyBorder="1"/>
    <xf numFmtId="0" fontId="83" fillId="30" borderId="0" xfId="13" applyNumberFormat="1" applyFont="1" applyFill="1" applyBorder="1"/>
    <xf numFmtId="9" fontId="83" fillId="30" borderId="0" xfId="20" applyFont="1" applyFill="1" applyBorder="1" applyAlignment="1">
      <alignment horizontal="center"/>
    </xf>
    <xf numFmtId="167" fontId="83" fillId="32" borderId="0" xfId="0" applyNumberFormat="1" applyFont="1" applyFill="1" applyBorder="1" applyAlignment="1" applyProtection="1"/>
    <xf numFmtId="9" fontId="85" fillId="32" borderId="0" xfId="20" applyFont="1" applyFill="1" applyBorder="1" applyAlignment="1" applyProtection="1">
      <alignment vertical="center"/>
    </xf>
    <xf numFmtId="9" fontId="83" fillId="32" borderId="0" xfId="20" applyFont="1" applyFill="1" applyBorder="1" applyAlignment="1" applyProtection="1"/>
    <xf numFmtId="0" fontId="54" fillId="38" borderId="5" xfId="0" applyFont="1" applyFill="1" applyBorder="1"/>
    <xf numFmtId="0" fontId="54" fillId="38" borderId="30" xfId="0" applyFont="1" applyFill="1" applyBorder="1" applyAlignment="1">
      <alignment horizontal="right"/>
    </xf>
    <xf numFmtId="0" fontId="49" fillId="38" borderId="0" xfId="0" applyFont="1" applyFill="1" applyBorder="1"/>
    <xf numFmtId="0" fontId="49" fillId="38" borderId="22" xfId="0" applyFont="1" applyFill="1" applyBorder="1"/>
    <xf numFmtId="0" fontId="48" fillId="0" borderId="0" xfId="20" applyNumberFormat="1" applyFont="1" applyFill="1" applyBorder="1"/>
    <xf numFmtId="0" fontId="48" fillId="0" borderId="0" xfId="13" applyNumberFormat="1" applyFont="1" applyFill="1" applyBorder="1"/>
    <xf numFmtId="0" fontId="48" fillId="0" borderId="0" xfId="0" applyNumberFormat="1" applyFont="1" applyFill="1" applyBorder="1"/>
    <xf numFmtId="0" fontId="48" fillId="0" borderId="22" xfId="13" applyNumberFormat="1" applyFont="1" applyFill="1" applyBorder="1"/>
    <xf numFmtId="169" fontId="59" fillId="0" borderId="0" xfId="20" applyNumberFormat="1" applyFont="1"/>
    <xf numFmtId="0" fontId="0" fillId="29" borderId="0" xfId="0" applyFill="1" applyAlignment="1">
      <alignment horizontal="left"/>
    </xf>
    <xf numFmtId="10" fontId="0" fillId="26" borderId="0" xfId="20" applyNumberFormat="1" applyFont="1" applyFill="1"/>
    <xf numFmtId="170" fontId="0" fillId="26" borderId="0" xfId="0" applyNumberFormat="1" applyFill="1"/>
    <xf numFmtId="37" fontId="0" fillId="0" borderId="0" xfId="2" applyNumberFormat="1" applyFont="1"/>
    <xf numFmtId="9" fontId="0" fillId="29" borderId="0" xfId="0" applyNumberFormat="1" applyFill="1"/>
    <xf numFmtId="9" fontId="3" fillId="26" borderId="0" xfId="0" applyNumberFormat="1" applyFont="1" applyFill="1"/>
    <xf numFmtId="9" fontId="0" fillId="26" borderId="0" xfId="13" applyNumberFormat="1" applyFont="1" applyFill="1"/>
    <xf numFmtId="42" fontId="0" fillId="26" borderId="0" xfId="13" applyNumberFormat="1" applyFont="1" applyFill="1"/>
    <xf numFmtId="0" fontId="3" fillId="15" borderId="0" xfId="0" applyFont="1" applyFill="1" applyAlignment="1">
      <alignment horizontal="right"/>
    </xf>
    <xf numFmtId="0" fontId="3" fillId="0" borderId="0" xfId="0" applyFont="1" applyAlignment="1">
      <alignment horizontal="right"/>
    </xf>
    <xf numFmtId="0" fontId="83" fillId="30" borderId="0" xfId="0" quotePrefix="1" applyFont="1" applyFill="1" applyBorder="1" applyAlignment="1" applyProtection="1">
      <alignment horizontal="right"/>
    </xf>
    <xf numFmtId="0" fontId="3" fillId="20" borderId="0" xfId="0" applyFont="1" applyFill="1" applyAlignment="1">
      <alignment horizontal="right"/>
    </xf>
    <xf numFmtId="0" fontId="3" fillId="21" borderId="0" xfId="0" applyFont="1" applyFill="1" applyBorder="1"/>
    <xf numFmtId="3" fontId="4" fillId="0" borderId="0" xfId="20" applyNumberFormat="1" applyFont="1"/>
    <xf numFmtId="1" fontId="4" fillId="0" borderId="0" xfId="20" applyNumberFormat="1" applyFont="1"/>
    <xf numFmtId="1" fontId="4" fillId="0" borderId="0" xfId="3" applyNumberFormat="1" applyFont="1"/>
    <xf numFmtId="3" fontId="4" fillId="20" borderId="0" xfId="3" applyNumberFormat="1" applyFont="1" applyFill="1"/>
    <xf numFmtId="170" fontId="0" fillId="18" borderId="0" xfId="20" applyNumberFormat="1" applyFont="1" applyFill="1"/>
    <xf numFmtId="0" fontId="0" fillId="39" borderId="0" xfId="0" applyFill="1"/>
    <xf numFmtId="43" fontId="0" fillId="21" borderId="0" xfId="0" applyNumberFormat="1" applyFill="1"/>
    <xf numFmtId="0" fontId="0" fillId="29" borderId="0" xfId="0" applyFill="1" applyAlignment="1">
      <alignment horizontal="center"/>
    </xf>
    <xf numFmtId="0" fontId="76" fillId="30" borderId="0" xfId="0" applyFont="1" applyFill="1" applyBorder="1"/>
    <xf numFmtId="0" fontId="82" fillId="40" borderId="0" xfId="0" applyFont="1" applyFill="1" applyBorder="1" applyAlignment="1" applyProtection="1">
      <alignment horizontal="center" vertical="center"/>
      <protection locked="0"/>
    </xf>
    <xf numFmtId="167" fontId="83" fillId="40" borderId="0" xfId="2" applyNumberFormat="1" applyFont="1" applyFill="1" applyBorder="1" applyAlignment="1" applyProtection="1">
      <alignment horizontal="center" vertical="center"/>
      <protection locked="0"/>
    </xf>
    <xf numFmtId="0" fontId="83" fillId="40" borderId="0" xfId="13" applyNumberFormat="1" applyFont="1" applyFill="1" applyBorder="1" applyAlignment="1" applyProtection="1">
      <alignment horizontal="center" vertical="center"/>
      <protection locked="0"/>
    </xf>
    <xf numFmtId="0" fontId="93" fillId="32" borderId="0" xfId="0" applyFont="1" applyFill="1" applyBorder="1" applyAlignment="1" applyProtection="1"/>
    <xf numFmtId="170" fontId="83" fillId="40" borderId="0" xfId="2" applyNumberFormat="1" applyFont="1" applyFill="1" applyBorder="1" applyAlignment="1" applyProtection="1">
      <alignment horizontal="center" vertical="center"/>
      <protection locked="0"/>
    </xf>
    <xf numFmtId="37" fontId="83" fillId="40" borderId="0" xfId="2" applyNumberFormat="1" applyFont="1" applyFill="1" applyBorder="1" applyAlignment="1" applyProtection="1">
      <alignment horizontal="center" vertical="center"/>
      <protection locked="0"/>
    </xf>
    <xf numFmtId="184" fontId="83" fillId="40" borderId="0" xfId="2" applyNumberFormat="1" applyFont="1" applyFill="1" applyBorder="1" applyAlignment="1" applyProtection="1">
      <alignment horizontal="center" vertical="center"/>
      <protection locked="0"/>
    </xf>
    <xf numFmtId="0" fontId="83" fillId="40" borderId="0" xfId="2" applyNumberFormat="1" applyFont="1" applyFill="1" applyBorder="1" applyAlignment="1" applyProtection="1">
      <alignment horizontal="center" vertical="center"/>
      <protection locked="0"/>
    </xf>
    <xf numFmtId="0" fontId="83" fillId="35" borderId="0" xfId="0" applyFont="1" applyFill="1" applyBorder="1" applyAlignment="1" applyProtection="1">
      <alignment horizontal="center" vertical="center"/>
    </xf>
    <xf numFmtId="0" fontId="104" fillId="0" borderId="0" xfId="24" applyFont="1"/>
    <xf numFmtId="0" fontId="104" fillId="0" borderId="0" xfId="25" applyFont="1"/>
    <xf numFmtId="0" fontId="104" fillId="0" borderId="0" xfId="24" applyFont="1" applyFill="1" applyBorder="1"/>
    <xf numFmtId="0" fontId="104" fillId="41" borderId="6" xfId="25" applyFont="1" applyFill="1" applyBorder="1"/>
    <xf numFmtId="0" fontId="105" fillId="0" borderId="0" xfId="24" applyFont="1"/>
    <xf numFmtId="0" fontId="104" fillId="36" borderId="115" xfId="24" applyFont="1" applyFill="1" applyBorder="1"/>
    <xf numFmtId="0" fontId="104" fillId="32" borderId="0" xfId="24" applyFont="1" applyFill="1" applyBorder="1"/>
    <xf numFmtId="0" fontId="104" fillId="0" borderId="116" xfId="24" applyFont="1" applyBorder="1"/>
    <xf numFmtId="0" fontId="104" fillId="0" borderId="65" xfId="24" applyFont="1" applyBorder="1"/>
    <xf numFmtId="0" fontId="104" fillId="36" borderId="65" xfId="24" quotePrefix="1" applyFont="1" applyFill="1" applyBorder="1"/>
    <xf numFmtId="0" fontId="104" fillId="36" borderId="65" xfId="24" applyFont="1" applyFill="1" applyBorder="1"/>
    <xf numFmtId="0" fontId="96" fillId="42" borderId="65" xfId="24" applyNumberFormat="1" applyFont="1" applyFill="1" applyBorder="1" applyAlignment="1" applyProtection="1"/>
    <xf numFmtId="0" fontId="104" fillId="36" borderId="65" xfId="24" applyNumberFormat="1" applyFont="1" applyFill="1" applyBorder="1" applyAlignment="1" applyProtection="1"/>
    <xf numFmtId="0" fontId="104" fillId="36" borderId="1" xfId="24" applyFont="1" applyFill="1" applyBorder="1"/>
    <xf numFmtId="0" fontId="104" fillId="0" borderId="117" xfId="24" applyFont="1" applyBorder="1"/>
    <xf numFmtId="0" fontId="104" fillId="0" borderId="0" xfId="24" applyFont="1" applyBorder="1"/>
    <xf numFmtId="0" fontId="104" fillId="41" borderId="6" xfId="25" applyFont="1" applyFill="1" applyBorder="1" applyAlignment="1">
      <alignment horizontal="center"/>
    </xf>
    <xf numFmtId="0" fontId="104" fillId="41" borderId="115" xfId="24" applyFont="1" applyFill="1" applyBorder="1"/>
    <xf numFmtId="0" fontId="104" fillId="41" borderId="25" xfId="24" applyFont="1" applyFill="1" applyBorder="1" applyAlignment="1">
      <alignment horizontal="center" vertical="center"/>
    </xf>
    <xf numFmtId="0" fontId="104" fillId="36" borderId="6" xfId="24" applyFont="1" applyFill="1" applyBorder="1"/>
    <xf numFmtId="0" fontId="106" fillId="36" borderId="0" xfId="24" applyFont="1" applyFill="1" applyAlignment="1">
      <alignment horizontal="center"/>
    </xf>
    <xf numFmtId="0" fontId="106" fillId="0" borderId="0" xfId="24" applyFont="1"/>
    <xf numFmtId="0" fontId="104" fillId="0" borderId="0" xfId="24" applyFont="1" applyBorder="1" applyProtection="1"/>
    <xf numFmtId="0" fontId="104" fillId="0" borderId="0" xfId="24" applyFont="1" applyAlignment="1">
      <alignment horizontal="left" indent="2"/>
    </xf>
    <xf numFmtId="0" fontId="80" fillId="43" borderId="0" xfId="24" applyFont="1" applyFill="1"/>
    <xf numFmtId="0" fontId="80" fillId="43" borderId="0" xfId="25" applyFont="1" applyFill="1"/>
    <xf numFmtId="0" fontId="80" fillId="43" borderId="0" xfId="25" applyFont="1" applyFill="1" applyAlignment="1">
      <alignment horizontal="center"/>
    </xf>
    <xf numFmtId="0" fontId="80" fillId="43" borderId="0" xfId="24" applyFont="1" applyFill="1" applyAlignment="1">
      <alignment horizontal="center"/>
    </xf>
    <xf numFmtId="0" fontId="98" fillId="43" borderId="0" xfId="24" applyFont="1" applyFill="1" applyAlignment="1">
      <alignment horizontal="left" vertical="center"/>
    </xf>
    <xf numFmtId="0" fontId="104" fillId="0" borderId="13" xfId="24" applyFont="1" applyBorder="1"/>
    <xf numFmtId="0" fontId="104" fillId="0" borderId="12" xfId="24" applyFont="1" applyBorder="1"/>
    <xf numFmtId="0" fontId="104" fillId="0" borderId="0" xfId="24" applyFont="1" applyAlignment="1">
      <alignment horizontal="center"/>
    </xf>
    <xf numFmtId="0" fontId="104" fillId="0" borderId="12" xfId="24" applyFont="1" applyBorder="1" applyAlignment="1">
      <alignment horizontal="center"/>
    </xf>
    <xf numFmtId="0" fontId="106" fillId="0" borderId="0" xfId="24" applyFont="1" applyAlignment="1">
      <alignment horizontal="center"/>
    </xf>
    <xf numFmtId="0" fontId="106" fillId="0" borderId="0" xfId="24" applyFont="1" applyFill="1" applyBorder="1" applyAlignment="1">
      <alignment horizontal="center"/>
    </xf>
    <xf numFmtId="0" fontId="106" fillId="0" borderId="13" xfId="24" applyFont="1" applyBorder="1" applyAlignment="1">
      <alignment horizontal="center"/>
    </xf>
    <xf numFmtId="0" fontId="106" fillId="0" borderId="12" xfId="24" applyFont="1" applyBorder="1" applyAlignment="1">
      <alignment horizontal="center"/>
    </xf>
    <xf numFmtId="0" fontId="108" fillId="0" borderId="0" xfId="24" applyFont="1"/>
    <xf numFmtId="0" fontId="108" fillId="0" borderId="0" xfId="25" applyFont="1"/>
    <xf numFmtId="0" fontId="108" fillId="0" borderId="0" xfId="24" applyFont="1" applyFill="1" applyBorder="1"/>
    <xf numFmtId="0" fontId="80" fillId="43" borderId="0" xfId="24" applyFont="1" applyFill="1" applyAlignment="1">
      <alignment horizontal="left"/>
    </xf>
    <xf numFmtId="0" fontId="83" fillId="0" borderId="0" xfId="24" quotePrefix="1" applyFont="1" applyFill="1" applyBorder="1"/>
    <xf numFmtId="0" fontId="83" fillId="0" borderId="0" xfId="24" quotePrefix="1" applyFont="1"/>
    <xf numFmtId="0" fontId="104" fillId="41" borderId="0" xfId="24" applyFont="1" applyFill="1"/>
    <xf numFmtId="0" fontId="96" fillId="42" borderId="0" xfId="24" applyFont="1" applyFill="1"/>
    <xf numFmtId="0" fontId="104" fillId="36" borderId="0" xfId="24" applyFont="1" applyFill="1"/>
    <xf numFmtId="0" fontId="109" fillId="0" borderId="0" xfId="26" applyFill="1" applyBorder="1"/>
    <xf numFmtId="0" fontId="109" fillId="0" borderId="0" xfId="26"/>
    <xf numFmtId="0" fontId="110" fillId="44" borderId="0" xfId="24" applyFont="1" applyFill="1" applyAlignment="1">
      <alignment vertical="center"/>
    </xf>
    <xf numFmtId="0" fontId="98" fillId="38" borderId="0" xfId="24" applyFont="1" applyFill="1" applyAlignment="1">
      <alignment vertical="center"/>
    </xf>
    <xf numFmtId="0" fontId="98" fillId="38" borderId="0" xfId="25" applyFont="1" applyFill="1" applyAlignment="1">
      <alignment vertical="center"/>
    </xf>
    <xf numFmtId="0" fontId="98" fillId="38" borderId="0" xfId="24" applyFont="1" applyFill="1" applyAlignment="1">
      <alignment horizontal="right" vertical="center"/>
    </xf>
    <xf numFmtId="0" fontId="0" fillId="0" borderId="73" xfId="0" applyBorder="1"/>
    <xf numFmtId="0" fontId="0" fillId="36" borderId="73" xfId="0" applyFill="1" applyBorder="1"/>
    <xf numFmtId="0" fontId="0" fillId="36" borderId="0" xfId="0" applyFill="1" applyBorder="1"/>
    <xf numFmtId="0" fontId="0" fillId="36" borderId="22" xfId="0" applyFill="1" applyBorder="1"/>
    <xf numFmtId="0" fontId="0" fillId="36" borderId="23" xfId="0" applyFill="1" applyBorder="1"/>
    <xf numFmtId="0" fontId="0" fillId="36" borderId="75" xfId="0" applyFill="1" applyBorder="1"/>
    <xf numFmtId="0" fontId="0" fillId="36" borderId="24" xfId="0" applyFill="1" applyBorder="1"/>
    <xf numFmtId="0" fontId="4" fillId="0" borderId="71" xfId="0" applyFont="1" applyBorder="1"/>
    <xf numFmtId="0" fontId="4" fillId="0" borderId="30" xfId="0" applyFont="1" applyBorder="1"/>
    <xf numFmtId="0" fontId="4" fillId="0" borderId="5" xfId="0" applyFont="1" applyFill="1" applyBorder="1"/>
    <xf numFmtId="2" fontId="3" fillId="26" borderId="0" xfId="0" applyNumberFormat="1" applyFont="1" applyFill="1"/>
    <xf numFmtId="0" fontId="84" fillId="32" borderId="0" xfId="0" applyFont="1" applyFill="1" applyBorder="1"/>
    <xf numFmtId="0" fontId="112" fillId="18" borderId="0" xfId="0" applyFont="1" applyFill="1"/>
    <xf numFmtId="9" fontId="0" fillId="18" borderId="0" xfId="0" applyNumberFormat="1" applyFill="1"/>
    <xf numFmtId="167" fontId="0" fillId="26" borderId="0" xfId="2" applyNumberFormat="1" applyFont="1" applyFill="1"/>
    <xf numFmtId="167" fontId="0" fillId="26" borderId="0" xfId="13" applyNumberFormat="1" applyFont="1" applyFill="1"/>
    <xf numFmtId="9" fontId="0" fillId="36" borderId="6" xfId="0" applyNumberFormat="1" applyFill="1" applyBorder="1"/>
    <xf numFmtId="0" fontId="84" fillId="8" borderId="94" xfId="0" applyFont="1" applyFill="1" applyBorder="1" applyAlignment="1">
      <alignment horizontal="center"/>
    </xf>
    <xf numFmtId="0" fontId="83" fillId="8" borderId="118" xfId="0" applyFont="1" applyFill="1" applyBorder="1"/>
    <xf numFmtId="0" fontId="83" fillId="8" borderId="119" xfId="0" applyFont="1" applyFill="1" applyBorder="1"/>
    <xf numFmtId="0" fontId="83" fillId="8" borderId="120" xfId="0" applyFont="1" applyFill="1" applyBorder="1"/>
    <xf numFmtId="0" fontId="83" fillId="8" borderId="121" xfId="0" applyFont="1" applyFill="1" applyBorder="1"/>
    <xf numFmtId="0" fontId="83" fillId="8" borderId="122" xfId="0" applyFont="1" applyFill="1" applyBorder="1"/>
    <xf numFmtId="0" fontId="83" fillId="30" borderId="121" xfId="0" applyFont="1" applyFill="1" applyBorder="1"/>
    <xf numFmtId="0" fontId="83" fillId="32" borderId="123" xfId="0" applyFont="1" applyFill="1" applyBorder="1" applyAlignment="1" applyProtection="1"/>
    <xf numFmtId="0" fontId="83" fillId="32" borderId="124" xfId="0" applyFont="1" applyFill="1" applyBorder="1" applyAlignment="1" applyProtection="1"/>
    <xf numFmtId="0" fontId="83" fillId="32" borderId="125" xfId="0" applyFont="1" applyFill="1" applyBorder="1" applyAlignment="1" applyProtection="1"/>
    <xf numFmtId="0" fontId="83" fillId="32" borderId="92" xfId="0" applyFont="1" applyFill="1" applyBorder="1" applyAlignment="1" applyProtection="1"/>
    <xf numFmtId="0" fontId="0" fillId="35" borderId="0" xfId="0" applyFill="1"/>
    <xf numFmtId="0" fontId="6" fillId="35" borderId="0" xfId="0" applyFont="1" applyFill="1" applyBorder="1" applyProtection="1"/>
    <xf numFmtId="0" fontId="6" fillId="35" borderId="0" xfId="0" applyFont="1" applyFill="1" applyBorder="1"/>
    <xf numFmtId="0" fontId="6" fillId="32" borderId="0" xfId="0" applyFont="1" applyFill="1" applyBorder="1"/>
    <xf numFmtId="0" fontId="83" fillId="35" borderId="0" xfId="0" applyFont="1" applyFill="1"/>
    <xf numFmtId="0" fontId="84" fillId="35" borderId="0" xfId="0" applyFont="1" applyFill="1" applyBorder="1"/>
    <xf numFmtId="169" fontId="4" fillId="0" borderId="0" xfId="0" applyNumberFormat="1" applyFont="1"/>
    <xf numFmtId="9" fontId="0" fillId="19" borderId="0" xfId="13" applyNumberFormat="1" applyFont="1" applyFill="1"/>
    <xf numFmtId="0" fontId="75" fillId="8" borderId="0" xfId="0" applyFont="1" applyFill="1" applyBorder="1"/>
    <xf numFmtId="0" fontId="54" fillId="38" borderId="71" xfId="0" applyFont="1" applyFill="1" applyBorder="1"/>
    <xf numFmtId="0" fontId="48" fillId="0" borderId="73" xfId="0" applyFont="1" applyFill="1" applyBorder="1"/>
    <xf numFmtId="0" fontId="49" fillId="38" borderId="73" xfId="0" applyFont="1" applyFill="1" applyBorder="1"/>
    <xf numFmtId="0" fontId="48" fillId="0" borderId="75" xfId="0" applyFont="1" applyFill="1" applyBorder="1"/>
    <xf numFmtId="0" fontId="48" fillId="0" borderId="75" xfId="0" applyFont="1" applyFill="1" applyBorder="1" applyAlignment="1">
      <alignment horizontal="center"/>
    </xf>
    <xf numFmtId="0" fontId="48" fillId="0" borderId="24" xfId="0" applyFont="1" applyFill="1" applyBorder="1" applyAlignment="1">
      <alignment horizontal="center"/>
    </xf>
    <xf numFmtId="0" fontId="50" fillId="0" borderId="73" xfId="0" applyFont="1" applyFill="1" applyBorder="1"/>
    <xf numFmtId="0" fontId="48" fillId="0" borderId="22" xfId="20" applyNumberFormat="1" applyFont="1" applyFill="1" applyBorder="1"/>
    <xf numFmtId="0" fontId="48" fillId="0" borderId="75" xfId="13" applyNumberFormat="1" applyFont="1" applyFill="1" applyBorder="1"/>
    <xf numFmtId="0" fontId="48" fillId="0" borderId="75" xfId="0" applyNumberFormat="1" applyFont="1" applyFill="1" applyBorder="1"/>
    <xf numFmtId="0" fontId="48" fillId="0" borderId="24" xfId="13" applyNumberFormat="1" applyFont="1" applyFill="1" applyBorder="1"/>
    <xf numFmtId="41" fontId="0" fillId="29" borderId="0" xfId="0" applyNumberFormat="1" applyFill="1"/>
    <xf numFmtId="173" fontId="0" fillId="0" borderId="0" xfId="13" applyNumberFormat="1" applyFont="1" applyAlignment="1">
      <alignment horizontal="right"/>
    </xf>
    <xf numFmtId="0" fontId="98" fillId="38" borderId="0" xfId="28" applyFont="1" applyFill="1"/>
    <xf numFmtId="0" fontId="80" fillId="38" borderId="0" xfId="28" applyFont="1" applyFill="1"/>
    <xf numFmtId="0" fontId="108" fillId="0" borderId="0" xfId="29" applyFont="1"/>
    <xf numFmtId="0" fontId="108" fillId="0" borderId="0" xfId="29" applyFont="1" applyFill="1" applyBorder="1"/>
    <xf numFmtId="0" fontId="115" fillId="0" borderId="0" xfId="26" applyFont="1" applyAlignment="1">
      <alignment horizontal="left" vertical="center"/>
    </xf>
    <xf numFmtId="0" fontId="115" fillId="0" borderId="0" xfId="26" applyFont="1" applyAlignment="1">
      <alignment horizontal="center" vertical="center"/>
    </xf>
    <xf numFmtId="0" fontId="108" fillId="0" borderId="0" xfId="28" applyFont="1"/>
    <xf numFmtId="0" fontId="80" fillId="43" borderId="0" xfId="28" applyFont="1" applyFill="1" applyAlignment="1">
      <alignment horizontal="left"/>
    </xf>
    <xf numFmtId="0" fontId="80" fillId="43" borderId="0" xfId="28" applyFont="1" applyFill="1"/>
    <xf numFmtId="0" fontId="80" fillId="43" borderId="0" xfId="28" applyFont="1" applyFill="1" applyAlignment="1">
      <alignment horizontal="center"/>
    </xf>
    <xf numFmtId="0" fontId="110" fillId="0" borderId="0" xfId="28" applyFont="1"/>
    <xf numFmtId="0" fontId="99" fillId="0" borderId="0" xfId="28" applyFont="1"/>
    <xf numFmtId="0" fontId="108" fillId="36" borderId="0" xfId="28" applyFont="1" applyFill="1"/>
    <xf numFmtId="0" fontId="91" fillId="0" borderId="0" xfId="28" quotePrefix="1" applyFont="1"/>
    <xf numFmtId="0" fontId="108" fillId="41" borderId="0" xfId="28" applyFont="1" applyFill="1"/>
    <xf numFmtId="0" fontId="80" fillId="42" borderId="0" xfId="28" applyFont="1" applyFill="1"/>
    <xf numFmtId="0" fontId="80" fillId="45" borderId="0" xfId="28" applyFont="1" applyFill="1"/>
    <xf numFmtId="0" fontId="98" fillId="43" borderId="0" xfId="28" applyFont="1" applyFill="1" applyAlignment="1">
      <alignment vertical="center"/>
    </xf>
    <xf numFmtId="0" fontId="80" fillId="43" borderId="0" xfId="28" applyFont="1" applyFill="1" applyAlignment="1">
      <alignment vertical="center"/>
    </xf>
    <xf numFmtId="0" fontId="108" fillId="36" borderId="0" xfId="28" applyFont="1" applyFill="1" applyAlignment="1">
      <alignment horizontal="center"/>
    </xf>
    <xf numFmtId="0" fontId="116" fillId="0" borderId="0" xfId="28" applyFont="1"/>
    <xf numFmtId="0" fontId="1" fillId="46" borderId="0" xfId="29" applyFill="1"/>
    <xf numFmtId="0" fontId="1" fillId="0" borderId="0" xfId="29"/>
    <xf numFmtId="173" fontId="83" fillId="46" borderId="100" xfId="13" applyNumberFormat="1" applyFont="1" applyFill="1" applyBorder="1"/>
    <xf numFmtId="173" fontId="83" fillId="46" borderId="0" xfId="13" applyNumberFormat="1" applyFont="1" applyFill="1" applyBorder="1"/>
    <xf numFmtId="173" fontId="83" fillId="46" borderId="101" xfId="13" applyNumberFormat="1" applyFont="1" applyFill="1" applyBorder="1"/>
    <xf numFmtId="173" fontId="83" fillId="46" borderId="110" xfId="13" applyNumberFormat="1" applyFont="1" applyFill="1" applyBorder="1"/>
    <xf numFmtId="3" fontId="83" fillId="46" borderId="100" xfId="13" applyNumberFormat="1" applyFont="1" applyFill="1" applyBorder="1"/>
    <xf numFmtId="3" fontId="83" fillId="46" borderId="102" xfId="13" applyNumberFormat="1" applyFont="1" applyFill="1" applyBorder="1"/>
    <xf numFmtId="169" fontId="83" fillId="46" borderId="100" xfId="20" applyNumberFormat="1" applyFont="1" applyFill="1" applyBorder="1"/>
    <xf numFmtId="9" fontId="88" fillId="46" borderId="0" xfId="20" applyFont="1" applyFill="1" applyBorder="1" applyAlignment="1" applyProtection="1">
      <alignment horizontal="center"/>
    </xf>
    <xf numFmtId="9" fontId="103" fillId="46" borderId="0" xfId="20" applyFont="1" applyFill="1" applyBorder="1" applyAlignment="1" applyProtection="1">
      <alignment horizontal="center" vertical="center"/>
    </xf>
    <xf numFmtId="169" fontId="92" fillId="46" borderId="0" xfId="20" applyNumberFormat="1" applyFont="1" applyFill="1" applyBorder="1" applyAlignment="1" applyProtection="1"/>
    <xf numFmtId="9" fontId="90" fillId="46" borderId="0" xfId="20" applyFont="1" applyFill="1" applyBorder="1" applyAlignment="1" applyProtection="1">
      <alignment horizontal="center" vertical="center"/>
    </xf>
    <xf numFmtId="0" fontId="88" fillId="46" borderId="0" xfId="20" applyNumberFormat="1" applyFont="1" applyFill="1" applyBorder="1" applyAlignment="1" applyProtection="1">
      <alignment horizontal="center"/>
    </xf>
    <xf numFmtId="1" fontId="88" fillId="46" borderId="0" xfId="20" applyNumberFormat="1" applyFont="1" applyFill="1" applyBorder="1" applyAlignment="1" applyProtection="1">
      <alignment horizontal="center"/>
    </xf>
    <xf numFmtId="170" fontId="88" fillId="46" borderId="0" xfId="20" applyNumberFormat="1" applyFont="1" applyFill="1" applyBorder="1" applyAlignment="1" applyProtection="1">
      <alignment horizontal="center"/>
    </xf>
    <xf numFmtId="9" fontId="88" fillId="46" borderId="0" xfId="20" applyNumberFormat="1" applyFont="1" applyFill="1" applyBorder="1" applyAlignment="1" applyProtection="1">
      <alignment horizontal="center"/>
    </xf>
    <xf numFmtId="170" fontId="103" fillId="46" borderId="0" xfId="13" applyNumberFormat="1" applyFont="1" applyFill="1" applyBorder="1" applyAlignment="1" applyProtection="1">
      <alignment horizontal="center" vertical="center"/>
    </xf>
    <xf numFmtId="0" fontId="96" fillId="46" borderId="0" xfId="0" applyFont="1" applyFill="1" applyBorder="1" applyAlignment="1">
      <alignment horizontal="right"/>
    </xf>
    <xf numFmtId="0" fontId="93" fillId="46" borderId="0" xfId="20" applyNumberFormat="1" applyFont="1" applyFill="1" applyBorder="1" applyAlignment="1" applyProtection="1">
      <alignment horizontal="center"/>
    </xf>
    <xf numFmtId="165" fontId="83" fillId="32" borderId="100" xfId="5" applyFont="1" applyFill="1" applyBorder="1"/>
    <xf numFmtId="3" fontId="83" fillId="46" borderId="0" xfId="13" applyNumberFormat="1" applyFont="1" applyFill="1" applyBorder="1"/>
    <xf numFmtId="3" fontId="83" fillId="46" borderId="101" xfId="13" applyNumberFormat="1" applyFont="1" applyFill="1" applyBorder="1"/>
    <xf numFmtId="3" fontId="83" fillId="46" borderId="10" xfId="13" applyNumberFormat="1" applyFont="1" applyFill="1" applyBorder="1"/>
    <xf numFmtId="169" fontId="83" fillId="46" borderId="0" xfId="20" applyNumberFormat="1" applyFont="1" applyFill="1" applyBorder="1"/>
    <xf numFmtId="3" fontId="83" fillId="46" borderId="103" xfId="13" applyNumberFormat="1" applyFont="1" applyFill="1" applyBorder="1"/>
    <xf numFmtId="169" fontId="83" fillId="46" borderId="101" xfId="20" applyNumberFormat="1" applyFont="1" applyFill="1" applyBorder="1"/>
    <xf numFmtId="3" fontId="84" fillId="46" borderId="111" xfId="13" applyNumberFormat="1" applyFont="1" applyFill="1" applyBorder="1"/>
    <xf numFmtId="169" fontId="83" fillId="46" borderId="110" xfId="20" applyNumberFormat="1" applyFont="1" applyFill="1" applyBorder="1"/>
    <xf numFmtId="3" fontId="83" fillId="46" borderId="110" xfId="13" applyNumberFormat="1" applyFont="1" applyFill="1" applyBorder="1"/>
    <xf numFmtId="3" fontId="84" fillId="46" borderId="110" xfId="13" applyNumberFormat="1" applyFont="1" applyFill="1" applyBorder="1"/>
    <xf numFmtId="3" fontId="83" fillId="46" borderId="111" xfId="13" applyNumberFormat="1" applyFont="1" applyFill="1" applyBorder="1"/>
    <xf numFmtId="169" fontId="83" fillId="46" borderId="106" xfId="20" applyNumberFormat="1" applyFont="1" applyFill="1" applyBorder="1"/>
    <xf numFmtId="169" fontId="83" fillId="46" borderId="94" xfId="20" applyNumberFormat="1" applyFont="1" applyFill="1" applyBorder="1"/>
    <xf numFmtId="169" fontId="83" fillId="46" borderId="108" xfId="20" applyNumberFormat="1" applyFont="1" applyFill="1" applyBorder="1"/>
    <xf numFmtId="169" fontId="83" fillId="46" borderId="112" xfId="20" applyNumberFormat="1" applyFont="1" applyFill="1" applyBorder="1"/>
    <xf numFmtId="0" fontId="0" fillId="46" borderId="0" xfId="0" applyFill="1"/>
    <xf numFmtId="16" fontId="0" fillId="46" borderId="0" xfId="0" quotePrefix="1" applyNumberFormat="1" applyFill="1"/>
    <xf numFmtId="0" fontId="0" fillId="46" borderId="0" xfId="0" quotePrefix="1" applyFill="1"/>
    <xf numFmtId="0" fontId="6" fillId="46" borderId="0" xfId="0" applyFont="1" applyFill="1" applyAlignment="1"/>
    <xf numFmtId="0" fontId="6" fillId="0" borderId="0" xfId="0" applyFont="1" applyFill="1" applyAlignment="1"/>
    <xf numFmtId="0" fontId="6" fillId="32" borderId="0" xfId="0" applyFont="1" applyFill="1" applyAlignment="1"/>
    <xf numFmtId="173" fontId="0" fillId="46" borderId="0" xfId="13" applyNumberFormat="1" applyFont="1" applyFill="1"/>
    <xf numFmtId="9" fontId="0" fillId="46" borderId="0" xfId="20" applyFont="1" applyFill="1"/>
    <xf numFmtId="167" fontId="0" fillId="46" borderId="0" xfId="2" applyNumberFormat="1" applyFont="1" applyFill="1"/>
    <xf numFmtId="170" fontId="0" fillId="46" borderId="0" xfId="2" applyNumberFormat="1" applyFont="1" applyFill="1"/>
    <xf numFmtId="170" fontId="0" fillId="46" borderId="0" xfId="0" applyNumberFormat="1" applyFill="1"/>
    <xf numFmtId="0" fontId="0" fillId="46" borderId="0" xfId="2" applyNumberFormat="1" applyFont="1" applyFill="1"/>
    <xf numFmtId="0" fontId="113" fillId="0" borderId="0" xfId="0" applyFont="1" applyBorder="1"/>
    <xf numFmtId="0" fontId="113" fillId="0" borderId="0" xfId="0" applyFont="1"/>
    <xf numFmtId="0" fontId="117" fillId="35" borderId="0" xfId="0" applyFont="1" applyFill="1" applyBorder="1" applyAlignment="1" applyProtection="1"/>
    <xf numFmtId="0" fontId="118" fillId="31" borderId="86" xfId="0" applyFont="1" applyFill="1" applyBorder="1" applyAlignment="1">
      <alignment vertical="center"/>
    </xf>
    <xf numFmtId="0" fontId="119" fillId="31" borderId="87" xfId="0" applyFont="1" applyFill="1" applyBorder="1" applyAlignment="1">
      <alignment horizontal="left" vertical="center"/>
    </xf>
    <xf numFmtId="0" fontId="119" fillId="31" borderId="87" xfId="0" applyFont="1" applyFill="1" applyBorder="1" applyAlignment="1">
      <alignment vertical="center"/>
    </xf>
    <xf numFmtId="0" fontId="119" fillId="31" borderId="87" xfId="0" applyFont="1" applyFill="1" applyBorder="1" applyAlignment="1">
      <alignment horizontal="center" vertical="center"/>
    </xf>
    <xf numFmtId="0" fontId="118" fillId="31" borderId="88" xfId="0" applyFont="1" applyFill="1" applyBorder="1" applyAlignment="1">
      <alignment horizontal="right" vertical="center"/>
    </xf>
    <xf numFmtId="0" fontId="120" fillId="8" borderId="0" xfId="0" applyFont="1" applyFill="1"/>
    <xf numFmtId="0" fontId="121" fillId="8" borderId="89" xfId="0" applyFont="1" applyFill="1" applyBorder="1"/>
    <xf numFmtId="0" fontId="121" fillId="8" borderId="0" xfId="0" applyFont="1" applyFill="1" applyBorder="1"/>
    <xf numFmtId="0" fontId="121" fillId="8" borderId="90" xfId="0" applyFont="1" applyFill="1" applyBorder="1"/>
    <xf numFmtId="0" fontId="120" fillId="8" borderId="0" xfId="0" applyFont="1" applyFill="1" applyBorder="1"/>
    <xf numFmtId="0" fontId="121" fillId="8" borderId="28" xfId="0" applyFont="1" applyFill="1" applyBorder="1" applyAlignment="1">
      <alignment horizontal="left" vertical="top"/>
    </xf>
    <xf numFmtId="0" fontId="121" fillId="8" borderId="26" xfId="0" applyFont="1" applyFill="1" applyBorder="1"/>
    <xf numFmtId="0" fontId="121" fillId="16" borderId="28" xfId="0" applyFont="1" applyFill="1" applyBorder="1" applyAlignment="1">
      <alignment horizontal="left" vertical="top"/>
    </xf>
    <xf numFmtId="0" fontId="121" fillId="8" borderId="0" xfId="0" applyFont="1" applyFill="1" applyBorder="1" applyAlignment="1">
      <alignment horizontal="center"/>
    </xf>
    <xf numFmtId="0" fontId="120" fillId="8" borderId="17" xfId="0" applyFont="1" applyFill="1" applyBorder="1"/>
    <xf numFmtId="0" fontId="120" fillId="8" borderId="76" xfId="0" applyFont="1" applyFill="1" applyBorder="1"/>
    <xf numFmtId="0" fontId="120" fillId="8" borderId="21" xfId="0" applyFont="1" applyFill="1" applyBorder="1"/>
    <xf numFmtId="0" fontId="118" fillId="8" borderId="0" xfId="0" applyFont="1" applyFill="1" applyBorder="1"/>
    <xf numFmtId="165" fontId="117" fillId="8" borderId="0" xfId="5" applyFont="1" applyFill="1" applyBorder="1"/>
    <xf numFmtId="173" fontId="117" fillId="8" borderId="12" xfId="13" applyNumberFormat="1" applyFont="1" applyFill="1" applyBorder="1"/>
    <xf numFmtId="0" fontId="117" fillId="8" borderId="0" xfId="0" applyFont="1" applyFill="1" applyBorder="1"/>
    <xf numFmtId="173" fontId="117" fillId="8" borderId="0" xfId="13" applyNumberFormat="1" applyFont="1" applyFill="1" applyBorder="1"/>
    <xf numFmtId="173" fontId="117" fillId="8" borderId="13" xfId="13" applyNumberFormat="1" applyFont="1" applyFill="1" applyBorder="1"/>
    <xf numFmtId="165" fontId="121" fillId="8" borderId="0" xfId="5" applyFont="1" applyFill="1" applyBorder="1"/>
    <xf numFmtId="0" fontId="122" fillId="8" borderId="0" xfId="0" applyFont="1" applyFill="1" applyBorder="1"/>
    <xf numFmtId="165" fontId="117" fillId="8" borderId="12" xfId="5" applyFont="1" applyFill="1" applyBorder="1"/>
    <xf numFmtId="165" fontId="117" fillId="8" borderId="13" xfId="5" applyFont="1" applyFill="1" applyBorder="1"/>
    <xf numFmtId="3" fontId="117" fillId="8" borderId="12" xfId="13" applyNumberFormat="1" applyFont="1" applyFill="1" applyBorder="1"/>
    <xf numFmtId="3" fontId="117" fillId="8" borderId="0" xfId="13" applyNumberFormat="1" applyFont="1" applyFill="1" applyBorder="1"/>
    <xf numFmtId="3" fontId="117" fillId="8" borderId="13" xfId="13" applyNumberFormat="1" applyFont="1" applyFill="1" applyBorder="1"/>
    <xf numFmtId="0" fontId="123" fillId="8" borderId="0" xfId="0" applyFont="1" applyFill="1" applyBorder="1"/>
    <xf numFmtId="3" fontId="117" fillId="8" borderId="14" xfId="13" applyNumberFormat="1" applyFont="1" applyFill="1" applyBorder="1"/>
    <xf numFmtId="0" fontId="121" fillId="37" borderId="9" xfId="0" applyFont="1" applyFill="1" applyBorder="1"/>
    <xf numFmtId="0" fontId="120" fillId="30" borderId="10" xfId="0" applyFont="1" applyFill="1" applyBorder="1"/>
    <xf numFmtId="0" fontId="117" fillId="30" borderId="10" xfId="0" applyFont="1" applyFill="1" applyBorder="1"/>
    <xf numFmtId="3" fontId="117" fillId="30" borderId="9" xfId="13" applyNumberFormat="1" applyFont="1" applyFill="1" applyBorder="1"/>
    <xf numFmtId="3" fontId="117" fillId="30" borderId="10" xfId="13" applyNumberFormat="1" applyFont="1" applyFill="1" applyBorder="1"/>
    <xf numFmtId="3" fontId="117" fillId="30" borderId="11" xfId="13" applyNumberFormat="1" applyFont="1" applyFill="1" applyBorder="1"/>
    <xf numFmtId="0" fontId="124" fillId="8" borderId="0" xfId="0" applyFont="1" applyFill="1" applyBorder="1"/>
    <xf numFmtId="169" fontId="121" fillId="8" borderId="12" xfId="20" applyNumberFormat="1" applyFont="1" applyFill="1" applyBorder="1"/>
    <xf numFmtId="169" fontId="121" fillId="8" borderId="0" xfId="20" applyNumberFormat="1" applyFont="1" applyFill="1" applyBorder="1"/>
    <xf numFmtId="169" fontId="121" fillId="8" borderId="13" xfId="20" applyNumberFormat="1" applyFont="1" applyFill="1" applyBorder="1"/>
    <xf numFmtId="3" fontId="117" fillId="8" borderId="12" xfId="5" applyNumberFormat="1" applyFont="1" applyFill="1" applyBorder="1"/>
    <xf numFmtId="3" fontId="117" fillId="8" borderId="0" xfId="5" applyNumberFormat="1" applyFont="1" applyFill="1" applyBorder="1"/>
    <xf numFmtId="3" fontId="117" fillId="8" borderId="13" xfId="5" applyNumberFormat="1" applyFont="1" applyFill="1" applyBorder="1"/>
    <xf numFmtId="9" fontId="117" fillId="8" borderId="12" xfId="20" applyFont="1" applyFill="1" applyBorder="1"/>
    <xf numFmtId="9" fontId="117" fillId="8" borderId="0" xfId="20" applyFont="1" applyFill="1" applyBorder="1"/>
    <xf numFmtId="9" fontId="117" fillId="8" borderId="13" xfId="20" applyFont="1" applyFill="1" applyBorder="1"/>
    <xf numFmtId="9" fontId="121" fillId="8" borderId="0" xfId="20" applyFont="1" applyFill="1" applyBorder="1"/>
    <xf numFmtId="0" fontId="121" fillId="30" borderId="9" xfId="0" applyFont="1" applyFill="1" applyBorder="1"/>
    <xf numFmtId="169" fontId="117" fillId="8" borderId="12" xfId="20" applyNumberFormat="1" applyFont="1" applyFill="1" applyBorder="1"/>
    <xf numFmtId="169" fontId="117" fillId="8" borderId="0" xfId="20" applyNumberFormat="1" applyFont="1" applyFill="1" applyBorder="1"/>
    <xf numFmtId="169" fontId="117" fillId="8" borderId="13" xfId="20" applyNumberFormat="1" applyFont="1" applyFill="1" applyBorder="1"/>
    <xf numFmtId="0" fontId="120" fillId="8" borderId="12" xfId="0" applyFont="1" applyFill="1" applyBorder="1"/>
    <xf numFmtId="0" fontId="118" fillId="14" borderId="9" xfId="0" applyFont="1" applyFill="1" applyBorder="1"/>
    <xf numFmtId="0" fontId="117" fillId="14" borderId="10" xfId="0" applyFont="1" applyFill="1" applyBorder="1"/>
    <xf numFmtId="0" fontId="120" fillId="14" borderId="10" xfId="0" applyFont="1" applyFill="1" applyBorder="1"/>
    <xf numFmtId="165" fontId="117" fillId="14" borderId="9" xfId="5" applyFont="1" applyFill="1" applyBorder="1"/>
    <xf numFmtId="165" fontId="117" fillId="14" borderId="10" xfId="5" applyFont="1" applyFill="1" applyBorder="1"/>
    <xf numFmtId="3" fontId="117" fillId="14" borderId="11" xfId="13" applyNumberFormat="1" applyFont="1" applyFill="1" applyBorder="1"/>
    <xf numFmtId="0" fontId="125" fillId="8" borderId="0" xfId="0" applyFont="1" applyFill="1" applyBorder="1" applyAlignment="1" applyProtection="1">
      <alignment vertical="center"/>
    </xf>
    <xf numFmtId="0" fontId="117" fillId="8" borderId="0" xfId="0" applyFont="1" applyFill="1" applyBorder="1" applyAlignment="1" applyProtection="1">
      <alignment horizontal="center" vertical="center"/>
    </xf>
    <xf numFmtId="0" fontId="117" fillId="8" borderId="0" xfId="0" applyFont="1" applyFill="1" applyBorder="1" applyAlignment="1" applyProtection="1">
      <alignment horizontal="left" vertical="center"/>
    </xf>
    <xf numFmtId="0" fontId="94" fillId="0" borderId="0" xfId="0" applyFont="1" applyFill="1" applyBorder="1"/>
    <xf numFmtId="0" fontId="126" fillId="10" borderId="12" xfId="0" applyFont="1" applyFill="1" applyBorder="1" applyAlignment="1">
      <alignment horizontal="center"/>
    </xf>
    <xf numFmtId="0" fontId="126" fillId="10" borderId="0" xfId="0" applyFont="1" applyFill="1" applyBorder="1" applyAlignment="1">
      <alignment horizontal="center"/>
    </xf>
    <xf numFmtId="0" fontId="94" fillId="10" borderId="0" xfId="0" applyFont="1" applyFill="1" applyBorder="1" applyAlignment="1">
      <alignment horizontal="center"/>
    </xf>
    <xf numFmtId="0" fontId="126" fillId="15" borderId="15" xfId="0" applyFont="1" applyFill="1" applyBorder="1" applyAlignment="1">
      <alignment horizontal="center"/>
    </xf>
    <xf numFmtId="0" fontId="126" fillId="15" borderId="14" xfId="0" applyFont="1" applyFill="1" applyBorder="1" applyAlignment="1">
      <alignment horizontal="center"/>
    </xf>
    <xf numFmtId="0" fontId="94" fillId="15" borderId="14" xfId="0" applyFont="1" applyFill="1" applyBorder="1" applyAlignment="1">
      <alignment horizontal="center"/>
    </xf>
    <xf numFmtId="0" fontId="94" fillId="0" borderId="0" xfId="0" applyFont="1" applyFill="1" applyBorder="1" applyProtection="1"/>
    <xf numFmtId="0" fontId="126" fillId="28" borderId="9" xfId="0" applyFont="1" applyFill="1" applyBorder="1" applyProtection="1"/>
    <xf numFmtId="0" fontId="126" fillId="28" borderId="10" xfId="0" applyFont="1" applyFill="1" applyBorder="1" applyProtection="1"/>
    <xf numFmtId="0" fontId="94" fillId="28" borderId="10" xfId="0" applyFont="1" applyFill="1" applyBorder="1" applyProtection="1"/>
    <xf numFmtId="0" fontId="126" fillId="28" borderId="11" xfId="0" applyFont="1" applyFill="1" applyBorder="1" applyAlignment="1" applyProtection="1">
      <alignment horizontal="right"/>
    </xf>
    <xf numFmtId="0" fontId="94" fillId="2" borderId="12" xfId="0" applyFont="1" applyFill="1" applyBorder="1"/>
    <xf numFmtId="0" fontId="94" fillId="2" borderId="0" xfId="0" applyFont="1" applyFill="1" applyBorder="1"/>
    <xf numFmtId="0" fontId="94" fillId="2" borderId="13" xfId="0" applyFont="1" applyFill="1" applyBorder="1"/>
    <xf numFmtId="0" fontId="94" fillId="8" borderId="17" xfId="0" applyFont="1" applyFill="1" applyBorder="1"/>
    <xf numFmtId="0" fontId="128" fillId="8" borderId="18" xfId="0" applyFont="1" applyFill="1" applyBorder="1" applyAlignment="1">
      <alignment horizontal="right"/>
    </xf>
    <xf numFmtId="0" fontId="94" fillId="8" borderId="18" xfId="0" applyFont="1" applyFill="1" applyBorder="1"/>
    <xf numFmtId="0" fontId="126" fillId="8" borderId="18" xfId="0" applyFont="1" applyFill="1" applyBorder="1"/>
    <xf numFmtId="0" fontId="128" fillId="10" borderId="28" xfId="0" applyFont="1" applyFill="1" applyBorder="1" applyAlignment="1">
      <alignment horizontal="center"/>
    </xf>
    <xf numFmtId="0" fontId="94" fillId="8" borderId="21" xfId="0" applyFont="1" applyFill="1" applyBorder="1"/>
    <xf numFmtId="0" fontId="94" fillId="8" borderId="12" xfId="0" applyFont="1" applyFill="1" applyBorder="1"/>
    <xf numFmtId="0" fontId="128" fillId="10" borderId="27" xfId="0" applyFont="1" applyFill="1" applyBorder="1" applyAlignment="1">
      <alignment horizontal="center"/>
    </xf>
    <xf numFmtId="0" fontId="94" fillId="8" borderId="13" xfId="0" applyFont="1" applyFill="1" applyBorder="1"/>
    <xf numFmtId="0" fontId="94" fillId="8" borderId="0" xfId="0" applyFont="1" applyFill="1" applyBorder="1" applyAlignment="1">
      <alignment horizontal="right"/>
    </xf>
    <xf numFmtId="1" fontId="127" fillId="8" borderId="0" xfId="0" applyNumberFormat="1" applyFont="1" applyFill="1" applyBorder="1" applyAlignment="1">
      <alignment horizontal="center"/>
    </xf>
    <xf numFmtId="0" fontId="127" fillId="8" borderId="0" xfId="0" applyFont="1" applyFill="1" applyBorder="1"/>
    <xf numFmtId="1" fontId="126" fillId="8" borderId="0" xfId="0" applyNumberFormat="1" applyFont="1" applyFill="1" applyBorder="1" applyAlignment="1">
      <alignment horizontal="center"/>
    </xf>
    <xf numFmtId="0" fontId="128" fillId="8" borderId="19" xfId="0" applyFont="1" applyFill="1" applyBorder="1" applyAlignment="1">
      <alignment horizontal="right"/>
    </xf>
    <xf numFmtId="0" fontId="126" fillId="8" borderId="0" xfId="0" applyFont="1" applyFill="1" applyBorder="1"/>
    <xf numFmtId="3" fontId="128" fillId="8" borderId="0" xfId="0" applyNumberFormat="1" applyFont="1" applyFill="1" applyBorder="1" applyAlignment="1">
      <alignment horizontal="center"/>
    </xf>
    <xf numFmtId="169" fontId="127" fillId="8" borderId="0" xfId="20" applyNumberFormat="1" applyFont="1" applyFill="1" applyBorder="1" applyAlignment="1">
      <alignment horizontal="center"/>
    </xf>
    <xf numFmtId="169" fontId="127" fillId="8" borderId="0" xfId="20" applyNumberFormat="1" applyFont="1" applyFill="1" applyBorder="1"/>
    <xf numFmtId="0" fontId="94" fillId="8" borderId="0" xfId="0" applyFont="1" applyFill="1" applyBorder="1" applyAlignment="1">
      <alignment horizontal="left"/>
    </xf>
    <xf numFmtId="9" fontId="128" fillId="8" borderId="0" xfId="0" applyNumberFormat="1" applyFont="1" applyFill="1" applyBorder="1" applyAlignment="1">
      <alignment horizontal="center"/>
    </xf>
    <xf numFmtId="0" fontId="94" fillId="8" borderId="15" xfId="0" applyFont="1" applyFill="1" applyBorder="1"/>
    <xf numFmtId="0" fontId="94" fillId="8" borderId="14" xfId="0" applyFont="1" applyFill="1" applyBorder="1"/>
    <xf numFmtId="0" fontId="126" fillId="8" borderId="14" xfId="0" applyFont="1" applyFill="1" applyBorder="1"/>
    <xf numFmtId="0" fontId="94" fillId="8" borderId="16" xfId="0" applyFont="1" applyFill="1" applyBorder="1"/>
    <xf numFmtId="3" fontId="127" fillId="8" borderId="0" xfId="0" applyNumberFormat="1" applyFont="1" applyFill="1" applyBorder="1" applyAlignment="1">
      <alignment horizontal="center"/>
    </xf>
    <xf numFmtId="3" fontId="127" fillId="8" borderId="0" xfId="0" applyNumberFormat="1" applyFont="1" applyFill="1" applyBorder="1"/>
    <xf numFmtId="3" fontId="126" fillId="8" borderId="0" xfId="0" applyNumberFormat="1" applyFont="1" applyFill="1" applyBorder="1" applyAlignment="1">
      <alignment horizontal="center"/>
    </xf>
    <xf numFmtId="3" fontId="94" fillId="8" borderId="0" xfId="0" applyNumberFormat="1" applyFont="1" applyFill="1" applyBorder="1"/>
    <xf numFmtId="3" fontId="126" fillId="8" borderId="0" xfId="0" applyNumberFormat="1" applyFont="1" applyFill="1" applyBorder="1"/>
    <xf numFmtId="0" fontId="94" fillId="8" borderId="0" xfId="0" applyFont="1" applyFill="1" applyBorder="1" applyProtection="1"/>
    <xf numFmtId="0" fontId="126" fillId="10" borderId="12" xfId="0" applyFont="1" applyFill="1" applyBorder="1" applyAlignment="1" applyProtection="1">
      <alignment horizontal="center"/>
    </xf>
    <xf numFmtId="0" fontId="94" fillId="10" borderId="0" xfId="0" applyFont="1" applyFill="1" applyBorder="1" applyAlignment="1" applyProtection="1">
      <alignment horizontal="center"/>
    </xf>
    <xf numFmtId="0" fontId="126" fillId="28" borderId="17" xfId="0" applyFont="1" applyFill="1" applyBorder="1" applyProtection="1"/>
    <xf numFmtId="0" fontId="94" fillId="28" borderId="18" xfId="0" applyFont="1" applyFill="1" applyBorder="1" applyProtection="1"/>
    <xf numFmtId="0" fontId="126" fillId="28" borderId="21" xfId="0" applyFont="1" applyFill="1" applyBorder="1" applyAlignment="1" applyProtection="1">
      <alignment horizontal="right"/>
    </xf>
    <xf numFmtId="0" fontId="94" fillId="2" borderId="12" xfId="0" applyFont="1" applyFill="1" applyBorder="1" applyProtection="1"/>
    <xf numFmtId="0" fontId="94" fillId="2" borderId="0" xfId="0" applyFont="1" applyFill="1" applyBorder="1" applyProtection="1"/>
    <xf numFmtId="0" fontId="94" fillId="2" borderId="13" xfId="0" applyFont="1" applyFill="1" applyBorder="1" applyProtection="1"/>
    <xf numFmtId="0" fontId="126" fillId="2" borderId="0" xfId="0" applyFont="1" applyFill="1" applyBorder="1" applyProtection="1"/>
    <xf numFmtId="0" fontId="128" fillId="2" borderId="0" xfId="0" applyFont="1" applyFill="1" applyBorder="1" applyProtection="1"/>
    <xf numFmtId="0" fontId="128" fillId="2" borderId="20" xfId="0" applyFont="1" applyFill="1" applyBorder="1" applyProtection="1"/>
    <xf numFmtId="0" fontId="128" fillId="2" borderId="0" xfId="0" applyFont="1" applyFill="1" applyBorder="1" applyAlignment="1" applyProtection="1">
      <alignment horizontal="center"/>
    </xf>
    <xf numFmtId="0" fontId="128" fillId="2" borderId="20" xfId="0" applyFont="1" applyFill="1" applyBorder="1" applyAlignment="1" applyProtection="1">
      <alignment horizontal="center"/>
    </xf>
    <xf numFmtId="0" fontId="94" fillId="15" borderId="40" xfId="0" applyFont="1" applyFill="1" applyBorder="1" applyAlignment="1" applyProtection="1">
      <alignment horizontal="center"/>
    </xf>
    <xf numFmtId="172" fontId="128" fillId="15" borderId="40" xfId="13" applyNumberFormat="1" applyFont="1" applyFill="1" applyBorder="1" applyAlignment="1" applyProtection="1">
      <alignment horizontal="center"/>
    </xf>
    <xf numFmtId="172" fontId="128" fillId="2" borderId="0" xfId="13" applyNumberFormat="1" applyFont="1" applyFill="1" applyBorder="1" applyProtection="1"/>
    <xf numFmtId="172" fontId="128" fillId="2" borderId="20" xfId="13" applyNumberFormat="1" applyFont="1" applyFill="1" applyBorder="1" applyProtection="1"/>
    <xf numFmtId="0" fontId="94" fillId="2" borderId="0" xfId="0" applyFont="1" applyFill="1" applyBorder="1" applyAlignment="1" applyProtection="1">
      <alignment horizontal="center"/>
    </xf>
    <xf numFmtId="0" fontId="94" fillId="23" borderId="40" xfId="0" applyFont="1" applyFill="1" applyBorder="1" applyAlignment="1" applyProtection="1">
      <alignment horizontal="center"/>
    </xf>
    <xf numFmtId="172" fontId="128" fillId="23" borderId="40" xfId="13" applyNumberFormat="1" applyFont="1" applyFill="1" applyBorder="1" applyAlignment="1" applyProtection="1">
      <alignment horizontal="center"/>
    </xf>
    <xf numFmtId="0" fontId="94" fillId="25" borderId="40" xfId="0" applyFont="1" applyFill="1" applyBorder="1" applyAlignment="1" applyProtection="1">
      <alignment horizontal="center"/>
    </xf>
    <xf numFmtId="172" fontId="128" fillId="25" borderId="40" xfId="13" applyNumberFormat="1" applyFont="1" applyFill="1" applyBorder="1" applyAlignment="1" applyProtection="1">
      <alignment horizontal="center"/>
    </xf>
    <xf numFmtId="172" fontId="128" fillId="2" borderId="0" xfId="0" applyNumberFormat="1" applyFont="1" applyFill="1" applyBorder="1" applyProtection="1"/>
    <xf numFmtId="172" fontId="128" fillId="2" borderId="20" xfId="0" applyNumberFormat="1" applyFont="1" applyFill="1" applyBorder="1" applyProtection="1"/>
    <xf numFmtId="172" fontId="128" fillId="2" borderId="0" xfId="0" applyNumberFormat="1" applyFont="1" applyFill="1" applyBorder="1" applyAlignment="1" applyProtection="1">
      <alignment horizontal="center"/>
    </xf>
    <xf numFmtId="172" fontId="128" fillId="2" borderId="20" xfId="0" applyNumberFormat="1" applyFont="1" applyFill="1" applyBorder="1" applyAlignment="1" applyProtection="1">
      <alignment horizontal="center"/>
    </xf>
    <xf numFmtId="0" fontId="94" fillId="2" borderId="15" xfId="0" applyFont="1" applyFill="1" applyBorder="1" applyProtection="1"/>
    <xf numFmtId="0" fontId="94" fillId="2" borderId="14" xfId="0" applyFont="1" applyFill="1" applyBorder="1" applyProtection="1"/>
    <xf numFmtId="0" fontId="94" fillId="2" borderId="16" xfId="0" applyFont="1" applyFill="1" applyBorder="1" applyProtection="1"/>
    <xf numFmtId="0" fontId="94" fillId="2" borderId="0" xfId="0" applyFont="1" applyFill="1" applyBorder="1" applyAlignment="1" applyProtection="1">
      <alignment horizontal="right"/>
    </xf>
    <xf numFmtId="3" fontId="94" fillId="0" borderId="0" xfId="0" applyNumberFormat="1" applyFont="1" applyFill="1" applyBorder="1" applyProtection="1"/>
    <xf numFmtId="170" fontId="94" fillId="2" borderId="40" xfId="13" applyNumberFormat="1" applyFont="1" applyFill="1" applyBorder="1" applyAlignment="1" applyProtection="1">
      <alignment horizontal="center"/>
    </xf>
    <xf numFmtId="0" fontId="113" fillId="8" borderId="0" xfId="0" applyFont="1" applyFill="1"/>
    <xf numFmtId="0" fontId="129" fillId="28" borderId="48" xfId="0" applyFont="1" applyFill="1" applyBorder="1"/>
    <xf numFmtId="0" fontId="130" fillId="28" borderId="49" xfId="0" applyFont="1" applyFill="1" applyBorder="1"/>
    <xf numFmtId="0" fontId="129" fillId="28" borderId="56" xfId="0" applyFont="1" applyFill="1" applyBorder="1" applyAlignment="1">
      <alignment horizontal="right"/>
    </xf>
    <xf numFmtId="0" fontId="94" fillId="8" borderId="46" xfId="0" applyFont="1" applyFill="1" applyBorder="1"/>
    <xf numFmtId="0" fontId="94" fillId="8" borderId="0" xfId="0" applyFont="1" applyFill="1" applyBorder="1" applyAlignment="1"/>
    <xf numFmtId="0" fontId="94" fillId="8" borderId="47" xfId="0" applyFont="1" applyFill="1" applyBorder="1"/>
    <xf numFmtId="0" fontId="94" fillId="16" borderId="28" xfId="0" applyFont="1" applyFill="1" applyBorder="1" applyAlignment="1">
      <alignment horizontal="center"/>
    </xf>
    <xf numFmtId="0" fontId="94" fillId="8" borderId="28" xfId="0" applyFont="1" applyFill="1" applyBorder="1" applyAlignment="1">
      <alignment horizontal="left" vertical="top"/>
    </xf>
    <xf numFmtId="0" fontId="94" fillId="16" borderId="28" xfId="0" applyFont="1" applyFill="1" applyBorder="1" applyAlignment="1">
      <alignment horizontal="left" vertical="top"/>
    </xf>
    <xf numFmtId="0" fontId="94" fillId="0" borderId="28" xfId="0" applyFont="1" applyFill="1" applyBorder="1" applyAlignment="1">
      <alignment horizontal="left" vertical="top"/>
    </xf>
    <xf numFmtId="0" fontId="94" fillId="16" borderId="27" xfId="0" applyFont="1" applyFill="1" applyBorder="1" applyAlignment="1">
      <alignment horizontal="center" vertical="top"/>
    </xf>
    <xf numFmtId="0" fontId="94" fillId="16" borderId="9" xfId="0" applyFont="1" applyFill="1" applyBorder="1" applyAlignment="1">
      <alignment horizontal="center"/>
    </xf>
    <xf numFmtId="0" fontId="94" fillId="16" borderId="10" xfId="0" applyFont="1" applyFill="1" applyBorder="1" applyAlignment="1">
      <alignment horizontal="center"/>
    </xf>
    <xf numFmtId="0" fontId="94" fillId="16" borderId="14" xfId="0" applyFont="1" applyFill="1" applyBorder="1" applyAlignment="1">
      <alignment horizontal="center"/>
    </xf>
    <xf numFmtId="0" fontId="94" fillId="16" borderId="11" xfId="0" applyFont="1" applyFill="1" applyBorder="1" applyAlignment="1">
      <alignment horizontal="center"/>
    </xf>
    <xf numFmtId="0" fontId="94" fillId="8" borderId="0" xfId="0" applyFont="1" applyFill="1" applyBorder="1" applyAlignment="1">
      <alignment horizontal="center"/>
    </xf>
    <xf numFmtId="0" fontId="94" fillId="8" borderId="26" xfId="0" applyFont="1" applyFill="1" applyBorder="1"/>
    <xf numFmtId="165" fontId="94" fillId="8" borderId="0" xfId="5" applyFont="1" applyFill="1" applyBorder="1"/>
    <xf numFmtId="173" fontId="94" fillId="8" borderId="12" xfId="13" applyNumberFormat="1" applyFont="1" applyFill="1" applyBorder="1"/>
    <xf numFmtId="173" fontId="94" fillId="8" borderId="0" xfId="13" applyNumberFormat="1" applyFont="1" applyFill="1" applyBorder="1"/>
    <xf numFmtId="173" fontId="94" fillId="8" borderId="13" xfId="13" applyNumberFormat="1" applyFont="1" applyFill="1" applyBorder="1"/>
    <xf numFmtId="165" fontId="94" fillId="8" borderId="12" xfId="5" applyFont="1" applyFill="1" applyBorder="1"/>
    <xf numFmtId="173" fontId="94" fillId="8" borderId="26" xfId="13" applyNumberFormat="1" applyFont="1" applyFill="1" applyBorder="1"/>
    <xf numFmtId="165" fontId="94" fillId="8" borderId="13" xfId="5" applyFont="1" applyFill="1" applyBorder="1"/>
    <xf numFmtId="3" fontId="94" fillId="8" borderId="12" xfId="13" applyNumberFormat="1" applyFont="1" applyFill="1" applyBorder="1"/>
    <xf numFmtId="3" fontId="94" fillId="8" borderId="0" xfId="5" applyNumberFormat="1" applyFont="1" applyFill="1" applyBorder="1"/>
    <xf numFmtId="3" fontId="94" fillId="8" borderId="0" xfId="13" applyNumberFormat="1" applyFont="1" applyFill="1" applyBorder="1"/>
    <xf numFmtId="3" fontId="94" fillId="8" borderId="13" xfId="13" applyNumberFormat="1" applyFont="1" applyFill="1" applyBorder="1"/>
    <xf numFmtId="3" fontId="94" fillId="8" borderId="26" xfId="13" applyNumberFormat="1" applyFont="1" applyFill="1" applyBorder="1"/>
    <xf numFmtId="0" fontId="114" fillId="8" borderId="0" xfId="0" applyFont="1" applyFill="1" applyBorder="1"/>
    <xf numFmtId="0" fontId="131" fillId="8" borderId="0" xfId="0" applyFont="1" applyFill="1" applyBorder="1"/>
    <xf numFmtId="3" fontId="114" fillId="8" borderId="12" xfId="13" applyNumberFormat="1" applyFont="1" applyFill="1" applyBorder="1"/>
    <xf numFmtId="3" fontId="114" fillId="8" borderId="0" xfId="5" applyNumberFormat="1" applyFont="1" applyFill="1" applyBorder="1"/>
    <xf numFmtId="3" fontId="114" fillId="8" borderId="0" xfId="13" applyNumberFormat="1" applyFont="1" applyFill="1" applyBorder="1"/>
    <xf numFmtId="3" fontId="114" fillId="8" borderId="13" xfId="13" applyNumberFormat="1" applyFont="1" applyFill="1" applyBorder="1"/>
    <xf numFmtId="165" fontId="114" fillId="8" borderId="12" xfId="5" applyFont="1" applyFill="1" applyBorder="1"/>
    <xf numFmtId="3" fontId="114" fillId="8" borderId="26" xfId="13" applyNumberFormat="1" applyFont="1" applyFill="1" applyBorder="1"/>
    <xf numFmtId="0" fontId="132" fillId="8" borderId="0" xfId="0" applyFont="1" applyFill="1"/>
    <xf numFmtId="0" fontId="94" fillId="14" borderId="9" xfId="0" applyFont="1" applyFill="1" applyBorder="1"/>
    <xf numFmtId="0" fontId="132" fillId="14" borderId="10" xfId="0" applyFont="1" applyFill="1" applyBorder="1"/>
    <xf numFmtId="0" fontId="94" fillId="14" borderId="10" xfId="0" applyFont="1" applyFill="1" applyBorder="1"/>
    <xf numFmtId="0" fontId="113" fillId="14" borderId="10" xfId="0" applyFont="1" applyFill="1" applyBorder="1"/>
    <xf numFmtId="3" fontId="94" fillId="14" borderId="9" xfId="13" applyNumberFormat="1" applyFont="1" applyFill="1" applyBorder="1"/>
    <xf numFmtId="3" fontId="94" fillId="14" borderId="10" xfId="5" applyNumberFormat="1" applyFont="1" applyFill="1" applyBorder="1"/>
    <xf numFmtId="3" fontId="94" fillId="14" borderId="10" xfId="13" applyNumberFormat="1" applyFont="1" applyFill="1" applyBorder="1"/>
    <xf numFmtId="3" fontId="94" fillId="14" borderId="11" xfId="13" applyNumberFormat="1" applyFont="1" applyFill="1" applyBorder="1"/>
    <xf numFmtId="3" fontId="94" fillId="14" borderId="25" xfId="13" applyNumberFormat="1" applyFont="1" applyFill="1" applyBorder="1"/>
    <xf numFmtId="169" fontId="94" fillId="8" borderId="12" xfId="20" applyNumberFormat="1" applyFont="1" applyFill="1" applyBorder="1"/>
    <xf numFmtId="169" fontId="94" fillId="8" borderId="0" xfId="20" applyNumberFormat="1" applyFont="1" applyFill="1" applyBorder="1"/>
    <xf numFmtId="169" fontId="94" fillId="8" borderId="13" xfId="20" applyNumberFormat="1" applyFont="1" applyFill="1" applyBorder="1"/>
    <xf numFmtId="169" fontId="94" fillId="8" borderId="26" xfId="20" applyNumberFormat="1" applyFont="1" applyFill="1" applyBorder="1"/>
    <xf numFmtId="165" fontId="94" fillId="8" borderId="26" xfId="5" applyFont="1" applyFill="1" applyBorder="1"/>
    <xf numFmtId="3" fontId="94" fillId="8" borderId="12" xfId="5" applyNumberFormat="1" applyFont="1" applyFill="1" applyBorder="1"/>
    <xf numFmtId="3" fontId="94" fillId="8" borderId="13" xfId="5" applyNumberFormat="1" applyFont="1" applyFill="1" applyBorder="1"/>
    <xf numFmtId="9" fontId="94" fillId="8" borderId="12" xfId="20" applyFont="1" applyFill="1" applyBorder="1"/>
    <xf numFmtId="9" fontId="94" fillId="8" borderId="0" xfId="20" applyFont="1" applyFill="1" applyBorder="1"/>
    <xf numFmtId="9" fontId="94" fillId="8" borderId="13" xfId="20" applyFont="1" applyFill="1" applyBorder="1"/>
    <xf numFmtId="3" fontId="94" fillId="14" borderId="10" xfId="0" applyNumberFormat="1" applyFont="1" applyFill="1" applyBorder="1"/>
    <xf numFmtId="169" fontId="94" fillId="8" borderId="9" xfId="20" applyNumberFormat="1" applyFont="1" applyFill="1" applyBorder="1"/>
    <xf numFmtId="0" fontId="94" fillId="8" borderId="10" xfId="0" applyFont="1" applyFill="1" applyBorder="1"/>
    <xf numFmtId="169" fontId="94" fillId="8" borderId="14" xfId="20" applyNumberFormat="1" applyFont="1" applyFill="1" applyBorder="1"/>
    <xf numFmtId="169" fontId="94" fillId="8" borderId="11" xfId="20" applyNumberFormat="1" applyFont="1" applyFill="1" applyBorder="1"/>
    <xf numFmtId="169" fontId="94" fillId="8" borderId="25" xfId="20" applyNumberFormat="1" applyFont="1" applyFill="1" applyBorder="1"/>
    <xf numFmtId="170" fontId="94" fillId="0" borderId="0" xfId="0" applyNumberFormat="1" applyFont="1" applyFill="1" applyBorder="1"/>
    <xf numFmtId="0" fontId="117" fillId="35" borderId="0" xfId="0" applyFont="1" applyFill="1" applyBorder="1" applyAlignment="1" applyProtection="1">
      <alignment horizontal="center" vertical="center"/>
    </xf>
    <xf numFmtId="0" fontId="0" fillId="0" borderId="0" xfId="0" applyFont="1" applyAlignment="1">
      <alignment horizontal="right"/>
    </xf>
    <xf numFmtId="169" fontId="3" fillId="0" borderId="0" xfId="20" applyNumberFormat="1" applyFont="1"/>
    <xf numFmtId="167" fontId="3" fillId="0" borderId="0" xfId="2" applyNumberFormat="1" applyFont="1"/>
    <xf numFmtId="0" fontId="83" fillId="29" borderId="0" xfId="0" applyFont="1" applyFill="1" applyBorder="1" applyAlignment="1" applyProtection="1"/>
    <xf numFmtId="0" fontId="83" fillId="29" borderId="0" xfId="0" applyFont="1" applyFill="1" applyBorder="1" applyAlignment="1">
      <alignment horizontal="right"/>
    </xf>
    <xf numFmtId="0" fontId="3" fillId="0" borderId="17" xfId="0" applyFont="1" applyBorder="1"/>
    <xf numFmtId="0" fontId="3" fillId="0" borderId="12" xfId="0" applyFont="1" applyBorder="1"/>
    <xf numFmtId="0" fontId="3" fillId="0" borderId="15" xfId="0" applyFont="1" applyBorder="1"/>
    <xf numFmtId="0" fontId="0" fillId="0" borderId="0" xfId="0" applyFont="1" applyAlignment="1">
      <alignment horizontal="left"/>
    </xf>
    <xf numFmtId="0" fontId="3" fillId="0" borderId="0" xfId="0" applyFont="1" applyAlignment="1">
      <alignment horizontal="left"/>
    </xf>
    <xf numFmtId="167" fontId="0" fillId="19" borderId="0" xfId="2" applyNumberFormat="1" applyFont="1" applyFill="1"/>
    <xf numFmtId="167" fontId="0" fillId="0" borderId="0" xfId="2" applyNumberFormat="1" applyFont="1" applyFill="1"/>
    <xf numFmtId="0" fontId="108" fillId="0" borderId="0" xfId="30"/>
    <xf numFmtId="0" fontId="108" fillId="36" borderId="0" xfId="30" applyFill="1" applyAlignment="1">
      <alignment horizontal="center"/>
    </xf>
    <xf numFmtId="0" fontId="108" fillId="0" borderId="0" xfId="30" applyAlignment="1">
      <alignment horizontal="center"/>
    </xf>
    <xf numFmtId="0" fontId="108" fillId="36" borderId="0" xfId="30" applyFill="1"/>
    <xf numFmtId="0" fontId="80" fillId="43" borderId="0" xfId="30" applyFont="1" applyFill="1"/>
    <xf numFmtId="0" fontId="80" fillId="43" borderId="0" xfId="30" applyFont="1" applyFill="1" applyAlignment="1">
      <alignment horizontal="center"/>
    </xf>
    <xf numFmtId="0" fontId="80" fillId="43" borderId="0" xfId="30" applyFont="1" applyFill="1" applyAlignment="1">
      <alignment horizontal="left"/>
    </xf>
    <xf numFmtId="0" fontId="108" fillId="0" borderId="0" xfId="30" applyFont="1"/>
    <xf numFmtId="0" fontId="91" fillId="0" borderId="0" xfId="30" quotePrefix="1" applyFont="1"/>
    <xf numFmtId="0" fontId="80" fillId="45" borderId="0" xfId="30" applyFont="1" applyFill="1"/>
    <xf numFmtId="0" fontId="80" fillId="42" borderId="0" xfId="30" applyFont="1" applyFill="1"/>
    <xf numFmtId="0" fontId="108" fillId="41" borderId="0" xfId="30" applyFont="1" applyFill="1"/>
    <xf numFmtId="0" fontId="108" fillId="36" borderId="0" xfId="30" applyFont="1" applyFill="1"/>
    <xf numFmtId="0" fontId="99" fillId="0" borderId="0" xfId="30" applyFont="1"/>
    <xf numFmtId="0" fontId="110" fillId="0" borderId="0" xfId="30" applyFont="1"/>
    <xf numFmtId="0" fontId="80" fillId="38" borderId="0" xfId="30" applyFont="1" applyFill="1"/>
    <xf numFmtId="0" fontId="98" fillId="38" borderId="0" xfId="30" applyFont="1" applyFill="1"/>
    <xf numFmtId="0" fontId="79" fillId="31" borderId="0" xfId="0" applyFont="1" applyFill="1" applyBorder="1" applyAlignment="1">
      <alignment horizontal="center" vertical="center"/>
    </xf>
    <xf numFmtId="0" fontId="3" fillId="0" borderId="0" xfId="0" applyFont="1" applyFill="1"/>
    <xf numFmtId="3" fontId="3" fillId="15" borderId="0" xfId="3" applyNumberFormat="1" applyFont="1" applyFill="1"/>
    <xf numFmtId="0" fontId="3" fillId="11" borderId="0" xfId="0" applyFont="1" applyFill="1"/>
    <xf numFmtId="0" fontId="84" fillId="29" borderId="0" xfId="0" applyFont="1" applyFill="1" applyBorder="1"/>
    <xf numFmtId="169" fontId="88" fillId="46" borderId="0" xfId="20" applyNumberFormat="1" applyFont="1" applyFill="1" applyBorder="1" applyAlignment="1" applyProtection="1">
      <alignment horizontal="center"/>
    </xf>
    <xf numFmtId="0" fontId="0" fillId="15" borderId="0" xfId="0" applyNumberFormat="1" applyFill="1"/>
    <xf numFmtId="169" fontId="83" fillId="40" borderId="0" xfId="2" applyNumberFormat="1" applyFont="1" applyFill="1" applyBorder="1" applyAlignment="1" applyProtection="1">
      <alignment horizontal="center" vertical="center"/>
      <protection locked="0"/>
    </xf>
    <xf numFmtId="1" fontId="0" fillId="21" borderId="0" xfId="0" applyNumberFormat="1" applyFill="1" applyBorder="1"/>
    <xf numFmtId="1" fontId="5" fillId="21" borderId="0" xfId="0" applyNumberFormat="1" applyFont="1" applyFill="1" applyBorder="1"/>
    <xf numFmtId="165" fontId="83" fillId="0" borderId="0" xfId="5" applyFont="1" applyFill="1" applyBorder="1"/>
    <xf numFmtId="169" fontId="83" fillId="0" borderId="0" xfId="5" applyNumberFormat="1" applyFont="1" applyFill="1" applyBorder="1"/>
    <xf numFmtId="169" fontId="89" fillId="36" borderId="100" xfId="20" applyNumberFormat="1" applyFont="1" applyFill="1" applyBorder="1"/>
    <xf numFmtId="9" fontId="89" fillId="36" borderId="100" xfId="20" applyFont="1" applyFill="1" applyBorder="1"/>
    <xf numFmtId="3" fontId="83" fillId="36" borderId="100" xfId="13" applyNumberFormat="1" applyFont="1" applyFill="1" applyBorder="1"/>
    <xf numFmtId="3" fontId="83" fillId="36" borderId="0" xfId="5" applyNumberFormat="1" applyFont="1" applyFill="1" applyBorder="1"/>
    <xf numFmtId="165" fontId="83" fillId="36" borderId="0" xfId="5" applyFont="1" applyFill="1" applyBorder="1"/>
    <xf numFmtId="169" fontId="0" fillId="21" borderId="0" xfId="20" applyNumberFormat="1" applyFont="1" applyFill="1"/>
    <xf numFmtId="167" fontId="83" fillId="30" borderId="0" xfId="2" applyNumberFormat="1" applyFont="1" applyFill="1" applyBorder="1" applyAlignment="1">
      <alignment horizontal="left"/>
    </xf>
    <xf numFmtId="0" fontId="84" fillId="8" borderId="94" xfId="0" applyFont="1" applyFill="1" applyBorder="1" applyAlignment="1">
      <alignment horizontal="center"/>
    </xf>
    <xf numFmtId="0" fontId="100" fillId="8" borderId="0" xfId="0" applyFont="1" applyFill="1" applyBorder="1" applyAlignment="1" applyProtection="1">
      <alignment horizontal="center" vertical="center" textRotation="255"/>
    </xf>
    <xf numFmtId="0" fontId="85" fillId="32" borderId="0" xfId="0" applyFont="1" applyFill="1" applyBorder="1" applyAlignment="1" applyProtection="1">
      <alignment horizontal="left" vertical="center"/>
    </xf>
    <xf numFmtId="0" fontId="85" fillId="32" borderId="0" xfId="0" applyFont="1" applyFill="1" applyBorder="1" applyAlignment="1" applyProtection="1">
      <alignment horizontal="center" vertical="center"/>
    </xf>
    <xf numFmtId="0" fontId="83" fillId="32" borderId="0" xfId="0" applyFont="1" applyFill="1" applyBorder="1" applyAlignment="1">
      <alignment horizontal="left"/>
    </xf>
    <xf numFmtId="0" fontId="83" fillId="46" borderId="0" xfId="0" applyFont="1" applyFill="1" applyBorder="1" applyAlignment="1">
      <alignment horizontal="left"/>
    </xf>
    <xf numFmtId="0" fontId="6" fillId="35" borderId="0" xfId="0" applyFont="1" applyFill="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21" borderId="17" xfId="0" applyFill="1" applyBorder="1" applyAlignment="1">
      <alignment horizontal="center"/>
    </xf>
    <xf numFmtId="0" fontId="0" fillId="21" borderId="18" xfId="0" applyFill="1" applyBorder="1" applyAlignment="1">
      <alignment horizontal="center"/>
    </xf>
    <xf numFmtId="0" fontId="0" fillId="21" borderId="21" xfId="0" applyFill="1" applyBorder="1" applyAlignment="1">
      <alignment horizontal="center"/>
    </xf>
    <xf numFmtId="0" fontId="126" fillId="16" borderId="17" xfId="0" applyFont="1" applyFill="1" applyBorder="1" applyAlignment="1">
      <alignment horizontal="center" vertical="center"/>
    </xf>
    <xf numFmtId="0" fontId="113" fillId="0" borderId="18" xfId="0" applyFont="1" applyBorder="1" applyAlignment="1">
      <alignment horizontal="center"/>
    </xf>
    <xf numFmtId="0" fontId="127" fillId="16" borderId="9" xfId="0" applyFont="1" applyFill="1" applyBorder="1" applyAlignment="1">
      <alignment horizontal="center" vertical="center"/>
    </xf>
    <xf numFmtId="0" fontId="127" fillId="16" borderId="11" xfId="0" applyFont="1" applyFill="1" applyBorder="1" applyAlignment="1">
      <alignment horizontal="center" vertical="center"/>
    </xf>
    <xf numFmtId="0" fontId="128" fillId="10" borderId="28" xfId="0" applyFont="1" applyFill="1" applyBorder="1" applyAlignment="1">
      <alignment horizontal="center" vertical="center"/>
    </xf>
    <xf numFmtId="0" fontId="128" fillId="10" borderId="27" xfId="0" applyFont="1" applyFill="1" applyBorder="1" applyAlignment="1">
      <alignment horizontal="center" vertical="center"/>
    </xf>
    <xf numFmtId="172" fontId="128" fillId="8" borderId="37" xfId="0" applyNumberFormat="1" applyFont="1" applyFill="1" applyBorder="1" applyAlignment="1" applyProtection="1">
      <alignment horizontal="center"/>
    </xf>
    <xf numFmtId="172" fontId="128" fillId="8" borderId="38" xfId="0" applyNumberFormat="1" applyFont="1" applyFill="1" applyBorder="1" applyAlignment="1" applyProtection="1">
      <alignment horizontal="center"/>
    </xf>
    <xf numFmtId="172" fontId="128" fillId="8" borderId="39" xfId="0" applyNumberFormat="1" applyFont="1" applyFill="1" applyBorder="1" applyAlignment="1" applyProtection="1">
      <alignment horizontal="center"/>
    </xf>
    <xf numFmtId="0" fontId="126" fillId="15" borderId="15" xfId="0" applyFont="1" applyFill="1" applyBorder="1" applyAlignment="1" applyProtection="1">
      <alignment horizontal="center"/>
    </xf>
    <xf numFmtId="0" fontId="113" fillId="0" borderId="14" xfId="0" applyFont="1" applyBorder="1" applyAlignment="1">
      <alignment horizontal="center"/>
    </xf>
    <xf numFmtId="0" fontId="128" fillId="8" borderId="37" xfId="0" applyFont="1" applyFill="1" applyBorder="1" applyAlignment="1" applyProtection="1">
      <alignment horizontal="center"/>
    </xf>
    <xf numFmtId="0" fontId="128" fillId="8" borderId="38" xfId="0" applyFont="1" applyFill="1" applyBorder="1" applyAlignment="1" applyProtection="1">
      <alignment horizontal="center"/>
    </xf>
    <xf numFmtId="0" fontId="128" fillId="8" borderId="39" xfId="0" applyFont="1" applyFill="1" applyBorder="1" applyAlignment="1" applyProtection="1">
      <alignment horizontal="center"/>
    </xf>
    <xf numFmtId="0" fontId="8" fillId="16" borderId="9" xfId="0"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57" fillId="10" borderId="9" xfId="0" applyFont="1" applyFill="1" applyBorder="1" applyAlignment="1">
      <alignment horizontal="center" vertical="center"/>
    </xf>
    <xf numFmtId="0" fontId="43" fillId="15" borderId="9" xfId="0" applyFont="1" applyFill="1" applyBorder="1" applyAlignment="1">
      <alignment horizontal="center" vertical="center"/>
    </xf>
    <xf numFmtId="0" fontId="43" fillId="18" borderId="9" xfId="0" applyFont="1" applyFill="1" applyBorder="1" applyAlignment="1">
      <alignment horizontal="center" vertical="center"/>
    </xf>
    <xf numFmtId="0" fontId="0" fillId="46" borderId="0" xfId="0" applyFont="1" applyFill="1"/>
  </cellXfs>
  <cellStyles count="31">
    <cellStyle name="000" xfId="1"/>
    <cellStyle name="Comma" xfId="2" builtinId="3"/>
    <cellStyle name="Comma [0]" xfId="3" builtinId="6"/>
    <cellStyle name="Comma [0] Centered" xfId="4"/>
    <cellStyle name="Comma 000" xfId="5"/>
    <cellStyle name="Comma 000,000" xfId="6"/>
    <cellStyle name="Comma, Centered" xfId="7"/>
    <cellStyle name="Comma, Pos, No Dec" xfId="8"/>
    <cellStyle name="Comma0 - Style4" xfId="9"/>
    <cellStyle name="Comma1 - Style1" xfId="10"/>
    <cellStyle name="Curren - Style2" xfId="11"/>
    <cellStyle name="Curren - Style5" xfId="12"/>
    <cellStyle name="Currency" xfId="13" builtinId="4"/>
    <cellStyle name="Date" xfId="14"/>
    <cellStyle name="Decision" xfId="15"/>
    <cellStyle name="Feedback000" xfId="16"/>
    <cellStyle name="Feedback000,000" xfId="17"/>
    <cellStyle name="Fraction (1)" xfId="18"/>
    <cellStyle name="Hyperlink" xfId="26" builtinId="8"/>
    <cellStyle name="Normal" xfId="0" builtinId="0"/>
    <cellStyle name="Normal 15 12" xfId="29"/>
    <cellStyle name="Normal 16" xfId="25"/>
    <cellStyle name="Normal 16 2" xfId="28"/>
    <cellStyle name="Normal 2" xfId="24"/>
    <cellStyle name="Normal 3" xfId="30"/>
    <cellStyle name="Percen - Style3" xfId="19"/>
    <cellStyle name="Percent" xfId="20" builtinId="5"/>
    <cellStyle name="Percent (1)" xfId="21"/>
    <cellStyle name="Percent (2)" xfId="22"/>
    <cellStyle name="Percent 00" xfId="23"/>
    <cellStyle name="Percent 3" xfId="27"/>
  </cellStyles>
  <dxfs count="122">
    <dxf>
      <font>
        <condense val="0"/>
        <extend val="0"/>
        <color indexed="9"/>
      </font>
      <fill>
        <patternFill>
          <bgColor indexed="10"/>
        </patternFill>
      </fill>
    </dxf>
    <dxf>
      <font>
        <b/>
        <i val="0"/>
        <condense val="0"/>
        <extend val="0"/>
        <color auto="1"/>
      </font>
      <fill>
        <patternFill>
          <bgColor indexed="10"/>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ill>
        <patternFill>
          <bgColor rgb="FFFF0000"/>
        </patternFill>
      </fill>
    </dxf>
    <dxf>
      <fill>
        <patternFill>
          <bgColor rgb="FF00B050"/>
        </patternFill>
      </fill>
    </dxf>
    <dxf>
      <font>
        <b/>
        <i val="0"/>
        <condense val="0"/>
        <extend val="0"/>
      </font>
    </dxf>
    <dxf>
      <font>
        <b/>
        <i val="0"/>
        <condense val="0"/>
        <extend val="0"/>
      </font>
    </dxf>
    <dxf>
      <font>
        <b/>
        <i val="0"/>
        <condense val="0"/>
        <extend val="0"/>
      </font>
    </dxf>
    <dxf>
      <fill>
        <patternFill>
          <bgColor rgb="FFFF0000"/>
        </patternFill>
      </fill>
    </dxf>
    <dxf>
      <fill>
        <patternFill>
          <bgColor rgb="FF00B050"/>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ill>
        <patternFill>
          <bgColor rgb="FFC00000"/>
        </patternFill>
      </fill>
    </dxf>
    <dxf>
      <fill>
        <patternFill>
          <bgColor theme="6"/>
        </patternFill>
      </fill>
    </dxf>
    <dxf>
      <fill>
        <patternFill>
          <bgColor rgb="FFC00000"/>
        </patternFill>
      </fill>
    </dxf>
    <dxf>
      <fill>
        <patternFill>
          <bgColor theme="6"/>
        </patternFill>
      </fill>
    </dxf>
    <dxf>
      <fill>
        <patternFill>
          <bgColor rgb="FFC00000"/>
        </patternFill>
      </fill>
    </dxf>
    <dxf>
      <fill>
        <patternFill>
          <bgColor theme="6"/>
        </patternFill>
      </fill>
    </dxf>
    <dxf>
      <font>
        <b/>
        <i val="0"/>
        <condense val="0"/>
        <extend val="0"/>
        <color auto="1"/>
      </font>
      <fill>
        <patternFill>
          <bgColor indexed="10"/>
        </patternFill>
      </fill>
    </dxf>
  </dxfs>
  <tableStyles count="0" defaultTableStyle="TableStyleMedium9" defaultPivotStyle="PivotStyleLight16"/>
  <colors>
    <mruColors>
      <color rgb="FFCBE4EB"/>
      <color rgb="FFB7D9E7"/>
      <color rgb="FF246384"/>
      <color rgb="FF7BBAD3"/>
      <color rgb="FF65B0CD"/>
      <color rgb="FF801A80"/>
      <color rgb="FF00CCB9"/>
      <color rgb="FF009632"/>
      <color rgb="FF00BCAA"/>
      <color rgb="FF0092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8550063094816E-3"/>
          <c:y val="2.7848609052062431E-2"/>
          <c:w val="0.9574049225064325"/>
          <c:h val="0.80779454085637048"/>
        </c:manualLayout>
      </c:layout>
      <c:barChart>
        <c:barDir val="col"/>
        <c:grouping val="clustered"/>
        <c:varyColors val="0"/>
        <c:ser>
          <c:idx val="0"/>
          <c:order val="0"/>
          <c:tx>
            <c:strRef>
              <c:f>tlGraphs!$C$199</c:f>
              <c:strCache>
                <c:ptCount val="1"/>
                <c:pt idx="0">
                  <c:v>Forecasted Bookings ($m)</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F32B-431C-A2E6-A1856AD73CAB}"/>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F32B-431C-A2E6-A1856AD73CAB}"/>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F32B-431C-A2E6-A1856AD73CAB}"/>
              </c:ext>
            </c:extLst>
          </c:dPt>
          <c:dLbls>
            <c:dLbl>
              <c:idx val="0"/>
              <c:layout>
                <c:manualLayout>
                  <c:x val="2.7789021681858248E-3"/>
                  <c:y val="-1.4788227226942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32B-431C-A2E6-A1856AD73CAB}"/>
                </c:ext>
              </c:extLst>
            </c:dLbl>
            <c:dLbl>
              <c:idx val="1"/>
              <c:layout>
                <c:manualLayout>
                  <c:x val="8.178930729343635E-3"/>
                  <c:y val="-9.69657887442548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2B-431C-A2E6-A1856AD73CAB}"/>
                </c:ext>
              </c:extLst>
            </c:dLbl>
            <c:dLbl>
              <c:idx val="2"/>
              <c:layout>
                <c:manualLayout>
                  <c:x val="5.6773672521704018E-3"/>
                  <c:y val="-4.11777341527881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32B-431C-A2E6-A1856AD73CAB}"/>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tlGraphs!$B$200:$B$202</c:f>
              <c:strCache>
                <c:ptCount val="3"/>
                <c:pt idx="0">
                  <c:v>CRM</c:v>
                </c:pt>
                <c:pt idx="1">
                  <c:v>HCM</c:v>
                </c:pt>
                <c:pt idx="2">
                  <c:v>Futuria</c:v>
                </c:pt>
              </c:strCache>
            </c:strRef>
          </c:cat>
          <c:val>
            <c:numRef>
              <c:f>tlGraphs!$C$200:$C$202</c:f>
              <c:numCache>
                <c:formatCode>_("$"* #,##0_);_("$"* \(#,##0\);_("$"* "-"??_);_(@_)</c:formatCode>
                <c:ptCount val="3"/>
                <c:pt idx="0">
                  <c:v>217.32328155856598</c:v>
                </c:pt>
                <c:pt idx="1">
                  <c:v>148.31115492392948</c:v>
                </c:pt>
                <c:pt idx="2">
                  <c:v>74.226756670516764</c:v>
                </c:pt>
              </c:numCache>
            </c:numRef>
          </c:val>
          <c:extLst>
            <c:ext xmlns:c16="http://schemas.microsoft.com/office/drawing/2014/chart" uri="{C3380CC4-5D6E-409C-BE32-E72D297353CC}">
              <c16:uniqueId val="{00000006-F32B-431C-A2E6-A1856AD73CAB}"/>
            </c:ext>
          </c:extLst>
        </c:ser>
        <c:dLbls>
          <c:showLegendKey val="0"/>
          <c:showVal val="0"/>
          <c:showCatName val="0"/>
          <c:showSerName val="0"/>
          <c:showPercent val="0"/>
          <c:showBubbleSize val="0"/>
        </c:dLbls>
        <c:gapWidth val="150"/>
        <c:axId val="196837928"/>
        <c:axId val="196838320"/>
      </c:barChart>
      <c:catAx>
        <c:axId val="196837928"/>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38320"/>
        <c:crosses val="autoZero"/>
        <c:auto val="1"/>
        <c:lblAlgn val="ctr"/>
        <c:lblOffset val="100"/>
        <c:noMultiLvlLbl val="0"/>
      </c:catAx>
      <c:valAx>
        <c:axId val="196838320"/>
        <c:scaling>
          <c:orientation val="minMax"/>
        </c:scaling>
        <c:delete val="0"/>
        <c:axPos val="l"/>
        <c:numFmt formatCode="_(&quot;$&quot;* #,##0_);_(&quot;$&quot;* \(#,##0\);_(&quot;$&quot;* &quot;-&quot;??_);_(@_)" sourceLinked="1"/>
        <c:majorTickMark val="out"/>
        <c:minorTickMark val="none"/>
        <c:tickLblPos val="none"/>
        <c:spPr>
          <a:ln>
            <a:solidFill>
              <a:schemeClr val="accent3">
                <a:lumMod val="50000"/>
              </a:schemeClr>
            </a:solidFill>
          </a:ln>
        </c:spPr>
        <c:crossAx val="196837928"/>
        <c:crosses val="autoZero"/>
        <c:crossBetween val="between"/>
      </c:valAx>
      <c:spPr>
        <a:noFill/>
      </c:spPr>
    </c:plotArea>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3EFF-4D66-AFF3-188D9CB4AA2E}"/>
              </c:ext>
            </c:extLst>
          </c:dPt>
          <c:dPt>
            <c:idx val="1"/>
            <c:bubble3D val="0"/>
            <c:spPr>
              <a:solidFill>
                <a:srgbClr val="054680"/>
              </a:solidFill>
              <a:ln>
                <a:noFill/>
              </a:ln>
            </c:spPr>
            <c:extLst>
              <c:ext xmlns:c16="http://schemas.microsoft.com/office/drawing/2014/chart" uri="{C3380CC4-5D6E-409C-BE32-E72D297353CC}">
                <c16:uniqueId val="{00000003-3EFF-4D66-AFF3-188D9CB4AA2E}"/>
              </c:ext>
            </c:extLst>
          </c:dPt>
          <c:dPt>
            <c:idx val="2"/>
            <c:bubble3D val="0"/>
            <c:spPr>
              <a:noFill/>
            </c:spPr>
            <c:extLst>
              <c:ext xmlns:c16="http://schemas.microsoft.com/office/drawing/2014/chart" uri="{C3380CC4-5D6E-409C-BE32-E72D297353CC}">
                <c16:uniqueId val="{00000005-3EFF-4D66-AFF3-188D9CB4AA2E}"/>
              </c:ext>
            </c:extLst>
          </c:dPt>
          <c:dPt>
            <c:idx val="3"/>
            <c:bubble3D val="0"/>
            <c:spPr>
              <a:solidFill>
                <a:srgbClr val="CBE4EB"/>
              </a:solidFill>
              <a:ln>
                <a:noFill/>
              </a:ln>
            </c:spPr>
            <c:extLst>
              <c:ext xmlns:c16="http://schemas.microsoft.com/office/drawing/2014/chart" uri="{C3380CC4-5D6E-409C-BE32-E72D297353CC}">
                <c16:uniqueId val="{00000007-3EFF-4D66-AFF3-188D9CB4AA2E}"/>
              </c:ext>
            </c:extLst>
          </c:dPt>
          <c:dPt>
            <c:idx val="4"/>
            <c:bubble3D val="0"/>
            <c:spPr>
              <a:solidFill>
                <a:srgbClr val="007AC5"/>
              </a:solidFill>
              <a:ln>
                <a:noFill/>
              </a:ln>
            </c:spPr>
            <c:extLst>
              <c:ext xmlns:c16="http://schemas.microsoft.com/office/drawing/2014/chart" uri="{C3380CC4-5D6E-409C-BE32-E72D297353CC}">
                <c16:uniqueId val="{00000009-3EFF-4D66-AFF3-188D9CB4AA2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3EFF-4D66-AFF3-188D9CB4AA2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04A-4C2F-B9FE-DA033711A7B1}"/>
              </c:ext>
            </c:extLst>
          </c:dPt>
          <c:dPt>
            <c:idx val="1"/>
            <c:bubble3D val="0"/>
            <c:spPr>
              <a:solidFill>
                <a:schemeClr val="tx1"/>
              </a:solidFill>
              <a:ln>
                <a:noFill/>
              </a:ln>
            </c:spPr>
            <c:extLst>
              <c:ext xmlns:c16="http://schemas.microsoft.com/office/drawing/2014/chart" uri="{C3380CC4-5D6E-409C-BE32-E72D297353CC}">
                <c16:uniqueId val="{00000003-804A-4C2F-B9FE-DA033711A7B1}"/>
              </c:ext>
            </c:extLst>
          </c:dPt>
          <c:dPt>
            <c:idx val="2"/>
            <c:bubble3D val="0"/>
            <c:spPr>
              <a:noFill/>
            </c:spPr>
            <c:extLst>
              <c:ext xmlns:c16="http://schemas.microsoft.com/office/drawing/2014/chart" uri="{C3380CC4-5D6E-409C-BE32-E72D297353CC}">
                <c16:uniqueId val="{00000005-804A-4C2F-B9FE-DA033711A7B1}"/>
              </c:ext>
            </c:extLst>
          </c:dPt>
          <c:dPt>
            <c:idx val="3"/>
            <c:bubble3D val="0"/>
            <c:spPr>
              <a:noFill/>
            </c:spPr>
            <c:extLst>
              <c:ext xmlns:c16="http://schemas.microsoft.com/office/drawing/2014/chart" uri="{C3380CC4-5D6E-409C-BE32-E72D297353CC}">
                <c16:uniqueId val="{00000007-804A-4C2F-B9FE-DA033711A7B1}"/>
              </c:ext>
            </c:extLst>
          </c:dPt>
          <c:dPt>
            <c:idx val="4"/>
            <c:bubble3D val="0"/>
            <c:spPr>
              <a:solidFill>
                <a:schemeClr val="tx1"/>
              </a:solidFill>
              <a:ln>
                <a:noFill/>
              </a:ln>
            </c:spPr>
            <c:extLst>
              <c:ext xmlns:c16="http://schemas.microsoft.com/office/drawing/2014/chart" uri="{C3380CC4-5D6E-409C-BE32-E72D297353CC}">
                <c16:uniqueId val="{00000009-804A-4C2F-B9FE-DA033711A7B1}"/>
              </c:ext>
            </c:extLst>
          </c:dPt>
          <c:dPt>
            <c:idx val="5"/>
            <c:bubble3D val="0"/>
            <c:spPr>
              <a:noFill/>
            </c:spPr>
            <c:extLst>
              <c:ext xmlns:c16="http://schemas.microsoft.com/office/drawing/2014/chart" uri="{C3380CC4-5D6E-409C-BE32-E72D297353CC}">
                <c16:uniqueId val="{0000000B-804A-4C2F-B9FE-DA033711A7B1}"/>
              </c:ext>
            </c:extLst>
          </c:dPt>
          <c:dPt>
            <c:idx val="6"/>
            <c:bubble3D val="0"/>
            <c:spPr>
              <a:noFill/>
            </c:spPr>
            <c:extLst>
              <c:ext xmlns:c16="http://schemas.microsoft.com/office/drawing/2014/chart" uri="{C3380CC4-5D6E-409C-BE32-E72D297353CC}">
                <c16:uniqueId val="{0000000D-804A-4C2F-B9FE-DA033711A7B1}"/>
              </c:ext>
            </c:extLst>
          </c:dPt>
          <c:dPt>
            <c:idx val="7"/>
            <c:bubble3D val="0"/>
            <c:spPr>
              <a:solidFill>
                <a:schemeClr val="tx1"/>
              </a:solidFill>
              <a:ln>
                <a:noFill/>
              </a:ln>
            </c:spPr>
            <c:extLst>
              <c:ext xmlns:c16="http://schemas.microsoft.com/office/drawing/2014/chart" uri="{C3380CC4-5D6E-409C-BE32-E72D297353CC}">
                <c16:uniqueId val="{0000000F-804A-4C2F-B9FE-DA033711A7B1}"/>
              </c:ext>
            </c:extLst>
          </c:dPt>
          <c:dPt>
            <c:idx val="8"/>
            <c:bubble3D val="0"/>
            <c:spPr>
              <a:noFill/>
            </c:spPr>
            <c:extLst>
              <c:ext xmlns:c16="http://schemas.microsoft.com/office/drawing/2014/chart" uri="{C3380CC4-5D6E-409C-BE32-E72D297353CC}">
                <c16:uniqueId val="{00000011-804A-4C2F-B9FE-DA033711A7B1}"/>
              </c:ext>
            </c:extLst>
          </c:dPt>
          <c:dPt>
            <c:idx val="9"/>
            <c:bubble3D val="0"/>
            <c:spPr>
              <a:noFill/>
            </c:spPr>
            <c:extLst>
              <c:ext xmlns:c16="http://schemas.microsoft.com/office/drawing/2014/chart" uri="{C3380CC4-5D6E-409C-BE32-E72D297353CC}">
                <c16:uniqueId val="{00000013-804A-4C2F-B9FE-DA033711A7B1}"/>
              </c:ext>
            </c:extLst>
          </c:dPt>
          <c:dPt>
            <c:idx val="10"/>
            <c:bubble3D val="0"/>
            <c:spPr>
              <a:solidFill>
                <a:schemeClr val="tx1"/>
              </a:solidFill>
            </c:spPr>
            <c:extLst>
              <c:ext xmlns:c16="http://schemas.microsoft.com/office/drawing/2014/chart" uri="{C3380CC4-5D6E-409C-BE32-E72D297353CC}">
                <c16:uniqueId val="{00000015-804A-4C2F-B9FE-DA033711A7B1}"/>
              </c:ext>
            </c:extLst>
          </c:dPt>
          <c:dPt>
            <c:idx val="11"/>
            <c:bubble3D val="0"/>
            <c:spPr>
              <a:noFill/>
            </c:spPr>
            <c:extLst>
              <c:ext xmlns:c16="http://schemas.microsoft.com/office/drawing/2014/chart" uri="{C3380CC4-5D6E-409C-BE32-E72D297353CC}">
                <c16:uniqueId val="{00000017-804A-4C2F-B9FE-DA033711A7B1}"/>
              </c:ext>
            </c:extLst>
          </c:dPt>
          <c:dPt>
            <c:idx val="12"/>
            <c:bubble3D val="0"/>
            <c:spPr>
              <a:noFill/>
            </c:spPr>
            <c:extLst>
              <c:ext xmlns:c16="http://schemas.microsoft.com/office/drawing/2014/chart" uri="{C3380CC4-5D6E-409C-BE32-E72D297353CC}">
                <c16:uniqueId val="{00000019-804A-4C2F-B9FE-DA033711A7B1}"/>
              </c:ext>
            </c:extLst>
          </c:dPt>
          <c:dPt>
            <c:idx val="13"/>
            <c:bubble3D val="0"/>
            <c:spPr>
              <a:solidFill>
                <a:schemeClr val="tx1"/>
              </a:solidFill>
            </c:spPr>
            <c:extLst>
              <c:ext xmlns:c16="http://schemas.microsoft.com/office/drawing/2014/chart" uri="{C3380CC4-5D6E-409C-BE32-E72D297353CC}">
                <c16:uniqueId val="{0000001B-804A-4C2F-B9FE-DA033711A7B1}"/>
              </c:ext>
            </c:extLst>
          </c:dPt>
          <c:dPt>
            <c:idx val="14"/>
            <c:bubble3D val="0"/>
            <c:spPr>
              <a:noFill/>
            </c:spPr>
            <c:extLst>
              <c:ext xmlns:c16="http://schemas.microsoft.com/office/drawing/2014/chart" uri="{C3380CC4-5D6E-409C-BE32-E72D297353CC}">
                <c16:uniqueId val="{0000001D-804A-4C2F-B9FE-DA033711A7B1}"/>
              </c:ext>
            </c:extLst>
          </c:dPt>
          <c:dPt>
            <c:idx val="15"/>
            <c:bubble3D val="0"/>
            <c:spPr>
              <a:noFill/>
            </c:spPr>
            <c:extLst>
              <c:ext xmlns:c16="http://schemas.microsoft.com/office/drawing/2014/chart" uri="{C3380CC4-5D6E-409C-BE32-E72D297353CC}">
                <c16:uniqueId val="{0000001F-804A-4C2F-B9FE-DA033711A7B1}"/>
              </c:ext>
            </c:extLst>
          </c:dPt>
          <c:dPt>
            <c:idx val="16"/>
            <c:bubble3D val="0"/>
            <c:spPr>
              <a:solidFill>
                <a:schemeClr val="tx1"/>
              </a:solidFill>
            </c:spPr>
            <c:extLst>
              <c:ext xmlns:c16="http://schemas.microsoft.com/office/drawing/2014/chart" uri="{C3380CC4-5D6E-409C-BE32-E72D297353CC}">
                <c16:uniqueId val="{00000021-804A-4C2F-B9FE-DA033711A7B1}"/>
              </c:ext>
            </c:extLst>
          </c:dPt>
          <c:dPt>
            <c:idx val="17"/>
            <c:bubble3D val="0"/>
            <c:spPr>
              <a:noFill/>
            </c:spPr>
            <c:extLst>
              <c:ext xmlns:c16="http://schemas.microsoft.com/office/drawing/2014/chart" uri="{C3380CC4-5D6E-409C-BE32-E72D297353CC}">
                <c16:uniqueId val="{00000023-804A-4C2F-B9FE-DA033711A7B1}"/>
              </c:ext>
            </c:extLst>
          </c:dPt>
          <c:dPt>
            <c:idx val="18"/>
            <c:bubble3D val="0"/>
            <c:spPr>
              <a:noFill/>
            </c:spPr>
            <c:extLst>
              <c:ext xmlns:c16="http://schemas.microsoft.com/office/drawing/2014/chart" uri="{C3380CC4-5D6E-409C-BE32-E72D297353CC}">
                <c16:uniqueId val="{00000025-804A-4C2F-B9FE-DA033711A7B1}"/>
              </c:ext>
            </c:extLst>
          </c:dPt>
          <c:dPt>
            <c:idx val="19"/>
            <c:bubble3D val="0"/>
            <c:spPr>
              <a:solidFill>
                <a:schemeClr val="tx1"/>
              </a:solidFill>
            </c:spPr>
            <c:extLst>
              <c:ext xmlns:c16="http://schemas.microsoft.com/office/drawing/2014/chart" uri="{C3380CC4-5D6E-409C-BE32-E72D297353CC}">
                <c16:uniqueId val="{00000027-804A-4C2F-B9FE-DA033711A7B1}"/>
              </c:ext>
            </c:extLst>
          </c:dPt>
          <c:dPt>
            <c:idx val="20"/>
            <c:bubble3D val="0"/>
            <c:spPr>
              <a:noFill/>
            </c:spPr>
            <c:extLst>
              <c:ext xmlns:c16="http://schemas.microsoft.com/office/drawing/2014/chart" uri="{C3380CC4-5D6E-409C-BE32-E72D297353CC}">
                <c16:uniqueId val="{00000029-804A-4C2F-B9FE-DA033711A7B1}"/>
              </c:ext>
            </c:extLst>
          </c:dPt>
          <c:dPt>
            <c:idx val="21"/>
            <c:bubble3D val="0"/>
            <c:spPr>
              <a:noFill/>
            </c:spPr>
            <c:extLst>
              <c:ext xmlns:c16="http://schemas.microsoft.com/office/drawing/2014/chart" uri="{C3380CC4-5D6E-409C-BE32-E72D297353CC}">
                <c16:uniqueId val="{0000002B-804A-4C2F-B9FE-DA033711A7B1}"/>
              </c:ext>
            </c:extLst>
          </c:dPt>
          <c:dPt>
            <c:idx val="22"/>
            <c:bubble3D val="0"/>
            <c:spPr>
              <a:solidFill>
                <a:schemeClr val="tx1"/>
              </a:solidFill>
            </c:spPr>
            <c:extLst>
              <c:ext xmlns:c16="http://schemas.microsoft.com/office/drawing/2014/chart" uri="{C3380CC4-5D6E-409C-BE32-E72D297353CC}">
                <c16:uniqueId val="{0000002D-804A-4C2F-B9FE-DA033711A7B1}"/>
              </c:ext>
            </c:extLst>
          </c:dPt>
          <c:dPt>
            <c:idx val="23"/>
            <c:bubble3D val="0"/>
            <c:spPr>
              <a:noFill/>
            </c:spPr>
            <c:extLst>
              <c:ext xmlns:c16="http://schemas.microsoft.com/office/drawing/2014/chart" uri="{C3380CC4-5D6E-409C-BE32-E72D297353CC}">
                <c16:uniqueId val="{0000002F-804A-4C2F-B9FE-DA033711A7B1}"/>
              </c:ext>
            </c:extLst>
          </c:dPt>
          <c:dPt>
            <c:idx val="24"/>
            <c:bubble3D val="0"/>
            <c:spPr>
              <a:noFill/>
            </c:spPr>
            <c:extLst>
              <c:ext xmlns:c16="http://schemas.microsoft.com/office/drawing/2014/chart" uri="{C3380CC4-5D6E-409C-BE32-E72D297353CC}">
                <c16:uniqueId val="{00000031-804A-4C2F-B9FE-DA033711A7B1}"/>
              </c:ext>
            </c:extLst>
          </c:dPt>
          <c:dPt>
            <c:idx val="25"/>
            <c:bubble3D val="0"/>
            <c:spPr>
              <a:solidFill>
                <a:schemeClr val="tx1"/>
              </a:solidFill>
            </c:spPr>
            <c:extLst>
              <c:ext xmlns:c16="http://schemas.microsoft.com/office/drawing/2014/chart" uri="{C3380CC4-5D6E-409C-BE32-E72D297353CC}">
                <c16:uniqueId val="{00000033-804A-4C2F-B9FE-DA033711A7B1}"/>
              </c:ext>
            </c:extLst>
          </c:dPt>
          <c:dPt>
            <c:idx val="26"/>
            <c:bubble3D val="0"/>
            <c:spPr>
              <a:noFill/>
            </c:spPr>
            <c:extLst>
              <c:ext xmlns:c16="http://schemas.microsoft.com/office/drawing/2014/chart" uri="{C3380CC4-5D6E-409C-BE32-E72D297353CC}">
                <c16:uniqueId val="{00000035-804A-4C2F-B9FE-DA033711A7B1}"/>
              </c:ext>
            </c:extLst>
          </c:dPt>
          <c:dPt>
            <c:idx val="27"/>
            <c:bubble3D val="0"/>
            <c:spPr>
              <a:noFill/>
            </c:spPr>
            <c:extLst>
              <c:ext xmlns:c16="http://schemas.microsoft.com/office/drawing/2014/chart" uri="{C3380CC4-5D6E-409C-BE32-E72D297353CC}">
                <c16:uniqueId val="{00000037-804A-4C2F-B9FE-DA033711A7B1}"/>
              </c:ext>
            </c:extLst>
          </c:dPt>
          <c:dPt>
            <c:idx val="28"/>
            <c:bubble3D val="0"/>
            <c:spPr>
              <a:solidFill>
                <a:schemeClr val="tx1"/>
              </a:solidFill>
            </c:spPr>
            <c:extLst>
              <c:ext xmlns:c16="http://schemas.microsoft.com/office/drawing/2014/chart" uri="{C3380CC4-5D6E-409C-BE32-E72D297353CC}">
                <c16:uniqueId val="{00000039-804A-4C2F-B9FE-DA033711A7B1}"/>
              </c:ext>
            </c:extLst>
          </c:dPt>
          <c:dPt>
            <c:idx val="29"/>
            <c:bubble3D val="0"/>
            <c:spPr>
              <a:noFill/>
            </c:spPr>
            <c:extLst>
              <c:ext xmlns:c16="http://schemas.microsoft.com/office/drawing/2014/chart" uri="{C3380CC4-5D6E-409C-BE32-E72D297353CC}">
                <c16:uniqueId val="{0000003B-804A-4C2F-B9FE-DA033711A7B1}"/>
              </c:ext>
            </c:extLst>
          </c:dPt>
          <c:dPt>
            <c:idx val="30"/>
            <c:bubble3D val="0"/>
            <c:spPr>
              <a:noFill/>
            </c:spPr>
            <c:extLst>
              <c:ext xmlns:c16="http://schemas.microsoft.com/office/drawing/2014/chart" uri="{C3380CC4-5D6E-409C-BE32-E72D297353CC}">
                <c16:uniqueId val="{0000003D-804A-4C2F-B9FE-DA033711A7B1}"/>
              </c:ext>
            </c:extLst>
          </c:dPt>
          <c:dPt>
            <c:idx val="31"/>
            <c:bubble3D val="0"/>
            <c:spPr>
              <a:solidFill>
                <a:schemeClr val="tx1"/>
              </a:solidFill>
            </c:spPr>
            <c:extLst>
              <c:ext xmlns:c16="http://schemas.microsoft.com/office/drawing/2014/chart" uri="{C3380CC4-5D6E-409C-BE32-E72D297353CC}">
                <c16:uniqueId val="{0000003F-804A-4C2F-B9FE-DA033711A7B1}"/>
              </c:ext>
            </c:extLst>
          </c:dPt>
          <c:dPt>
            <c:idx val="32"/>
            <c:bubble3D val="0"/>
            <c:spPr>
              <a:noFill/>
            </c:spPr>
            <c:extLst>
              <c:ext xmlns:c16="http://schemas.microsoft.com/office/drawing/2014/chart" uri="{C3380CC4-5D6E-409C-BE32-E72D297353CC}">
                <c16:uniqueId val="{00000041-804A-4C2F-B9FE-DA033711A7B1}"/>
              </c:ext>
            </c:extLst>
          </c:dPt>
          <c:dPt>
            <c:idx val="33"/>
            <c:bubble3D val="0"/>
            <c:spPr>
              <a:noFill/>
            </c:spPr>
            <c:extLst>
              <c:ext xmlns:c16="http://schemas.microsoft.com/office/drawing/2014/chart" uri="{C3380CC4-5D6E-409C-BE32-E72D297353CC}">
                <c16:uniqueId val="{00000043-804A-4C2F-B9FE-DA033711A7B1}"/>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04A-4C2F-B9FE-DA033711A7B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BBAC-465E-BDC9-585D3746F48A}"/>
              </c:ext>
            </c:extLst>
          </c:dPt>
          <c:dPt>
            <c:idx val="1"/>
            <c:bubble3D val="0"/>
            <c:spPr>
              <a:solidFill>
                <a:srgbClr val="054680"/>
              </a:solidFill>
              <a:ln>
                <a:noFill/>
              </a:ln>
            </c:spPr>
            <c:extLst>
              <c:ext xmlns:c16="http://schemas.microsoft.com/office/drawing/2014/chart" uri="{C3380CC4-5D6E-409C-BE32-E72D297353CC}">
                <c16:uniqueId val="{00000003-BBAC-465E-BDC9-585D3746F48A}"/>
              </c:ext>
            </c:extLst>
          </c:dPt>
          <c:dPt>
            <c:idx val="2"/>
            <c:bubble3D val="0"/>
            <c:spPr>
              <a:noFill/>
            </c:spPr>
            <c:extLst>
              <c:ext xmlns:c16="http://schemas.microsoft.com/office/drawing/2014/chart" uri="{C3380CC4-5D6E-409C-BE32-E72D297353CC}">
                <c16:uniqueId val="{00000005-BBAC-465E-BDC9-585D3746F48A}"/>
              </c:ext>
            </c:extLst>
          </c:dPt>
          <c:dPt>
            <c:idx val="3"/>
            <c:bubble3D val="0"/>
            <c:spPr>
              <a:solidFill>
                <a:srgbClr val="CBE4EB"/>
              </a:solidFill>
              <a:ln>
                <a:noFill/>
              </a:ln>
            </c:spPr>
            <c:extLst>
              <c:ext xmlns:c16="http://schemas.microsoft.com/office/drawing/2014/chart" uri="{C3380CC4-5D6E-409C-BE32-E72D297353CC}">
                <c16:uniqueId val="{00000007-BBAC-465E-BDC9-585D3746F48A}"/>
              </c:ext>
            </c:extLst>
          </c:dPt>
          <c:dPt>
            <c:idx val="4"/>
            <c:bubble3D val="0"/>
            <c:spPr>
              <a:solidFill>
                <a:srgbClr val="007AC5"/>
              </a:solidFill>
              <a:ln>
                <a:noFill/>
              </a:ln>
            </c:spPr>
            <c:extLst>
              <c:ext xmlns:c16="http://schemas.microsoft.com/office/drawing/2014/chart" uri="{C3380CC4-5D6E-409C-BE32-E72D297353CC}">
                <c16:uniqueId val="{00000009-BBAC-465E-BDC9-585D3746F48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BBAC-465E-BDC9-585D3746F48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E7D3-4C68-8473-70B5217D4F10}"/>
              </c:ext>
            </c:extLst>
          </c:dPt>
          <c:dPt>
            <c:idx val="1"/>
            <c:bubble3D val="0"/>
            <c:spPr>
              <a:solidFill>
                <a:schemeClr val="tx1"/>
              </a:solidFill>
              <a:ln>
                <a:noFill/>
              </a:ln>
            </c:spPr>
            <c:extLst>
              <c:ext xmlns:c16="http://schemas.microsoft.com/office/drawing/2014/chart" uri="{C3380CC4-5D6E-409C-BE32-E72D297353CC}">
                <c16:uniqueId val="{00000003-E7D3-4C68-8473-70B5217D4F10}"/>
              </c:ext>
            </c:extLst>
          </c:dPt>
          <c:dPt>
            <c:idx val="2"/>
            <c:bubble3D val="0"/>
            <c:spPr>
              <a:noFill/>
            </c:spPr>
            <c:extLst>
              <c:ext xmlns:c16="http://schemas.microsoft.com/office/drawing/2014/chart" uri="{C3380CC4-5D6E-409C-BE32-E72D297353CC}">
                <c16:uniqueId val="{00000005-E7D3-4C68-8473-70B5217D4F10}"/>
              </c:ext>
            </c:extLst>
          </c:dPt>
          <c:dPt>
            <c:idx val="3"/>
            <c:bubble3D val="0"/>
            <c:spPr>
              <a:noFill/>
            </c:spPr>
            <c:extLst>
              <c:ext xmlns:c16="http://schemas.microsoft.com/office/drawing/2014/chart" uri="{C3380CC4-5D6E-409C-BE32-E72D297353CC}">
                <c16:uniqueId val="{00000007-E7D3-4C68-8473-70B5217D4F10}"/>
              </c:ext>
            </c:extLst>
          </c:dPt>
          <c:dPt>
            <c:idx val="4"/>
            <c:bubble3D val="0"/>
            <c:spPr>
              <a:solidFill>
                <a:schemeClr val="tx1"/>
              </a:solidFill>
              <a:ln>
                <a:noFill/>
              </a:ln>
            </c:spPr>
            <c:extLst>
              <c:ext xmlns:c16="http://schemas.microsoft.com/office/drawing/2014/chart" uri="{C3380CC4-5D6E-409C-BE32-E72D297353CC}">
                <c16:uniqueId val="{00000009-E7D3-4C68-8473-70B5217D4F10}"/>
              </c:ext>
            </c:extLst>
          </c:dPt>
          <c:dPt>
            <c:idx val="5"/>
            <c:bubble3D val="0"/>
            <c:spPr>
              <a:noFill/>
            </c:spPr>
            <c:extLst>
              <c:ext xmlns:c16="http://schemas.microsoft.com/office/drawing/2014/chart" uri="{C3380CC4-5D6E-409C-BE32-E72D297353CC}">
                <c16:uniqueId val="{0000000B-E7D3-4C68-8473-70B5217D4F10}"/>
              </c:ext>
            </c:extLst>
          </c:dPt>
          <c:dPt>
            <c:idx val="6"/>
            <c:bubble3D val="0"/>
            <c:spPr>
              <a:noFill/>
            </c:spPr>
            <c:extLst>
              <c:ext xmlns:c16="http://schemas.microsoft.com/office/drawing/2014/chart" uri="{C3380CC4-5D6E-409C-BE32-E72D297353CC}">
                <c16:uniqueId val="{0000000D-E7D3-4C68-8473-70B5217D4F10}"/>
              </c:ext>
            </c:extLst>
          </c:dPt>
          <c:dPt>
            <c:idx val="7"/>
            <c:bubble3D val="0"/>
            <c:spPr>
              <a:solidFill>
                <a:schemeClr val="tx1"/>
              </a:solidFill>
              <a:ln>
                <a:noFill/>
              </a:ln>
            </c:spPr>
            <c:extLst>
              <c:ext xmlns:c16="http://schemas.microsoft.com/office/drawing/2014/chart" uri="{C3380CC4-5D6E-409C-BE32-E72D297353CC}">
                <c16:uniqueId val="{0000000F-E7D3-4C68-8473-70B5217D4F10}"/>
              </c:ext>
            </c:extLst>
          </c:dPt>
          <c:dPt>
            <c:idx val="8"/>
            <c:bubble3D val="0"/>
            <c:spPr>
              <a:noFill/>
            </c:spPr>
            <c:extLst>
              <c:ext xmlns:c16="http://schemas.microsoft.com/office/drawing/2014/chart" uri="{C3380CC4-5D6E-409C-BE32-E72D297353CC}">
                <c16:uniqueId val="{00000011-E7D3-4C68-8473-70B5217D4F10}"/>
              </c:ext>
            </c:extLst>
          </c:dPt>
          <c:dPt>
            <c:idx val="9"/>
            <c:bubble3D val="0"/>
            <c:spPr>
              <a:noFill/>
            </c:spPr>
            <c:extLst>
              <c:ext xmlns:c16="http://schemas.microsoft.com/office/drawing/2014/chart" uri="{C3380CC4-5D6E-409C-BE32-E72D297353CC}">
                <c16:uniqueId val="{00000013-E7D3-4C68-8473-70B5217D4F10}"/>
              </c:ext>
            </c:extLst>
          </c:dPt>
          <c:dPt>
            <c:idx val="10"/>
            <c:bubble3D val="0"/>
            <c:spPr>
              <a:solidFill>
                <a:schemeClr val="tx1"/>
              </a:solidFill>
            </c:spPr>
            <c:extLst>
              <c:ext xmlns:c16="http://schemas.microsoft.com/office/drawing/2014/chart" uri="{C3380CC4-5D6E-409C-BE32-E72D297353CC}">
                <c16:uniqueId val="{00000015-E7D3-4C68-8473-70B5217D4F10}"/>
              </c:ext>
            </c:extLst>
          </c:dPt>
          <c:dPt>
            <c:idx val="11"/>
            <c:bubble3D val="0"/>
            <c:spPr>
              <a:noFill/>
            </c:spPr>
            <c:extLst>
              <c:ext xmlns:c16="http://schemas.microsoft.com/office/drawing/2014/chart" uri="{C3380CC4-5D6E-409C-BE32-E72D297353CC}">
                <c16:uniqueId val="{00000017-E7D3-4C68-8473-70B5217D4F10}"/>
              </c:ext>
            </c:extLst>
          </c:dPt>
          <c:dPt>
            <c:idx val="12"/>
            <c:bubble3D val="0"/>
            <c:spPr>
              <a:noFill/>
            </c:spPr>
            <c:extLst>
              <c:ext xmlns:c16="http://schemas.microsoft.com/office/drawing/2014/chart" uri="{C3380CC4-5D6E-409C-BE32-E72D297353CC}">
                <c16:uniqueId val="{00000019-E7D3-4C68-8473-70B5217D4F10}"/>
              </c:ext>
            </c:extLst>
          </c:dPt>
          <c:dPt>
            <c:idx val="13"/>
            <c:bubble3D val="0"/>
            <c:spPr>
              <a:solidFill>
                <a:schemeClr val="tx1"/>
              </a:solidFill>
            </c:spPr>
            <c:extLst>
              <c:ext xmlns:c16="http://schemas.microsoft.com/office/drawing/2014/chart" uri="{C3380CC4-5D6E-409C-BE32-E72D297353CC}">
                <c16:uniqueId val="{0000001B-E7D3-4C68-8473-70B5217D4F10}"/>
              </c:ext>
            </c:extLst>
          </c:dPt>
          <c:dPt>
            <c:idx val="14"/>
            <c:bubble3D val="0"/>
            <c:spPr>
              <a:noFill/>
            </c:spPr>
            <c:extLst>
              <c:ext xmlns:c16="http://schemas.microsoft.com/office/drawing/2014/chart" uri="{C3380CC4-5D6E-409C-BE32-E72D297353CC}">
                <c16:uniqueId val="{0000001D-E7D3-4C68-8473-70B5217D4F10}"/>
              </c:ext>
            </c:extLst>
          </c:dPt>
          <c:dPt>
            <c:idx val="15"/>
            <c:bubble3D val="0"/>
            <c:spPr>
              <a:noFill/>
            </c:spPr>
            <c:extLst>
              <c:ext xmlns:c16="http://schemas.microsoft.com/office/drawing/2014/chart" uri="{C3380CC4-5D6E-409C-BE32-E72D297353CC}">
                <c16:uniqueId val="{0000001F-E7D3-4C68-8473-70B5217D4F10}"/>
              </c:ext>
            </c:extLst>
          </c:dPt>
          <c:dPt>
            <c:idx val="16"/>
            <c:bubble3D val="0"/>
            <c:spPr>
              <a:solidFill>
                <a:schemeClr val="tx1"/>
              </a:solidFill>
            </c:spPr>
            <c:extLst>
              <c:ext xmlns:c16="http://schemas.microsoft.com/office/drawing/2014/chart" uri="{C3380CC4-5D6E-409C-BE32-E72D297353CC}">
                <c16:uniqueId val="{00000021-E7D3-4C68-8473-70B5217D4F10}"/>
              </c:ext>
            </c:extLst>
          </c:dPt>
          <c:dPt>
            <c:idx val="17"/>
            <c:bubble3D val="0"/>
            <c:spPr>
              <a:noFill/>
            </c:spPr>
            <c:extLst>
              <c:ext xmlns:c16="http://schemas.microsoft.com/office/drawing/2014/chart" uri="{C3380CC4-5D6E-409C-BE32-E72D297353CC}">
                <c16:uniqueId val="{00000023-E7D3-4C68-8473-70B5217D4F10}"/>
              </c:ext>
            </c:extLst>
          </c:dPt>
          <c:dPt>
            <c:idx val="18"/>
            <c:bubble3D val="0"/>
            <c:spPr>
              <a:noFill/>
            </c:spPr>
            <c:extLst>
              <c:ext xmlns:c16="http://schemas.microsoft.com/office/drawing/2014/chart" uri="{C3380CC4-5D6E-409C-BE32-E72D297353CC}">
                <c16:uniqueId val="{00000025-E7D3-4C68-8473-70B5217D4F10}"/>
              </c:ext>
            </c:extLst>
          </c:dPt>
          <c:dPt>
            <c:idx val="19"/>
            <c:bubble3D val="0"/>
            <c:spPr>
              <a:solidFill>
                <a:schemeClr val="tx1"/>
              </a:solidFill>
            </c:spPr>
            <c:extLst>
              <c:ext xmlns:c16="http://schemas.microsoft.com/office/drawing/2014/chart" uri="{C3380CC4-5D6E-409C-BE32-E72D297353CC}">
                <c16:uniqueId val="{00000027-E7D3-4C68-8473-70B5217D4F10}"/>
              </c:ext>
            </c:extLst>
          </c:dPt>
          <c:dPt>
            <c:idx val="20"/>
            <c:bubble3D val="0"/>
            <c:spPr>
              <a:noFill/>
            </c:spPr>
            <c:extLst>
              <c:ext xmlns:c16="http://schemas.microsoft.com/office/drawing/2014/chart" uri="{C3380CC4-5D6E-409C-BE32-E72D297353CC}">
                <c16:uniqueId val="{00000029-E7D3-4C68-8473-70B5217D4F10}"/>
              </c:ext>
            </c:extLst>
          </c:dPt>
          <c:dPt>
            <c:idx val="21"/>
            <c:bubble3D val="0"/>
            <c:spPr>
              <a:noFill/>
            </c:spPr>
            <c:extLst>
              <c:ext xmlns:c16="http://schemas.microsoft.com/office/drawing/2014/chart" uri="{C3380CC4-5D6E-409C-BE32-E72D297353CC}">
                <c16:uniqueId val="{0000002B-E7D3-4C68-8473-70B5217D4F10}"/>
              </c:ext>
            </c:extLst>
          </c:dPt>
          <c:dPt>
            <c:idx val="22"/>
            <c:bubble3D val="0"/>
            <c:spPr>
              <a:solidFill>
                <a:schemeClr val="tx1"/>
              </a:solidFill>
            </c:spPr>
            <c:extLst>
              <c:ext xmlns:c16="http://schemas.microsoft.com/office/drawing/2014/chart" uri="{C3380CC4-5D6E-409C-BE32-E72D297353CC}">
                <c16:uniqueId val="{0000002D-E7D3-4C68-8473-70B5217D4F10}"/>
              </c:ext>
            </c:extLst>
          </c:dPt>
          <c:dPt>
            <c:idx val="23"/>
            <c:bubble3D val="0"/>
            <c:spPr>
              <a:noFill/>
            </c:spPr>
            <c:extLst>
              <c:ext xmlns:c16="http://schemas.microsoft.com/office/drawing/2014/chart" uri="{C3380CC4-5D6E-409C-BE32-E72D297353CC}">
                <c16:uniqueId val="{0000002F-E7D3-4C68-8473-70B5217D4F10}"/>
              </c:ext>
            </c:extLst>
          </c:dPt>
          <c:dPt>
            <c:idx val="24"/>
            <c:bubble3D val="0"/>
            <c:spPr>
              <a:noFill/>
            </c:spPr>
            <c:extLst>
              <c:ext xmlns:c16="http://schemas.microsoft.com/office/drawing/2014/chart" uri="{C3380CC4-5D6E-409C-BE32-E72D297353CC}">
                <c16:uniqueId val="{00000031-E7D3-4C68-8473-70B5217D4F10}"/>
              </c:ext>
            </c:extLst>
          </c:dPt>
          <c:dPt>
            <c:idx val="25"/>
            <c:bubble3D val="0"/>
            <c:spPr>
              <a:solidFill>
                <a:schemeClr val="tx1"/>
              </a:solidFill>
            </c:spPr>
            <c:extLst>
              <c:ext xmlns:c16="http://schemas.microsoft.com/office/drawing/2014/chart" uri="{C3380CC4-5D6E-409C-BE32-E72D297353CC}">
                <c16:uniqueId val="{00000033-E7D3-4C68-8473-70B5217D4F10}"/>
              </c:ext>
            </c:extLst>
          </c:dPt>
          <c:dPt>
            <c:idx val="26"/>
            <c:bubble3D val="0"/>
            <c:spPr>
              <a:noFill/>
            </c:spPr>
            <c:extLst>
              <c:ext xmlns:c16="http://schemas.microsoft.com/office/drawing/2014/chart" uri="{C3380CC4-5D6E-409C-BE32-E72D297353CC}">
                <c16:uniqueId val="{00000035-E7D3-4C68-8473-70B5217D4F10}"/>
              </c:ext>
            </c:extLst>
          </c:dPt>
          <c:dPt>
            <c:idx val="27"/>
            <c:bubble3D val="0"/>
            <c:spPr>
              <a:noFill/>
            </c:spPr>
            <c:extLst>
              <c:ext xmlns:c16="http://schemas.microsoft.com/office/drawing/2014/chart" uri="{C3380CC4-5D6E-409C-BE32-E72D297353CC}">
                <c16:uniqueId val="{00000037-E7D3-4C68-8473-70B5217D4F10}"/>
              </c:ext>
            </c:extLst>
          </c:dPt>
          <c:dPt>
            <c:idx val="28"/>
            <c:bubble3D val="0"/>
            <c:spPr>
              <a:solidFill>
                <a:schemeClr val="tx1"/>
              </a:solidFill>
            </c:spPr>
            <c:extLst>
              <c:ext xmlns:c16="http://schemas.microsoft.com/office/drawing/2014/chart" uri="{C3380CC4-5D6E-409C-BE32-E72D297353CC}">
                <c16:uniqueId val="{00000039-E7D3-4C68-8473-70B5217D4F10}"/>
              </c:ext>
            </c:extLst>
          </c:dPt>
          <c:dPt>
            <c:idx val="29"/>
            <c:bubble3D val="0"/>
            <c:spPr>
              <a:noFill/>
            </c:spPr>
            <c:extLst>
              <c:ext xmlns:c16="http://schemas.microsoft.com/office/drawing/2014/chart" uri="{C3380CC4-5D6E-409C-BE32-E72D297353CC}">
                <c16:uniqueId val="{0000003B-E7D3-4C68-8473-70B5217D4F10}"/>
              </c:ext>
            </c:extLst>
          </c:dPt>
          <c:dPt>
            <c:idx val="30"/>
            <c:bubble3D val="0"/>
            <c:spPr>
              <a:noFill/>
            </c:spPr>
            <c:extLst>
              <c:ext xmlns:c16="http://schemas.microsoft.com/office/drawing/2014/chart" uri="{C3380CC4-5D6E-409C-BE32-E72D297353CC}">
                <c16:uniqueId val="{0000003D-E7D3-4C68-8473-70B5217D4F10}"/>
              </c:ext>
            </c:extLst>
          </c:dPt>
          <c:dPt>
            <c:idx val="31"/>
            <c:bubble3D val="0"/>
            <c:spPr>
              <a:solidFill>
                <a:schemeClr val="tx1"/>
              </a:solidFill>
            </c:spPr>
            <c:extLst>
              <c:ext xmlns:c16="http://schemas.microsoft.com/office/drawing/2014/chart" uri="{C3380CC4-5D6E-409C-BE32-E72D297353CC}">
                <c16:uniqueId val="{0000003F-E7D3-4C68-8473-70B5217D4F10}"/>
              </c:ext>
            </c:extLst>
          </c:dPt>
          <c:dPt>
            <c:idx val="32"/>
            <c:bubble3D val="0"/>
            <c:spPr>
              <a:noFill/>
            </c:spPr>
            <c:extLst>
              <c:ext xmlns:c16="http://schemas.microsoft.com/office/drawing/2014/chart" uri="{C3380CC4-5D6E-409C-BE32-E72D297353CC}">
                <c16:uniqueId val="{00000041-E7D3-4C68-8473-70B5217D4F10}"/>
              </c:ext>
            </c:extLst>
          </c:dPt>
          <c:dPt>
            <c:idx val="33"/>
            <c:bubble3D val="0"/>
            <c:spPr>
              <a:noFill/>
            </c:spPr>
            <c:extLst>
              <c:ext xmlns:c16="http://schemas.microsoft.com/office/drawing/2014/chart" uri="{C3380CC4-5D6E-409C-BE32-E72D297353CC}">
                <c16:uniqueId val="{00000043-E7D3-4C68-8473-70B5217D4F10}"/>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E7D3-4C68-8473-70B5217D4F10}"/>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9B8-4F6F-A331-B848BDDAC88B}"/>
              </c:ext>
            </c:extLst>
          </c:dPt>
          <c:dPt>
            <c:idx val="1"/>
            <c:bubble3D val="0"/>
            <c:spPr>
              <a:solidFill>
                <a:srgbClr val="054680"/>
              </a:solidFill>
              <a:ln>
                <a:noFill/>
              </a:ln>
            </c:spPr>
            <c:extLst>
              <c:ext xmlns:c16="http://schemas.microsoft.com/office/drawing/2014/chart" uri="{C3380CC4-5D6E-409C-BE32-E72D297353CC}">
                <c16:uniqueId val="{00000003-A9B8-4F6F-A331-B848BDDAC88B}"/>
              </c:ext>
            </c:extLst>
          </c:dPt>
          <c:dPt>
            <c:idx val="2"/>
            <c:bubble3D val="0"/>
            <c:spPr>
              <a:noFill/>
            </c:spPr>
            <c:extLst>
              <c:ext xmlns:c16="http://schemas.microsoft.com/office/drawing/2014/chart" uri="{C3380CC4-5D6E-409C-BE32-E72D297353CC}">
                <c16:uniqueId val="{00000005-A9B8-4F6F-A331-B848BDDAC88B}"/>
              </c:ext>
            </c:extLst>
          </c:dPt>
          <c:dPt>
            <c:idx val="3"/>
            <c:bubble3D val="0"/>
            <c:spPr>
              <a:solidFill>
                <a:srgbClr val="CBE4EB"/>
              </a:solidFill>
              <a:ln>
                <a:noFill/>
              </a:ln>
            </c:spPr>
            <c:extLst>
              <c:ext xmlns:c16="http://schemas.microsoft.com/office/drawing/2014/chart" uri="{C3380CC4-5D6E-409C-BE32-E72D297353CC}">
                <c16:uniqueId val="{00000007-A9B8-4F6F-A331-B848BDDAC88B}"/>
              </c:ext>
            </c:extLst>
          </c:dPt>
          <c:dPt>
            <c:idx val="4"/>
            <c:bubble3D val="0"/>
            <c:spPr>
              <a:solidFill>
                <a:srgbClr val="007AC5"/>
              </a:solidFill>
              <a:ln>
                <a:noFill/>
              </a:ln>
            </c:spPr>
            <c:extLst>
              <c:ext xmlns:c16="http://schemas.microsoft.com/office/drawing/2014/chart" uri="{C3380CC4-5D6E-409C-BE32-E72D297353CC}">
                <c16:uniqueId val="{00000009-A9B8-4F6F-A331-B848BDDAC88B}"/>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9B8-4F6F-A331-B848BDDAC88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A2E-4908-B5F7-9F0E0FE38EE5}"/>
              </c:ext>
            </c:extLst>
          </c:dPt>
          <c:dPt>
            <c:idx val="1"/>
            <c:bubble3D val="0"/>
            <c:spPr>
              <a:solidFill>
                <a:schemeClr val="tx1"/>
              </a:solidFill>
              <a:ln>
                <a:noFill/>
              </a:ln>
            </c:spPr>
            <c:extLst>
              <c:ext xmlns:c16="http://schemas.microsoft.com/office/drawing/2014/chart" uri="{C3380CC4-5D6E-409C-BE32-E72D297353CC}">
                <c16:uniqueId val="{00000003-CA2E-4908-B5F7-9F0E0FE38EE5}"/>
              </c:ext>
            </c:extLst>
          </c:dPt>
          <c:dPt>
            <c:idx val="2"/>
            <c:bubble3D val="0"/>
            <c:spPr>
              <a:noFill/>
            </c:spPr>
            <c:extLst>
              <c:ext xmlns:c16="http://schemas.microsoft.com/office/drawing/2014/chart" uri="{C3380CC4-5D6E-409C-BE32-E72D297353CC}">
                <c16:uniqueId val="{00000005-CA2E-4908-B5F7-9F0E0FE38EE5}"/>
              </c:ext>
            </c:extLst>
          </c:dPt>
          <c:dPt>
            <c:idx val="3"/>
            <c:bubble3D val="0"/>
            <c:spPr>
              <a:noFill/>
            </c:spPr>
            <c:extLst>
              <c:ext xmlns:c16="http://schemas.microsoft.com/office/drawing/2014/chart" uri="{C3380CC4-5D6E-409C-BE32-E72D297353CC}">
                <c16:uniqueId val="{00000007-CA2E-4908-B5F7-9F0E0FE38EE5}"/>
              </c:ext>
            </c:extLst>
          </c:dPt>
          <c:dPt>
            <c:idx val="4"/>
            <c:bubble3D val="0"/>
            <c:spPr>
              <a:solidFill>
                <a:schemeClr val="tx1"/>
              </a:solidFill>
              <a:ln>
                <a:noFill/>
              </a:ln>
            </c:spPr>
            <c:extLst>
              <c:ext xmlns:c16="http://schemas.microsoft.com/office/drawing/2014/chart" uri="{C3380CC4-5D6E-409C-BE32-E72D297353CC}">
                <c16:uniqueId val="{00000009-CA2E-4908-B5F7-9F0E0FE38EE5}"/>
              </c:ext>
            </c:extLst>
          </c:dPt>
          <c:dPt>
            <c:idx val="5"/>
            <c:bubble3D val="0"/>
            <c:spPr>
              <a:noFill/>
            </c:spPr>
            <c:extLst>
              <c:ext xmlns:c16="http://schemas.microsoft.com/office/drawing/2014/chart" uri="{C3380CC4-5D6E-409C-BE32-E72D297353CC}">
                <c16:uniqueId val="{0000000B-CA2E-4908-B5F7-9F0E0FE38EE5}"/>
              </c:ext>
            </c:extLst>
          </c:dPt>
          <c:dPt>
            <c:idx val="6"/>
            <c:bubble3D val="0"/>
            <c:spPr>
              <a:noFill/>
            </c:spPr>
            <c:extLst>
              <c:ext xmlns:c16="http://schemas.microsoft.com/office/drawing/2014/chart" uri="{C3380CC4-5D6E-409C-BE32-E72D297353CC}">
                <c16:uniqueId val="{0000000D-CA2E-4908-B5F7-9F0E0FE38EE5}"/>
              </c:ext>
            </c:extLst>
          </c:dPt>
          <c:dPt>
            <c:idx val="7"/>
            <c:bubble3D val="0"/>
            <c:spPr>
              <a:solidFill>
                <a:schemeClr val="tx1"/>
              </a:solidFill>
              <a:ln>
                <a:noFill/>
              </a:ln>
            </c:spPr>
            <c:extLst>
              <c:ext xmlns:c16="http://schemas.microsoft.com/office/drawing/2014/chart" uri="{C3380CC4-5D6E-409C-BE32-E72D297353CC}">
                <c16:uniqueId val="{0000000F-CA2E-4908-B5F7-9F0E0FE38EE5}"/>
              </c:ext>
            </c:extLst>
          </c:dPt>
          <c:dPt>
            <c:idx val="8"/>
            <c:bubble3D val="0"/>
            <c:spPr>
              <a:noFill/>
            </c:spPr>
            <c:extLst>
              <c:ext xmlns:c16="http://schemas.microsoft.com/office/drawing/2014/chart" uri="{C3380CC4-5D6E-409C-BE32-E72D297353CC}">
                <c16:uniqueId val="{00000011-CA2E-4908-B5F7-9F0E0FE38EE5}"/>
              </c:ext>
            </c:extLst>
          </c:dPt>
          <c:dPt>
            <c:idx val="9"/>
            <c:bubble3D val="0"/>
            <c:spPr>
              <a:noFill/>
            </c:spPr>
            <c:extLst>
              <c:ext xmlns:c16="http://schemas.microsoft.com/office/drawing/2014/chart" uri="{C3380CC4-5D6E-409C-BE32-E72D297353CC}">
                <c16:uniqueId val="{00000013-CA2E-4908-B5F7-9F0E0FE38EE5}"/>
              </c:ext>
            </c:extLst>
          </c:dPt>
          <c:dPt>
            <c:idx val="10"/>
            <c:bubble3D val="0"/>
            <c:spPr>
              <a:solidFill>
                <a:schemeClr val="tx1"/>
              </a:solidFill>
            </c:spPr>
            <c:extLst>
              <c:ext xmlns:c16="http://schemas.microsoft.com/office/drawing/2014/chart" uri="{C3380CC4-5D6E-409C-BE32-E72D297353CC}">
                <c16:uniqueId val="{00000015-CA2E-4908-B5F7-9F0E0FE38EE5}"/>
              </c:ext>
            </c:extLst>
          </c:dPt>
          <c:dPt>
            <c:idx val="11"/>
            <c:bubble3D val="0"/>
            <c:spPr>
              <a:noFill/>
            </c:spPr>
            <c:extLst>
              <c:ext xmlns:c16="http://schemas.microsoft.com/office/drawing/2014/chart" uri="{C3380CC4-5D6E-409C-BE32-E72D297353CC}">
                <c16:uniqueId val="{00000017-CA2E-4908-B5F7-9F0E0FE38EE5}"/>
              </c:ext>
            </c:extLst>
          </c:dPt>
          <c:dPt>
            <c:idx val="12"/>
            <c:bubble3D val="0"/>
            <c:spPr>
              <a:noFill/>
            </c:spPr>
            <c:extLst>
              <c:ext xmlns:c16="http://schemas.microsoft.com/office/drawing/2014/chart" uri="{C3380CC4-5D6E-409C-BE32-E72D297353CC}">
                <c16:uniqueId val="{00000019-CA2E-4908-B5F7-9F0E0FE38EE5}"/>
              </c:ext>
            </c:extLst>
          </c:dPt>
          <c:dPt>
            <c:idx val="13"/>
            <c:bubble3D val="0"/>
            <c:spPr>
              <a:solidFill>
                <a:schemeClr val="tx1"/>
              </a:solidFill>
            </c:spPr>
            <c:extLst>
              <c:ext xmlns:c16="http://schemas.microsoft.com/office/drawing/2014/chart" uri="{C3380CC4-5D6E-409C-BE32-E72D297353CC}">
                <c16:uniqueId val="{0000001B-CA2E-4908-B5F7-9F0E0FE38EE5}"/>
              </c:ext>
            </c:extLst>
          </c:dPt>
          <c:dPt>
            <c:idx val="14"/>
            <c:bubble3D val="0"/>
            <c:spPr>
              <a:noFill/>
            </c:spPr>
            <c:extLst>
              <c:ext xmlns:c16="http://schemas.microsoft.com/office/drawing/2014/chart" uri="{C3380CC4-5D6E-409C-BE32-E72D297353CC}">
                <c16:uniqueId val="{0000001D-CA2E-4908-B5F7-9F0E0FE38EE5}"/>
              </c:ext>
            </c:extLst>
          </c:dPt>
          <c:dPt>
            <c:idx val="15"/>
            <c:bubble3D val="0"/>
            <c:spPr>
              <a:noFill/>
            </c:spPr>
            <c:extLst>
              <c:ext xmlns:c16="http://schemas.microsoft.com/office/drawing/2014/chart" uri="{C3380CC4-5D6E-409C-BE32-E72D297353CC}">
                <c16:uniqueId val="{0000001F-CA2E-4908-B5F7-9F0E0FE38EE5}"/>
              </c:ext>
            </c:extLst>
          </c:dPt>
          <c:dPt>
            <c:idx val="16"/>
            <c:bubble3D val="0"/>
            <c:spPr>
              <a:solidFill>
                <a:schemeClr val="tx1"/>
              </a:solidFill>
            </c:spPr>
            <c:extLst>
              <c:ext xmlns:c16="http://schemas.microsoft.com/office/drawing/2014/chart" uri="{C3380CC4-5D6E-409C-BE32-E72D297353CC}">
                <c16:uniqueId val="{00000021-CA2E-4908-B5F7-9F0E0FE38EE5}"/>
              </c:ext>
            </c:extLst>
          </c:dPt>
          <c:dPt>
            <c:idx val="17"/>
            <c:bubble3D val="0"/>
            <c:spPr>
              <a:noFill/>
            </c:spPr>
            <c:extLst>
              <c:ext xmlns:c16="http://schemas.microsoft.com/office/drawing/2014/chart" uri="{C3380CC4-5D6E-409C-BE32-E72D297353CC}">
                <c16:uniqueId val="{00000023-CA2E-4908-B5F7-9F0E0FE38EE5}"/>
              </c:ext>
            </c:extLst>
          </c:dPt>
          <c:dPt>
            <c:idx val="18"/>
            <c:bubble3D val="0"/>
            <c:spPr>
              <a:noFill/>
            </c:spPr>
            <c:extLst>
              <c:ext xmlns:c16="http://schemas.microsoft.com/office/drawing/2014/chart" uri="{C3380CC4-5D6E-409C-BE32-E72D297353CC}">
                <c16:uniqueId val="{00000025-CA2E-4908-B5F7-9F0E0FE38EE5}"/>
              </c:ext>
            </c:extLst>
          </c:dPt>
          <c:dPt>
            <c:idx val="19"/>
            <c:bubble3D val="0"/>
            <c:spPr>
              <a:solidFill>
                <a:schemeClr val="tx1"/>
              </a:solidFill>
            </c:spPr>
            <c:extLst>
              <c:ext xmlns:c16="http://schemas.microsoft.com/office/drawing/2014/chart" uri="{C3380CC4-5D6E-409C-BE32-E72D297353CC}">
                <c16:uniqueId val="{00000027-CA2E-4908-B5F7-9F0E0FE38EE5}"/>
              </c:ext>
            </c:extLst>
          </c:dPt>
          <c:dPt>
            <c:idx val="20"/>
            <c:bubble3D val="0"/>
            <c:spPr>
              <a:noFill/>
            </c:spPr>
            <c:extLst>
              <c:ext xmlns:c16="http://schemas.microsoft.com/office/drawing/2014/chart" uri="{C3380CC4-5D6E-409C-BE32-E72D297353CC}">
                <c16:uniqueId val="{00000029-CA2E-4908-B5F7-9F0E0FE38EE5}"/>
              </c:ext>
            </c:extLst>
          </c:dPt>
          <c:dPt>
            <c:idx val="21"/>
            <c:bubble3D val="0"/>
            <c:spPr>
              <a:noFill/>
            </c:spPr>
            <c:extLst>
              <c:ext xmlns:c16="http://schemas.microsoft.com/office/drawing/2014/chart" uri="{C3380CC4-5D6E-409C-BE32-E72D297353CC}">
                <c16:uniqueId val="{0000002B-CA2E-4908-B5F7-9F0E0FE38EE5}"/>
              </c:ext>
            </c:extLst>
          </c:dPt>
          <c:dPt>
            <c:idx val="22"/>
            <c:bubble3D val="0"/>
            <c:spPr>
              <a:solidFill>
                <a:schemeClr val="tx1"/>
              </a:solidFill>
            </c:spPr>
            <c:extLst>
              <c:ext xmlns:c16="http://schemas.microsoft.com/office/drawing/2014/chart" uri="{C3380CC4-5D6E-409C-BE32-E72D297353CC}">
                <c16:uniqueId val="{0000002D-CA2E-4908-B5F7-9F0E0FE38EE5}"/>
              </c:ext>
            </c:extLst>
          </c:dPt>
          <c:dPt>
            <c:idx val="23"/>
            <c:bubble3D val="0"/>
            <c:spPr>
              <a:noFill/>
            </c:spPr>
            <c:extLst>
              <c:ext xmlns:c16="http://schemas.microsoft.com/office/drawing/2014/chart" uri="{C3380CC4-5D6E-409C-BE32-E72D297353CC}">
                <c16:uniqueId val="{0000002F-CA2E-4908-B5F7-9F0E0FE38EE5}"/>
              </c:ext>
            </c:extLst>
          </c:dPt>
          <c:dPt>
            <c:idx val="24"/>
            <c:bubble3D val="0"/>
            <c:spPr>
              <a:noFill/>
            </c:spPr>
            <c:extLst>
              <c:ext xmlns:c16="http://schemas.microsoft.com/office/drawing/2014/chart" uri="{C3380CC4-5D6E-409C-BE32-E72D297353CC}">
                <c16:uniqueId val="{00000031-CA2E-4908-B5F7-9F0E0FE38EE5}"/>
              </c:ext>
            </c:extLst>
          </c:dPt>
          <c:dPt>
            <c:idx val="25"/>
            <c:bubble3D val="0"/>
            <c:spPr>
              <a:solidFill>
                <a:schemeClr val="tx1"/>
              </a:solidFill>
            </c:spPr>
            <c:extLst>
              <c:ext xmlns:c16="http://schemas.microsoft.com/office/drawing/2014/chart" uri="{C3380CC4-5D6E-409C-BE32-E72D297353CC}">
                <c16:uniqueId val="{00000033-CA2E-4908-B5F7-9F0E0FE38EE5}"/>
              </c:ext>
            </c:extLst>
          </c:dPt>
          <c:dPt>
            <c:idx val="26"/>
            <c:bubble3D val="0"/>
            <c:spPr>
              <a:noFill/>
            </c:spPr>
            <c:extLst>
              <c:ext xmlns:c16="http://schemas.microsoft.com/office/drawing/2014/chart" uri="{C3380CC4-5D6E-409C-BE32-E72D297353CC}">
                <c16:uniqueId val="{00000035-CA2E-4908-B5F7-9F0E0FE38EE5}"/>
              </c:ext>
            </c:extLst>
          </c:dPt>
          <c:dPt>
            <c:idx val="27"/>
            <c:bubble3D val="0"/>
            <c:spPr>
              <a:noFill/>
            </c:spPr>
            <c:extLst>
              <c:ext xmlns:c16="http://schemas.microsoft.com/office/drawing/2014/chart" uri="{C3380CC4-5D6E-409C-BE32-E72D297353CC}">
                <c16:uniqueId val="{00000037-CA2E-4908-B5F7-9F0E0FE38EE5}"/>
              </c:ext>
            </c:extLst>
          </c:dPt>
          <c:dPt>
            <c:idx val="28"/>
            <c:bubble3D val="0"/>
            <c:spPr>
              <a:solidFill>
                <a:schemeClr val="tx1"/>
              </a:solidFill>
            </c:spPr>
            <c:extLst>
              <c:ext xmlns:c16="http://schemas.microsoft.com/office/drawing/2014/chart" uri="{C3380CC4-5D6E-409C-BE32-E72D297353CC}">
                <c16:uniqueId val="{00000039-CA2E-4908-B5F7-9F0E0FE38EE5}"/>
              </c:ext>
            </c:extLst>
          </c:dPt>
          <c:dPt>
            <c:idx val="29"/>
            <c:bubble3D val="0"/>
            <c:spPr>
              <a:noFill/>
            </c:spPr>
            <c:extLst>
              <c:ext xmlns:c16="http://schemas.microsoft.com/office/drawing/2014/chart" uri="{C3380CC4-5D6E-409C-BE32-E72D297353CC}">
                <c16:uniqueId val="{0000003B-CA2E-4908-B5F7-9F0E0FE38EE5}"/>
              </c:ext>
            </c:extLst>
          </c:dPt>
          <c:dPt>
            <c:idx val="30"/>
            <c:bubble3D val="0"/>
            <c:spPr>
              <a:noFill/>
            </c:spPr>
            <c:extLst>
              <c:ext xmlns:c16="http://schemas.microsoft.com/office/drawing/2014/chart" uri="{C3380CC4-5D6E-409C-BE32-E72D297353CC}">
                <c16:uniqueId val="{0000003D-CA2E-4908-B5F7-9F0E0FE38EE5}"/>
              </c:ext>
            </c:extLst>
          </c:dPt>
          <c:dPt>
            <c:idx val="31"/>
            <c:bubble3D val="0"/>
            <c:spPr>
              <a:solidFill>
                <a:schemeClr val="tx1"/>
              </a:solidFill>
            </c:spPr>
            <c:extLst>
              <c:ext xmlns:c16="http://schemas.microsoft.com/office/drawing/2014/chart" uri="{C3380CC4-5D6E-409C-BE32-E72D297353CC}">
                <c16:uniqueId val="{0000003F-CA2E-4908-B5F7-9F0E0FE38EE5}"/>
              </c:ext>
            </c:extLst>
          </c:dPt>
          <c:dPt>
            <c:idx val="32"/>
            <c:bubble3D val="0"/>
            <c:spPr>
              <a:noFill/>
            </c:spPr>
            <c:extLst>
              <c:ext xmlns:c16="http://schemas.microsoft.com/office/drawing/2014/chart" uri="{C3380CC4-5D6E-409C-BE32-E72D297353CC}">
                <c16:uniqueId val="{00000041-CA2E-4908-B5F7-9F0E0FE38EE5}"/>
              </c:ext>
            </c:extLst>
          </c:dPt>
          <c:dPt>
            <c:idx val="33"/>
            <c:bubble3D val="0"/>
            <c:spPr>
              <a:noFill/>
            </c:spPr>
            <c:extLst>
              <c:ext xmlns:c16="http://schemas.microsoft.com/office/drawing/2014/chart" uri="{C3380CC4-5D6E-409C-BE32-E72D297353CC}">
                <c16:uniqueId val="{00000043-CA2E-4908-B5F7-9F0E0FE38EE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A2E-4908-B5F7-9F0E0FE38EE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7D1D-4C6D-96EC-7FC5301720A0}"/>
              </c:ext>
            </c:extLst>
          </c:dPt>
          <c:dPt>
            <c:idx val="1"/>
            <c:bubble3D val="0"/>
            <c:spPr>
              <a:solidFill>
                <a:schemeClr val="accent3">
                  <a:lumMod val="50000"/>
                </a:schemeClr>
              </a:solidFill>
              <a:ln>
                <a:noFill/>
              </a:ln>
            </c:spPr>
            <c:extLst>
              <c:ext xmlns:c16="http://schemas.microsoft.com/office/drawing/2014/chart" uri="{C3380CC4-5D6E-409C-BE32-E72D297353CC}">
                <c16:uniqueId val="{00000003-7D1D-4C6D-96EC-7FC5301720A0}"/>
              </c:ext>
            </c:extLst>
          </c:dPt>
          <c:dPt>
            <c:idx val="2"/>
            <c:bubble3D val="0"/>
            <c:spPr>
              <a:noFill/>
            </c:spPr>
            <c:extLst>
              <c:ext xmlns:c16="http://schemas.microsoft.com/office/drawing/2014/chart" uri="{C3380CC4-5D6E-409C-BE32-E72D297353CC}">
                <c16:uniqueId val="{00000005-7D1D-4C6D-96EC-7FC5301720A0}"/>
              </c:ext>
            </c:extLst>
          </c:dPt>
          <c:dPt>
            <c:idx val="3"/>
            <c:bubble3D val="0"/>
            <c:spPr>
              <a:solidFill>
                <a:srgbClr val="CBE4EB"/>
              </a:solidFill>
              <a:ln>
                <a:noFill/>
              </a:ln>
            </c:spPr>
            <c:extLst>
              <c:ext xmlns:c16="http://schemas.microsoft.com/office/drawing/2014/chart" uri="{C3380CC4-5D6E-409C-BE32-E72D297353CC}">
                <c16:uniqueId val="{00000007-7D1D-4C6D-96EC-7FC5301720A0}"/>
              </c:ext>
            </c:extLst>
          </c:dPt>
          <c:dPt>
            <c:idx val="4"/>
            <c:bubble3D val="0"/>
            <c:spPr>
              <a:solidFill>
                <a:schemeClr val="accent3"/>
              </a:solidFill>
              <a:ln>
                <a:noFill/>
              </a:ln>
            </c:spPr>
            <c:extLst>
              <c:ext xmlns:c16="http://schemas.microsoft.com/office/drawing/2014/chart" uri="{C3380CC4-5D6E-409C-BE32-E72D297353CC}">
                <c16:uniqueId val="{00000009-7D1D-4C6D-96EC-7FC5301720A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7D1D-4C6D-96EC-7FC5301720A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EE7-4A50-8D41-803A684F5AEE}"/>
              </c:ext>
            </c:extLst>
          </c:dPt>
          <c:dPt>
            <c:idx val="1"/>
            <c:bubble3D val="0"/>
            <c:spPr>
              <a:solidFill>
                <a:schemeClr val="tx1"/>
              </a:solidFill>
              <a:ln>
                <a:noFill/>
              </a:ln>
            </c:spPr>
            <c:extLst>
              <c:ext xmlns:c16="http://schemas.microsoft.com/office/drawing/2014/chart" uri="{C3380CC4-5D6E-409C-BE32-E72D297353CC}">
                <c16:uniqueId val="{00000003-CEE7-4A50-8D41-803A684F5AEE}"/>
              </c:ext>
            </c:extLst>
          </c:dPt>
          <c:dPt>
            <c:idx val="2"/>
            <c:bubble3D val="0"/>
            <c:spPr>
              <a:noFill/>
            </c:spPr>
            <c:extLst>
              <c:ext xmlns:c16="http://schemas.microsoft.com/office/drawing/2014/chart" uri="{C3380CC4-5D6E-409C-BE32-E72D297353CC}">
                <c16:uniqueId val="{00000005-CEE7-4A50-8D41-803A684F5AEE}"/>
              </c:ext>
            </c:extLst>
          </c:dPt>
          <c:dPt>
            <c:idx val="3"/>
            <c:bubble3D val="0"/>
            <c:spPr>
              <a:noFill/>
            </c:spPr>
            <c:extLst>
              <c:ext xmlns:c16="http://schemas.microsoft.com/office/drawing/2014/chart" uri="{C3380CC4-5D6E-409C-BE32-E72D297353CC}">
                <c16:uniqueId val="{00000007-CEE7-4A50-8D41-803A684F5AEE}"/>
              </c:ext>
            </c:extLst>
          </c:dPt>
          <c:dPt>
            <c:idx val="4"/>
            <c:bubble3D val="0"/>
            <c:spPr>
              <a:solidFill>
                <a:schemeClr val="tx1"/>
              </a:solidFill>
              <a:ln>
                <a:noFill/>
              </a:ln>
            </c:spPr>
            <c:extLst>
              <c:ext xmlns:c16="http://schemas.microsoft.com/office/drawing/2014/chart" uri="{C3380CC4-5D6E-409C-BE32-E72D297353CC}">
                <c16:uniqueId val="{00000009-CEE7-4A50-8D41-803A684F5AEE}"/>
              </c:ext>
            </c:extLst>
          </c:dPt>
          <c:dPt>
            <c:idx val="5"/>
            <c:bubble3D val="0"/>
            <c:spPr>
              <a:noFill/>
            </c:spPr>
            <c:extLst>
              <c:ext xmlns:c16="http://schemas.microsoft.com/office/drawing/2014/chart" uri="{C3380CC4-5D6E-409C-BE32-E72D297353CC}">
                <c16:uniqueId val="{0000000B-CEE7-4A50-8D41-803A684F5AEE}"/>
              </c:ext>
            </c:extLst>
          </c:dPt>
          <c:dPt>
            <c:idx val="6"/>
            <c:bubble3D val="0"/>
            <c:spPr>
              <a:noFill/>
            </c:spPr>
            <c:extLst>
              <c:ext xmlns:c16="http://schemas.microsoft.com/office/drawing/2014/chart" uri="{C3380CC4-5D6E-409C-BE32-E72D297353CC}">
                <c16:uniqueId val="{0000000D-CEE7-4A50-8D41-803A684F5AEE}"/>
              </c:ext>
            </c:extLst>
          </c:dPt>
          <c:dPt>
            <c:idx val="7"/>
            <c:bubble3D val="0"/>
            <c:spPr>
              <a:solidFill>
                <a:schemeClr val="tx1"/>
              </a:solidFill>
              <a:ln>
                <a:noFill/>
              </a:ln>
            </c:spPr>
            <c:extLst>
              <c:ext xmlns:c16="http://schemas.microsoft.com/office/drawing/2014/chart" uri="{C3380CC4-5D6E-409C-BE32-E72D297353CC}">
                <c16:uniqueId val="{0000000F-CEE7-4A50-8D41-803A684F5AEE}"/>
              </c:ext>
            </c:extLst>
          </c:dPt>
          <c:dPt>
            <c:idx val="8"/>
            <c:bubble3D val="0"/>
            <c:spPr>
              <a:noFill/>
            </c:spPr>
            <c:extLst>
              <c:ext xmlns:c16="http://schemas.microsoft.com/office/drawing/2014/chart" uri="{C3380CC4-5D6E-409C-BE32-E72D297353CC}">
                <c16:uniqueId val="{00000011-CEE7-4A50-8D41-803A684F5AEE}"/>
              </c:ext>
            </c:extLst>
          </c:dPt>
          <c:dPt>
            <c:idx val="9"/>
            <c:bubble3D val="0"/>
            <c:spPr>
              <a:noFill/>
            </c:spPr>
            <c:extLst>
              <c:ext xmlns:c16="http://schemas.microsoft.com/office/drawing/2014/chart" uri="{C3380CC4-5D6E-409C-BE32-E72D297353CC}">
                <c16:uniqueId val="{00000013-CEE7-4A50-8D41-803A684F5AEE}"/>
              </c:ext>
            </c:extLst>
          </c:dPt>
          <c:dPt>
            <c:idx val="10"/>
            <c:bubble3D val="0"/>
            <c:spPr>
              <a:solidFill>
                <a:schemeClr val="tx1"/>
              </a:solidFill>
            </c:spPr>
            <c:extLst>
              <c:ext xmlns:c16="http://schemas.microsoft.com/office/drawing/2014/chart" uri="{C3380CC4-5D6E-409C-BE32-E72D297353CC}">
                <c16:uniqueId val="{00000015-CEE7-4A50-8D41-803A684F5AEE}"/>
              </c:ext>
            </c:extLst>
          </c:dPt>
          <c:dPt>
            <c:idx val="11"/>
            <c:bubble3D val="0"/>
            <c:spPr>
              <a:noFill/>
            </c:spPr>
            <c:extLst>
              <c:ext xmlns:c16="http://schemas.microsoft.com/office/drawing/2014/chart" uri="{C3380CC4-5D6E-409C-BE32-E72D297353CC}">
                <c16:uniqueId val="{00000017-CEE7-4A50-8D41-803A684F5AEE}"/>
              </c:ext>
            </c:extLst>
          </c:dPt>
          <c:dPt>
            <c:idx val="12"/>
            <c:bubble3D val="0"/>
            <c:spPr>
              <a:noFill/>
            </c:spPr>
            <c:extLst>
              <c:ext xmlns:c16="http://schemas.microsoft.com/office/drawing/2014/chart" uri="{C3380CC4-5D6E-409C-BE32-E72D297353CC}">
                <c16:uniqueId val="{00000019-CEE7-4A50-8D41-803A684F5AEE}"/>
              </c:ext>
            </c:extLst>
          </c:dPt>
          <c:dPt>
            <c:idx val="13"/>
            <c:bubble3D val="0"/>
            <c:spPr>
              <a:solidFill>
                <a:schemeClr val="tx1"/>
              </a:solidFill>
            </c:spPr>
            <c:extLst>
              <c:ext xmlns:c16="http://schemas.microsoft.com/office/drawing/2014/chart" uri="{C3380CC4-5D6E-409C-BE32-E72D297353CC}">
                <c16:uniqueId val="{0000001B-CEE7-4A50-8D41-803A684F5AEE}"/>
              </c:ext>
            </c:extLst>
          </c:dPt>
          <c:dPt>
            <c:idx val="14"/>
            <c:bubble3D val="0"/>
            <c:spPr>
              <a:noFill/>
            </c:spPr>
            <c:extLst>
              <c:ext xmlns:c16="http://schemas.microsoft.com/office/drawing/2014/chart" uri="{C3380CC4-5D6E-409C-BE32-E72D297353CC}">
                <c16:uniqueId val="{0000001D-CEE7-4A50-8D41-803A684F5AEE}"/>
              </c:ext>
            </c:extLst>
          </c:dPt>
          <c:dPt>
            <c:idx val="15"/>
            <c:bubble3D val="0"/>
            <c:spPr>
              <a:noFill/>
            </c:spPr>
            <c:extLst>
              <c:ext xmlns:c16="http://schemas.microsoft.com/office/drawing/2014/chart" uri="{C3380CC4-5D6E-409C-BE32-E72D297353CC}">
                <c16:uniqueId val="{0000001F-CEE7-4A50-8D41-803A684F5AEE}"/>
              </c:ext>
            </c:extLst>
          </c:dPt>
          <c:dPt>
            <c:idx val="16"/>
            <c:bubble3D val="0"/>
            <c:spPr>
              <a:solidFill>
                <a:schemeClr val="tx1"/>
              </a:solidFill>
            </c:spPr>
            <c:extLst>
              <c:ext xmlns:c16="http://schemas.microsoft.com/office/drawing/2014/chart" uri="{C3380CC4-5D6E-409C-BE32-E72D297353CC}">
                <c16:uniqueId val="{00000021-CEE7-4A50-8D41-803A684F5AEE}"/>
              </c:ext>
            </c:extLst>
          </c:dPt>
          <c:dPt>
            <c:idx val="17"/>
            <c:bubble3D val="0"/>
            <c:spPr>
              <a:noFill/>
            </c:spPr>
            <c:extLst>
              <c:ext xmlns:c16="http://schemas.microsoft.com/office/drawing/2014/chart" uri="{C3380CC4-5D6E-409C-BE32-E72D297353CC}">
                <c16:uniqueId val="{00000023-CEE7-4A50-8D41-803A684F5AEE}"/>
              </c:ext>
            </c:extLst>
          </c:dPt>
          <c:dPt>
            <c:idx val="18"/>
            <c:bubble3D val="0"/>
            <c:spPr>
              <a:noFill/>
            </c:spPr>
            <c:extLst>
              <c:ext xmlns:c16="http://schemas.microsoft.com/office/drawing/2014/chart" uri="{C3380CC4-5D6E-409C-BE32-E72D297353CC}">
                <c16:uniqueId val="{00000025-CEE7-4A50-8D41-803A684F5AEE}"/>
              </c:ext>
            </c:extLst>
          </c:dPt>
          <c:dPt>
            <c:idx val="19"/>
            <c:bubble3D val="0"/>
            <c:spPr>
              <a:solidFill>
                <a:schemeClr val="tx1"/>
              </a:solidFill>
            </c:spPr>
            <c:extLst>
              <c:ext xmlns:c16="http://schemas.microsoft.com/office/drawing/2014/chart" uri="{C3380CC4-5D6E-409C-BE32-E72D297353CC}">
                <c16:uniqueId val="{00000027-CEE7-4A50-8D41-803A684F5AEE}"/>
              </c:ext>
            </c:extLst>
          </c:dPt>
          <c:dPt>
            <c:idx val="20"/>
            <c:bubble3D val="0"/>
            <c:spPr>
              <a:noFill/>
            </c:spPr>
            <c:extLst>
              <c:ext xmlns:c16="http://schemas.microsoft.com/office/drawing/2014/chart" uri="{C3380CC4-5D6E-409C-BE32-E72D297353CC}">
                <c16:uniqueId val="{00000029-CEE7-4A50-8D41-803A684F5AEE}"/>
              </c:ext>
            </c:extLst>
          </c:dPt>
          <c:dPt>
            <c:idx val="21"/>
            <c:bubble3D val="0"/>
            <c:spPr>
              <a:noFill/>
            </c:spPr>
            <c:extLst>
              <c:ext xmlns:c16="http://schemas.microsoft.com/office/drawing/2014/chart" uri="{C3380CC4-5D6E-409C-BE32-E72D297353CC}">
                <c16:uniqueId val="{0000002B-CEE7-4A50-8D41-803A684F5AEE}"/>
              </c:ext>
            </c:extLst>
          </c:dPt>
          <c:dPt>
            <c:idx val="22"/>
            <c:bubble3D val="0"/>
            <c:spPr>
              <a:solidFill>
                <a:schemeClr val="tx1"/>
              </a:solidFill>
            </c:spPr>
            <c:extLst>
              <c:ext xmlns:c16="http://schemas.microsoft.com/office/drawing/2014/chart" uri="{C3380CC4-5D6E-409C-BE32-E72D297353CC}">
                <c16:uniqueId val="{0000002D-CEE7-4A50-8D41-803A684F5AEE}"/>
              </c:ext>
            </c:extLst>
          </c:dPt>
          <c:dPt>
            <c:idx val="23"/>
            <c:bubble3D val="0"/>
            <c:spPr>
              <a:noFill/>
            </c:spPr>
            <c:extLst>
              <c:ext xmlns:c16="http://schemas.microsoft.com/office/drawing/2014/chart" uri="{C3380CC4-5D6E-409C-BE32-E72D297353CC}">
                <c16:uniqueId val="{0000002F-CEE7-4A50-8D41-803A684F5AEE}"/>
              </c:ext>
            </c:extLst>
          </c:dPt>
          <c:dPt>
            <c:idx val="24"/>
            <c:bubble3D val="0"/>
            <c:spPr>
              <a:noFill/>
            </c:spPr>
            <c:extLst>
              <c:ext xmlns:c16="http://schemas.microsoft.com/office/drawing/2014/chart" uri="{C3380CC4-5D6E-409C-BE32-E72D297353CC}">
                <c16:uniqueId val="{00000031-CEE7-4A50-8D41-803A684F5AEE}"/>
              </c:ext>
            </c:extLst>
          </c:dPt>
          <c:dPt>
            <c:idx val="25"/>
            <c:bubble3D val="0"/>
            <c:spPr>
              <a:solidFill>
                <a:schemeClr val="tx1"/>
              </a:solidFill>
            </c:spPr>
            <c:extLst>
              <c:ext xmlns:c16="http://schemas.microsoft.com/office/drawing/2014/chart" uri="{C3380CC4-5D6E-409C-BE32-E72D297353CC}">
                <c16:uniqueId val="{00000033-CEE7-4A50-8D41-803A684F5AEE}"/>
              </c:ext>
            </c:extLst>
          </c:dPt>
          <c:dPt>
            <c:idx val="26"/>
            <c:bubble3D val="0"/>
            <c:spPr>
              <a:noFill/>
            </c:spPr>
            <c:extLst>
              <c:ext xmlns:c16="http://schemas.microsoft.com/office/drawing/2014/chart" uri="{C3380CC4-5D6E-409C-BE32-E72D297353CC}">
                <c16:uniqueId val="{00000035-CEE7-4A50-8D41-803A684F5AEE}"/>
              </c:ext>
            </c:extLst>
          </c:dPt>
          <c:dPt>
            <c:idx val="27"/>
            <c:bubble3D val="0"/>
            <c:spPr>
              <a:noFill/>
            </c:spPr>
            <c:extLst>
              <c:ext xmlns:c16="http://schemas.microsoft.com/office/drawing/2014/chart" uri="{C3380CC4-5D6E-409C-BE32-E72D297353CC}">
                <c16:uniqueId val="{00000037-CEE7-4A50-8D41-803A684F5AEE}"/>
              </c:ext>
            </c:extLst>
          </c:dPt>
          <c:dPt>
            <c:idx val="28"/>
            <c:bubble3D val="0"/>
            <c:spPr>
              <a:solidFill>
                <a:schemeClr val="tx1"/>
              </a:solidFill>
            </c:spPr>
            <c:extLst>
              <c:ext xmlns:c16="http://schemas.microsoft.com/office/drawing/2014/chart" uri="{C3380CC4-5D6E-409C-BE32-E72D297353CC}">
                <c16:uniqueId val="{00000039-CEE7-4A50-8D41-803A684F5AEE}"/>
              </c:ext>
            </c:extLst>
          </c:dPt>
          <c:dPt>
            <c:idx val="29"/>
            <c:bubble3D val="0"/>
            <c:spPr>
              <a:noFill/>
            </c:spPr>
            <c:extLst>
              <c:ext xmlns:c16="http://schemas.microsoft.com/office/drawing/2014/chart" uri="{C3380CC4-5D6E-409C-BE32-E72D297353CC}">
                <c16:uniqueId val="{0000003B-CEE7-4A50-8D41-803A684F5AEE}"/>
              </c:ext>
            </c:extLst>
          </c:dPt>
          <c:dPt>
            <c:idx val="30"/>
            <c:bubble3D val="0"/>
            <c:spPr>
              <a:noFill/>
            </c:spPr>
            <c:extLst>
              <c:ext xmlns:c16="http://schemas.microsoft.com/office/drawing/2014/chart" uri="{C3380CC4-5D6E-409C-BE32-E72D297353CC}">
                <c16:uniqueId val="{0000003D-CEE7-4A50-8D41-803A684F5AEE}"/>
              </c:ext>
            </c:extLst>
          </c:dPt>
          <c:dPt>
            <c:idx val="31"/>
            <c:bubble3D val="0"/>
            <c:spPr>
              <a:solidFill>
                <a:schemeClr val="tx1"/>
              </a:solidFill>
            </c:spPr>
            <c:extLst>
              <c:ext xmlns:c16="http://schemas.microsoft.com/office/drawing/2014/chart" uri="{C3380CC4-5D6E-409C-BE32-E72D297353CC}">
                <c16:uniqueId val="{0000003F-CEE7-4A50-8D41-803A684F5AEE}"/>
              </c:ext>
            </c:extLst>
          </c:dPt>
          <c:dPt>
            <c:idx val="32"/>
            <c:bubble3D val="0"/>
            <c:spPr>
              <a:noFill/>
            </c:spPr>
            <c:extLst>
              <c:ext xmlns:c16="http://schemas.microsoft.com/office/drawing/2014/chart" uri="{C3380CC4-5D6E-409C-BE32-E72D297353CC}">
                <c16:uniqueId val="{00000041-CEE7-4A50-8D41-803A684F5AEE}"/>
              </c:ext>
            </c:extLst>
          </c:dPt>
          <c:dPt>
            <c:idx val="33"/>
            <c:bubble3D val="0"/>
            <c:spPr>
              <a:noFill/>
            </c:spPr>
            <c:extLst>
              <c:ext xmlns:c16="http://schemas.microsoft.com/office/drawing/2014/chart" uri="{C3380CC4-5D6E-409C-BE32-E72D297353CC}">
                <c16:uniqueId val="{00000043-CEE7-4A50-8D41-803A684F5AEE}"/>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EE7-4A50-8D41-803A684F5AEE}"/>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544-4DEE-A89C-CF0087E66AAD}"/>
              </c:ext>
            </c:extLst>
          </c:dPt>
          <c:dPt>
            <c:idx val="1"/>
            <c:bubble3D val="0"/>
            <c:spPr>
              <a:solidFill>
                <a:srgbClr val="054680"/>
              </a:solidFill>
              <a:ln>
                <a:noFill/>
              </a:ln>
            </c:spPr>
            <c:extLst>
              <c:ext xmlns:c16="http://schemas.microsoft.com/office/drawing/2014/chart" uri="{C3380CC4-5D6E-409C-BE32-E72D297353CC}">
                <c16:uniqueId val="{00000003-A544-4DEE-A89C-CF0087E66AAD}"/>
              </c:ext>
            </c:extLst>
          </c:dPt>
          <c:dPt>
            <c:idx val="2"/>
            <c:bubble3D val="0"/>
            <c:spPr>
              <a:noFill/>
            </c:spPr>
            <c:extLst>
              <c:ext xmlns:c16="http://schemas.microsoft.com/office/drawing/2014/chart" uri="{C3380CC4-5D6E-409C-BE32-E72D297353CC}">
                <c16:uniqueId val="{00000005-A544-4DEE-A89C-CF0087E66AAD}"/>
              </c:ext>
            </c:extLst>
          </c:dPt>
          <c:dPt>
            <c:idx val="3"/>
            <c:bubble3D val="0"/>
            <c:spPr>
              <a:solidFill>
                <a:srgbClr val="7BBAD3"/>
              </a:solidFill>
              <a:ln>
                <a:noFill/>
              </a:ln>
            </c:spPr>
            <c:extLst>
              <c:ext xmlns:c16="http://schemas.microsoft.com/office/drawing/2014/chart" uri="{C3380CC4-5D6E-409C-BE32-E72D297353CC}">
                <c16:uniqueId val="{00000007-A544-4DEE-A89C-CF0087E66AAD}"/>
              </c:ext>
            </c:extLst>
          </c:dPt>
          <c:dPt>
            <c:idx val="4"/>
            <c:bubble3D val="0"/>
            <c:spPr>
              <a:solidFill>
                <a:srgbClr val="007AC5"/>
              </a:solidFill>
              <a:ln>
                <a:noFill/>
              </a:ln>
            </c:spPr>
            <c:extLst>
              <c:ext xmlns:c16="http://schemas.microsoft.com/office/drawing/2014/chart" uri="{C3380CC4-5D6E-409C-BE32-E72D297353CC}">
                <c16:uniqueId val="{00000009-A544-4DEE-A89C-CF0087E66AA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544-4DEE-A89C-CF0087E66AA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4C8A-4E2B-B806-70AB6C4D0C63}"/>
              </c:ext>
            </c:extLst>
          </c:dPt>
          <c:dPt>
            <c:idx val="1"/>
            <c:bubble3D val="0"/>
            <c:spPr>
              <a:solidFill>
                <a:schemeClr val="tx1"/>
              </a:solidFill>
              <a:ln>
                <a:noFill/>
              </a:ln>
            </c:spPr>
            <c:extLst>
              <c:ext xmlns:c16="http://schemas.microsoft.com/office/drawing/2014/chart" uri="{C3380CC4-5D6E-409C-BE32-E72D297353CC}">
                <c16:uniqueId val="{00000003-4C8A-4E2B-B806-70AB6C4D0C63}"/>
              </c:ext>
            </c:extLst>
          </c:dPt>
          <c:dPt>
            <c:idx val="2"/>
            <c:bubble3D val="0"/>
            <c:spPr>
              <a:noFill/>
            </c:spPr>
            <c:extLst>
              <c:ext xmlns:c16="http://schemas.microsoft.com/office/drawing/2014/chart" uri="{C3380CC4-5D6E-409C-BE32-E72D297353CC}">
                <c16:uniqueId val="{00000005-4C8A-4E2B-B806-70AB6C4D0C63}"/>
              </c:ext>
            </c:extLst>
          </c:dPt>
          <c:dPt>
            <c:idx val="3"/>
            <c:bubble3D val="0"/>
            <c:spPr>
              <a:noFill/>
            </c:spPr>
            <c:extLst>
              <c:ext xmlns:c16="http://schemas.microsoft.com/office/drawing/2014/chart" uri="{C3380CC4-5D6E-409C-BE32-E72D297353CC}">
                <c16:uniqueId val="{00000007-4C8A-4E2B-B806-70AB6C4D0C63}"/>
              </c:ext>
            </c:extLst>
          </c:dPt>
          <c:dPt>
            <c:idx val="4"/>
            <c:bubble3D val="0"/>
            <c:spPr>
              <a:solidFill>
                <a:schemeClr val="tx1"/>
              </a:solidFill>
              <a:ln>
                <a:noFill/>
              </a:ln>
            </c:spPr>
            <c:extLst>
              <c:ext xmlns:c16="http://schemas.microsoft.com/office/drawing/2014/chart" uri="{C3380CC4-5D6E-409C-BE32-E72D297353CC}">
                <c16:uniqueId val="{00000009-4C8A-4E2B-B806-70AB6C4D0C63}"/>
              </c:ext>
            </c:extLst>
          </c:dPt>
          <c:dPt>
            <c:idx val="5"/>
            <c:bubble3D val="0"/>
            <c:spPr>
              <a:noFill/>
            </c:spPr>
            <c:extLst>
              <c:ext xmlns:c16="http://schemas.microsoft.com/office/drawing/2014/chart" uri="{C3380CC4-5D6E-409C-BE32-E72D297353CC}">
                <c16:uniqueId val="{0000000B-4C8A-4E2B-B806-70AB6C4D0C63}"/>
              </c:ext>
            </c:extLst>
          </c:dPt>
          <c:dPt>
            <c:idx val="6"/>
            <c:bubble3D val="0"/>
            <c:spPr>
              <a:noFill/>
            </c:spPr>
            <c:extLst>
              <c:ext xmlns:c16="http://schemas.microsoft.com/office/drawing/2014/chart" uri="{C3380CC4-5D6E-409C-BE32-E72D297353CC}">
                <c16:uniqueId val="{0000000D-4C8A-4E2B-B806-70AB6C4D0C63}"/>
              </c:ext>
            </c:extLst>
          </c:dPt>
          <c:dPt>
            <c:idx val="7"/>
            <c:bubble3D val="0"/>
            <c:spPr>
              <a:solidFill>
                <a:schemeClr val="tx1"/>
              </a:solidFill>
              <a:ln>
                <a:noFill/>
              </a:ln>
            </c:spPr>
            <c:extLst>
              <c:ext xmlns:c16="http://schemas.microsoft.com/office/drawing/2014/chart" uri="{C3380CC4-5D6E-409C-BE32-E72D297353CC}">
                <c16:uniqueId val="{0000000F-4C8A-4E2B-B806-70AB6C4D0C63}"/>
              </c:ext>
            </c:extLst>
          </c:dPt>
          <c:dPt>
            <c:idx val="8"/>
            <c:bubble3D val="0"/>
            <c:spPr>
              <a:noFill/>
            </c:spPr>
            <c:extLst>
              <c:ext xmlns:c16="http://schemas.microsoft.com/office/drawing/2014/chart" uri="{C3380CC4-5D6E-409C-BE32-E72D297353CC}">
                <c16:uniqueId val="{00000011-4C8A-4E2B-B806-70AB6C4D0C63}"/>
              </c:ext>
            </c:extLst>
          </c:dPt>
          <c:dPt>
            <c:idx val="9"/>
            <c:bubble3D val="0"/>
            <c:spPr>
              <a:noFill/>
            </c:spPr>
            <c:extLst>
              <c:ext xmlns:c16="http://schemas.microsoft.com/office/drawing/2014/chart" uri="{C3380CC4-5D6E-409C-BE32-E72D297353CC}">
                <c16:uniqueId val="{00000013-4C8A-4E2B-B806-70AB6C4D0C63}"/>
              </c:ext>
            </c:extLst>
          </c:dPt>
          <c:dPt>
            <c:idx val="10"/>
            <c:bubble3D val="0"/>
            <c:spPr>
              <a:solidFill>
                <a:schemeClr val="tx1"/>
              </a:solidFill>
            </c:spPr>
            <c:extLst>
              <c:ext xmlns:c16="http://schemas.microsoft.com/office/drawing/2014/chart" uri="{C3380CC4-5D6E-409C-BE32-E72D297353CC}">
                <c16:uniqueId val="{00000015-4C8A-4E2B-B806-70AB6C4D0C63}"/>
              </c:ext>
            </c:extLst>
          </c:dPt>
          <c:dPt>
            <c:idx val="11"/>
            <c:bubble3D val="0"/>
            <c:spPr>
              <a:noFill/>
            </c:spPr>
            <c:extLst>
              <c:ext xmlns:c16="http://schemas.microsoft.com/office/drawing/2014/chart" uri="{C3380CC4-5D6E-409C-BE32-E72D297353CC}">
                <c16:uniqueId val="{00000017-4C8A-4E2B-B806-70AB6C4D0C63}"/>
              </c:ext>
            </c:extLst>
          </c:dPt>
          <c:dPt>
            <c:idx val="12"/>
            <c:bubble3D val="0"/>
            <c:spPr>
              <a:noFill/>
            </c:spPr>
            <c:extLst>
              <c:ext xmlns:c16="http://schemas.microsoft.com/office/drawing/2014/chart" uri="{C3380CC4-5D6E-409C-BE32-E72D297353CC}">
                <c16:uniqueId val="{00000019-4C8A-4E2B-B806-70AB6C4D0C63}"/>
              </c:ext>
            </c:extLst>
          </c:dPt>
          <c:dPt>
            <c:idx val="13"/>
            <c:bubble3D val="0"/>
            <c:spPr>
              <a:solidFill>
                <a:schemeClr val="tx1"/>
              </a:solidFill>
            </c:spPr>
            <c:extLst>
              <c:ext xmlns:c16="http://schemas.microsoft.com/office/drawing/2014/chart" uri="{C3380CC4-5D6E-409C-BE32-E72D297353CC}">
                <c16:uniqueId val="{0000001B-4C8A-4E2B-B806-70AB6C4D0C63}"/>
              </c:ext>
            </c:extLst>
          </c:dPt>
          <c:dPt>
            <c:idx val="14"/>
            <c:bubble3D val="0"/>
            <c:spPr>
              <a:noFill/>
            </c:spPr>
            <c:extLst>
              <c:ext xmlns:c16="http://schemas.microsoft.com/office/drawing/2014/chart" uri="{C3380CC4-5D6E-409C-BE32-E72D297353CC}">
                <c16:uniqueId val="{0000001D-4C8A-4E2B-B806-70AB6C4D0C63}"/>
              </c:ext>
            </c:extLst>
          </c:dPt>
          <c:dPt>
            <c:idx val="15"/>
            <c:bubble3D val="0"/>
            <c:spPr>
              <a:noFill/>
            </c:spPr>
            <c:extLst>
              <c:ext xmlns:c16="http://schemas.microsoft.com/office/drawing/2014/chart" uri="{C3380CC4-5D6E-409C-BE32-E72D297353CC}">
                <c16:uniqueId val="{0000001F-4C8A-4E2B-B806-70AB6C4D0C63}"/>
              </c:ext>
            </c:extLst>
          </c:dPt>
          <c:dPt>
            <c:idx val="16"/>
            <c:bubble3D val="0"/>
            <c:spPr>
              <a:solidFill>
                <a:schemeClr val="tx1"/>
              </a:solidFill>
            </c:spPr>
            <c:extLst>
              <c:ext xmlns:c16="http://schemas.microsoft.com/office/drawing/2014/chart" uri="{C3380CC4-5D6E-409C-BE32-E72D297353CC}">
                <c16:uniqueId val="{00000021-4C8A-4E2B-B806-70AB6C4D0C63}"/>
              </c:ext>
            </c:extLst>
          </c:dPt>
          <c:dPt>
            <c:idx val="17"/>
            <c:bubble3D val="0"/>
            <c:spPr>
              <a:noFill/>
            </c:spPr>
            <c:extLst>
              <c:ext xmlns:c16="http://schemas.microsoft.com/office/drawing/2014/chart" uri="{C3380CC4-5D6E-409C-BE32-E72D297353CC}">
                <c16:uniqueId val="{00000023-4C8A-4E2B-B806-70AB6C4D0C63}"/>
              </c:ext>
            </c:extLst>
          </c:dPt>
          <c:dPt>
            <c:idx val="18"/>
            <c:bubble3D val="0"/>
            <c:spPr>
              <a:noFill/>
            </c:spPr>
            <c:extLst>
              <c:ext xmlns:c16="http://schemas.microsoft.com/office/drawing/2014/chart" uri="{C3380CC4-5D6E-409C-BE32-E72D297353CC}">
                <c16:uniqueId val="{00000025-4C8A-4E2B-B806-70AB6C4D0C63}"/>
              </c:ext>
            </c:extLst>
          </c:dPt>
          <c:dPt>
            <c:idx val="19"/>
            <c:bubble3D val="0"/>
            <c:spPr>
              <a:solidFill>
                <a:schemeClr val="tx1"/>
              </a:solidFill>
            </c:spPr>
            <c:extLst>
              <c:ext xmlns:c16="http://schemas.microsoft.com/office/drawing/2014/chart" uri="{C3380CC4-5D6E-409C-BE32-E72D297353CC}">
                <c16:uniqueId val="{00000027-4C8A-4E2B-B806-70AB6C4D0C63}"/>
              </c:ext>
            </c:extLst>
          </c:dPt>
          <c:dPt>
            <c:idx val="20"/>
            <c:bubble3D val="0"/>
            <c:spPr>
              <a:noFill/>
            </c:spPr>
            <c:extLst>
              <c:ext xmlns:c16="http://schemas.microsoft.com/office/drawing/2014/chart" uri="{C3380CC4-5D6E-409C-BE32-E72D297353CC}">
                <c16:uniqueId val="{00000029-4C8A-4E2B-B806-70AB6C4D0C63}"/>
              </c:ext>
            </c:extLst>
          </c:dPt>
          <c:dPt>
            <c:idx val="21"/>
            <c:bubble3D val="0"/>
            <c:spPr>
              <a:noFill/>
            </c:spPr>
            <c:extLst>
              <c:ext xmlns:c16="http://schemas.microsoft.com/office/drawing/2014/chart" uri="{C3380CC4-5D6E-409C-BE32-E72D297353CC}">
                <c16:uniqueId val="{0000002B-4C8A-4E2B-B806-70AB6C4D0C63}"/>
              </c:ext>
            </c:extLst>
          </c:dPt>
          <c:dPt>
            <c:idx val="22"/>
            <c:bubble3D val="0"/>
            <c:spPr>
              <a:solidFill>
                <a:schemeClr val="tx1"/>
              </a:solidFill>
            </c:spPr>
            <c:extLst>
              <c:ext xmlns:c16="http://schemas.microsoft.com/office/drawing/2014/chart" uri="{C3380CC4-5D6E-409C-BE32-E72D297353CC}">
                <c16:uniqueId val="{0000002D-4C8A-4E2B-B806-70AB6C4D0C63}"/>
              </c:ext>
            </c:extLst>
          </c:dPt>
          <c:dPt>
            <c:idx val="23"/>
            <c:bubble3D val="0"/>
            <c:spPr>
              <a:noFill/>
            </c:spPr>
            <c:extLst>
              <c:ext xmlns:c16="http://schemas.microsoft.com/office/drawing/2014/chart" uri="{C3380CC4-5D6E-409C-BE32-E72D297353CC}">
                <c16:uniqueId val="{0000002F-4C8A-4E2B-B806-70AB6C4D0C63}"/>
              </c:ext>
            </c:extLst>
          </c:dPt>
          <c:dPt>
            <c:idx val="24"/>
            <c:bubble3D val="0"/>
            <c:spPr>
              <a:noFill/>
            </c:spPr>
            <c:extLst>
              <c:ext xmlns:c16="http://schemas.microsoft.com/office/drawing/2014/chart" uri="{C3380CC4-5D6E-409C-BE32-E72D297353CC}">
                <c16:uniqueId val="{00000031-4C8A-4E2B-B806-70AB6C4D0C63}"/>
              </c:ext>
            </c:extLst>
          </c:dPt>
          <c:dPt>
            <c:idx val="25"/>
            <c:bubble3D val="0"/>
            <c:spPr>
              <a:solidFill>
                <a:schemeClr val="tx1"/>
              </a:solidFill>
            </c:spPr>
            <c:extLst>
              <c:ext xmlns:c16="http://schemas.microsoft.com/office/drawing/2014/chart" uri="{C3380CC4-5D6E-409C-BE32-E72D297353CC}">
                <c16:uniqueId val="{00000033-4C8A-4E2B-B806-70AB6C4D0C63}"/>
              </c:ext>
            </c:extLst>
          </c:dPt>
          <c:dPt>
            <c:idx val="26"/>
            <c:bubble3D val="0"/>
            <c:spPr>
              <a:noFill/>
            </c:spPr>
            <c:extLst>
              <c:ext xmlns:c16="http://schemas.microsoft.com/office/drawing/2014/chart" uri="{C3380CC4-5D6E-409C-BE32-E72D297353CC}">
                <c16:uniqueId val="{00000035-4C8A-4E2B-B806-70AB6C4D0C63}"/>
              </c:ext>
            </c:extLst>
          </c:dPt>
          <c:dPt>
            <c:idx val="27"/>
            <c:bubble3D val="0"/>
            <c:spPr>
              <a:noFill/>
            </c:spPr>
            <c:extLst>
              <c:ext xmlns:c16="http://schemas.microsoft.com/office/drawing/2014/chart" uri="{C3380CC4-5D6E-409C-BE32-E72D297353CC}">
                <c16:uniqueId val="{00000037-4C8A-4E2B-B806-70AB6C4D0C63}"/>
              </c:ext>
            </c:extLst>
          </c:dPt>
          <c:dPt>
            <c:idx val="28"/>
            <c:bubble3D val="0"/>
            <c:spPr>
              <a:solidFill>
                <a:schemeClr val="tx1"/>
              </a:solidFill>
            </c:spPr>
            <c:extLst>
              <c:ext xmlns:c16="http://schemas.microsoft.com/office/drawing/2014/chart" uri="{C3380CC4-5D6E-409C-BE32-E72D297353CC}">
                <c16:uniqueId val="{00000039-4C8A-4E2B-B806-70AB6C4D0C63}"/>
              </c:ext>
            </c:extLst>
          </c:dPt>
          <c:dPt>
            <c:idx val="29"/>
            <c:bubble3D val="0"/>
            <c:spPr>
              <a:noFill/>
            </c:spPr>
            <c:extLst>
              <c:ext xmlns:c16="http://schemas.microsoft.com/office/drawing/2014/chart" uri="{C3380CC4-5D6E-409C-BE32-E72D297353CC}">
                <c16:uniqueId val="{0000003B-4C8A-4E2B-B806-70AB6C4D0C63}"/>
              </c:ext>
            </c:extLst>
          </c:dPt>
          <c:dPt>
            <c:idx val="30"/>
            <c:bubble3D val="0"/>
            <c:spPr>
              <a:noFill/>
            </c:spPr>
            <c:extLst>
              <c:ext xmlns:c16="http://schemas.microsoft.com/office/drawing/2014/chart" uri="{C3380CC4-5D6E-409C-BE32-E72D297353CC}">
                <c16:uniqueId val="{0000003D-4C8A-4E2B-B806-70AB6C4D0C63}"/>
              </c:ext>
            </c:extLst>
          </c:dPt>
          <c:dPt>
            <c:idx val="31"/>
            <c:bubble3D val="0"/>
            <c:spPr>
              <a:solidFill>
                <a:schemeClr val="tx1"/>
              </a:solidFill>
            </c:spPr>
            <c:extLst>
              <c:ext xmlns:c16="http://schemas.microsoft.com/office/drawing/2014/chart" uri="{C3380CC4-5D6E-409C-BE32-E72D297353CC}">
                <c16:uniqueId val="{0000003F-4C8A-4E2B-B806-70AB6C4D0C63}"/>
              </c:ext>
            </c:extLst>
          </c:dPt>
          <c:dPt>
            <c:idx val="32"/>
            <c:bubble3D val="0"/>
            <c:spPr>
              <a:noFill/>
            </c:spPr>
            <c:extLst>
              <c:ext xmlns:c16="http://schemas.microsoft.com/office/drawing/2014/chart" uri="{C3380CC4-5D6E-409C-BE32-E72D297353CC}">
                <c16:uniqueId val="{00000041-4C8A-4E2B-B806-70AB6C4D0C63}"/>
              </c:ext>
            </c:extLst>
          </c:dPt>
          <c:dPt>
            <c:idx val="33"/>
            <c:bubble3D val="0"/>
            <c:spPr>
              <a:noFill/>
            </c:spPr>
            <c:extLst>
              <c:ext xmlns:c16="http://schemas.microsoft.com/office/drawing/2014/chart" uri="{C3380CC4-5D6E-409C-BE32-E72D297353CC}">
                <c16:uniqueId val="{00000043-4C8A-4E2B-B806-70AB6C4D0C63}"/>
              </c:ext>
            </c:extLst>
          </c:dPt>
          <c:cat>
            <c:strRef>
              <c:f>tlGraphs!$E$159:$E$192</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tlGraphs!$F$159:$F$192</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4C8A-4E2B-B806-70AB6C4D0C6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43985964353481"/>
          <c:y val="8.7966973477467765E-4"/>
          <c:w val="0.46222698829385317"/>
          <c:h val="0.99912033026522529"/>
        </c:manualLayout>
      </c:layout>
      <c:pieChart>
        <c:varyColors val="1"/>
        <c:ser>
          <c:idx val="0"/>
          <c:order val="0"/>
          <c:dPt>
            <c:idx val="0"/>
            <c:bubble3D val="0"/>
            <c:spPr>
              <a:gradFill>
                <a:gsLst>
                  <a:gs pos="0">
                    <a:srgbClr val="3199F7"/>
                  </a:gs>
                  <a:gs pos="100000">
                    <a:srgbClr val="3199F7"/>
                  </a:gs>
                </a:gsLst>
                <a:lin ang="16200000" scaled="0"/>
              </a:gradFill>
            </c:spPr>
            <c:extLst>
              <c:ext xmlns:c16="http://schemas.microsoft.com/office/drawing/2014/chart" uri="{C3380CC4-5D6E-409C-BE32-E72D297353CC}">
                <c16:uniqueId val="{00000001-4D38-4901-B7B3-B2D396B32595}"/>
              </c:ext>
            </c:extLst>
          </c:dPt>
          <c:dPt>
            <c:idx val="1"/>
            <c:bubble3D val="0"/>
            <c:spPr>
              <a:gradFill>
                <a:gsLst>
                  <a:gs pos="0">
                    <a:srgbClr val="054680"/>
                  </a:gs>
                  <a:gs pos="100000">
                    <a:srgbClr val="0983F1"/>
                  </a:gs>
                </a:gsLst>
                <a:lin ang="16200000" scaled="0"/>
              </a:gradFill>
            </c:spPr>
            <c:extLst>
              <c:ext xmlns:c16="http://schemas.microsoft.com/office/drawing/2014/chart" uri="{C3380CC4-5D6E-409C-BE32-E72D297353CC}">
                <c16:uniqueId val="{00000003-4D38-4901-B7B3-B2D396B32595}"/>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4D38-4901-B7B3-B2D396B32595}"/>
              </c:ext>
            </c:extLst>
          </c:dPt>
          <c:dPt>
            <c:idx val="3"/>
            <c:bubble3D val="0"/>
            <c:spPr>
              <a:gradFill>
                <a:gsLst>
                  <a:gs pos="0">
                    <a:schemeClr val="tx2">
                      <a:lumMod val="25000"/>
                    </a:schemeClr>
                  </a:gs>
                  <a:gs pos="100000">
                    <a:schemeClr val="tx2">
                      <a:lumMod val="50000"/>
                    </a:schemeClr>
                  </a:gs>
                </a:gsLst>
                <a:lin ang="16200000" scaled="0"/>
              </a:gradFill>
            </c:spPr>
            <c:extLst>
              <c:ext xmlns:c16="http://schemas.microsoft.com/office/drawing/2014/chart" uri="{C3380CC4-5D6E-409C-BE32-E72D297353CC}">
                <c16:uniqueId val="{00000007-4D38-4901-B7B3-B2D396B32595}"/>
              </c:ext>
            </c:extLst>
          </c:dPt>
          <c:dPt>
            <c:idx val="4"/>
            <c:bubble3D val="0"/>
            <c:spPr>
              <a:gradFill>
                <a:gsLst>
                  <a:gs pos="0">
                    <a:srgbClr val="007AC5"/>
                  </a:gs>
                  <a:gs pos="100000">
                    <a:srgbClr val="6FB7F9"/>
                  </a:gs>
                </a:gsLst>
                <a:lin ang="16200000" scaled="0"/>
              </a:gradFill>
            </c:spPr>
            <c:extLst>
              <c:ext xmlns:c16="http://schemas.microsoft.com/office/drawing/2014/chart" uri="{C3380CC4-5D6E-409C-BE32-E72D297353CC}">
                <c16:uniqueId val="{00000009-4D38-4901-B7B3-B2D396B32595}"/>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tlGraphs!$C$249:$H$249</c:f>
              <c:strCache>
                <c:ptCount val="6"/>
                <c:pt idx="0">
                  <c:v>Offshore</c:v>
                </c:pt>
                <c:pt idx="1">
                  <c:v>Global Delivery Centers</c:v>
                </c:pt>
                <c:pt idx="2">
                  <c:v>Technical</c:v>
                </c:pt>
                <c:pt idx="3">
                  <c:v>PM / Analyst</c:v>
                </c:pt>
                <c:pt idx="4">
                  <c:v>Director / EM</c:v>
                </c:pt>
                <c:pt idx="5">
                  <c:v>Unallocated</c:v>
                </c:pt>
              </c:strCache>
            </c:strRef>
          </c:cat>
          <c:val>
            <c:numRef>
              <c:f>tlGraphs!$C$250:$H$250</c:f>
              <c:numCache>
                <c:formatCode>0%</c:formatCode>
                <c:ptCount val="6"/>
                <c:pt idx="0">
                  <c:v>4.9737250268451799E-2</c:v>
                </c:pt>
                <c:pt idx="1">
                  <c:v>0.24717501438965478</c:v>
                </c:pt>
                <c:pt idx="2">
                  <c:v>0.1448898591855296</c:v>
                </c:pt>
                <c:pt idx="3">
                  <c:v>0.12866040727696945</c:v>
                </c:pt>
                <c:pt idx="4">
                  <c:v>6.0223821654648846E-2</c:v>
                </c:pt>
                <c:pt idx="5">
                  <c:v>0.36931364722474558</c:v>
                </c:pt>
              </c:numCache>
            </c:numRef>
          </c:val>
          <c:extLst>
            <c:ext xmlns:c16="http://schemas.microsoft.com/office/drawing/2014/chart" uri="{C3380CC4-5D6E-409C-BE32-E72D297353CC}">
              <c16:uniqueId val="{0000000A-4D38-4901-B7B3-B2D396B32595}"/>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69512116522561251"/>
          <c:y val="0.10156606105530903"/>
          <c:w val="0.28745680371834836"/>
          <c:h val="0.78325058919703316"/>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2E99-4B09-AFC3-88A5ACF5944A}"/>
              </c:ext>
            </c:extLst>
          </c:dPt>
          <c:dPt>
            <c:idx val="1"/>
            <c:bubble3D val="0"/>
            <c:spPr>
              <a:solidFill>
                <a:srgbClr val="054680"/>
              </a:solidFill>
              <a:ln>
                <a:noFill/>
              </a:ln>
            </c:spPr>
            <c:extLst>
              <c:ext xmlns:c16="http://schemas.microsoft.com/office/drawing/2014/chart" uri="{C3380CC4-5D6E-409C-BE32-E72D297353CC}">
                <c16:uniqueId val="{00000003-2E99-4B09-AFC3-88A5ACF5944A}"/>
              </c:ext>
            </c:extLst>
          </c:dPt>
          <c:dPt>
            <c:idx val="2"/>
            <c:bubble3D val="0"/>
            <c:spPr>
              <a:noFill/>
            </c:spPr>
            <c:extLst>
              <c:ext xmlns:c16="http://schemas.microsoft.com/office/drawing/2014/chart" uri="{C3380CC4-5D6E-409C-BE32-E72D297353CC}">
                <c16:uniqueId val="{00000005-2E99-4B09-AFC3-88A5ACF5944A}"/>
              </c:ext>
            </c:extLst>
          </c:dPt>
          <c:dPt>
            <c:idx val="3"/>
            <c:bubble3D val="0"/>
            <c:spPr>
              <a:solidFill>
                <a:srgbClr val="CBE4EB"/>
              </a:solidFill>
              <a:ln>
                <a:noFill/>
              </a:ln>
            </c:spPr>
            <c:extLst>
              <c:ext xmlns:c16="http://schemas.microsoft.com/office/drawing/2014/chart" uri="{C3380CC4-5D6E-409C-BE32-E72D297353CC}">
                <c16:uniqueId val="{00000007-2E99-4B09-AFC3-88A5ACF5944A}"/>
              </c:ext>
            </c:extLst>
          </c:dPt>
          <c:dPt>
            <c:idx val="4"/>
            <c:bubble3D val="0"/>
            <c:spPr>
              <a:solidFill>
                <a:srgbClr val="007AC5"/>
              </a:solidFill>
              <a:ln>
                <a:noFill/>
              </a:ln>
            </c:spPr>
            <c:extLst>
              <c:ext xmlns:c16="http://schemas.microsoft.com/office/drawing/2014/chart" uri="{C3380CC4-5D6E-409C-BE32-E72D297353CC}">
                <c16:uniqueId val="{00000009-2E99-4B09-AFC3-88A5ACF5944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2E99-4B09-AFC3-88A5ACF5944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015-495D-A8E2-148253DF4A63}"/>
              </c:ext>
            </c:extLst>
          </c:dPt>
          <c:dPt>
            <c:idx val="1"/>
            <c:bubble3D val="0"/>
            <c:spPr>
              <a:solidFill>
                <a:schemeClr val="tx1"/>
              </a:solidFill>
              <a:ln>
                <a:noFill/>
              </a:ln>
            </c:spPr>
            <c:extLst>
              <c:ext xmlns:c16="http://schemas.microsoft.com/office/drawing/2014/chart" uri="{C3380CC4-5D6E-409C-BE32-E72D297353CC}">
                <c16:uniqueId val="{00000003-F015-495D-A8E2-148253DF4A63}"/>
              </c:ext>
            </c:extLst>
          </c:dPt>
          <c:dPt>
            <c:idx val="2"/>
            <c:bubble3D val="0"/>
            <c:spPr>
              <a:noFill/>
            </c:spPr>
            <c:extLst>
              <c:ext xmlns:c16="http://schemas.microsoft.com/office/drawing/2014/chart" uri="{C3380CC4-5D6E-409C-BE32-E72D297353CC}">
                <c16:uniqueId val="{00000005-F015-495D-A8E2-148253DF4A63}"/>
              </c:ext>
            </c:extLst>
          </c:dPt>
          <c:dPt>
            <c:idx val="3"/>
            <c:bubble3D val="0"/>
            <c:spPr>
              <a:noFill/>
            </c:spPr>
            <c:extLst>
              <c:ext xmlns:c16="http://schemas.microsoft.com/office/drawing/2014/chart" uri="{C3380CC4-5D6E-409C-BE32-E72D297353CC}">
                <c16:uniqueId val="{00000007-F015-495D-A8E2-148253DF4A63}"/>
              </c:ext>
            </c:extLst>
          </c:dPt>
          <c:dPt>
            <c:idx val="4"/>
            <c:bubble3D val="0"/>
            <c:spPr>
              <a:solidFill>
                <a:schemeClr val="tx1"/>
              </a:solidFill>
              <a:ln>
                <a:noFill/>
              </a:ln>
            </c:spPr>
            <c:extLst>
              <c:ext xmlns:c16="http://schemas.microsoft.com/office/drawing/2014/chart" uri="{C3380CC4-5D6E-409C-BE32-E72D297353CC}">
                <c16:uniqueId val="{00000009-F015-495D-A8E2-148253DF4A63}"/>
              </c:ext>
            </c:extLst>
          </c:dPt>
          <c:dPt>
            <c:idx val="5"/>
            <c:bubble3D val="0"/>
            <c:spPr>
              <a:noFill/>
            </c:spPr>
            <c:extLst>
              <c:ext xmlns:c16="http://schemas.microsoft.com/office/drawing/2014/chart" uri="{C3380CC4-5D6E-409C-BE32-E72D297353CC}">
                <c16:uniqueId val="{0000000B-F015-495D-A8E2-148253DF4A63}"/>
              </c:ext>
            </c:extLst>
          </c:dPt>
          <c:dPt>
            <c:idx val="6"/>
            <c:bubble3D val="0"/>
            <c:spPr>
              <a:noFill/>
            </c:spPr>
            <c:extLst>
              <c:ext xmlns:c16="http://schemas.microsoft.com/office/drawing/2014/chart" uri="{C3380CC4-5D6E-409C-BE32-E72D297353CC}">
                <c16:uniqueId val="{0000000D-F015-495D-A8E2-148253DF4A63}"/>
              </c:ext>
            </c:extLst>
          </c:dPt>
          <c:dPt>
            <c:idx val="7"/>
            <c:bubble3D val="0"/>
            <c:spPr>
              <a:solidFill>
                <a:schemeClr val="tx1"/>
              </a:solidFill>
              <a:ln>
                <a:noFill/>
              </a:ln>
            </c:spPr>
            <c:extLst>
              <c:ext xmlns:c16="http://schemas.microsoft.com/office/drawing/2014/chart" uri="{C3380CC4-5D6E-409C-BE32-E72D297353CC}">
                <c16:uniqueId val="{0000000F-F015-495D-A8E2-148253DF4A63}"/>
              </c:ext>
            </c:extLst>
          </c:dPt>
          <c:dPt>
            <c:idx val="8"/>
            <c:bubble3D val="0"/>
            <c:spPr>
              <a:noFill/>
            </c:spPr>
            <c:extLst>
              <c:ext xmlns:c16="http://schemas.microsoft.com/office/drawing/2014/chart" uri="{C3380CC4-5D6E-409C-BE32-E72D297353CC}">
                <c16:uniqueId val="{00000011-F015-495D-A8E2-148253DF4A63}"/>
              </c:ext>
            </c:extLst>
          </c:dPt>
          <c:dPt>
            <c:idx val="9"/>
            <c:bubble3D val="0"/>
            <c:spPr>
              <a:noFill/>
            </c:spPr>
            <c:extLst>
              <c:ext xmlns:c16="http://schemas.microsoft.com/office/drawing/2014/chart" uri="{C3380CC4-5D6E-409C-BE32-E72D297353CC}">
                <c16:uniqueId val="{00000013-F015-495D-A8E2-148253DF4A63}"/>
              </c:ext>
            </c:extLst>
          </c:dPt>
          <c:dPt>
            <c:idx val="10"/>
            <c:bubble3D val="0"/>
            <c:spPr>
              <a:solidFill>
                <a:schemeClr val="tx1"/>
              </a:solidFill>
            </c:spPr>
            <c:extLst>
              <c:ext xmlns:c16="http://schemas.microsoft.com/office/drawing/2014/chart" uri="{C3380CC4-5D6E-409C-BE32-E72D297353CC}">
                <c16:uniqueId val="{00000015-F015-495D-A8E2-148253DF4A63}"/>
              </c:ext>
            </c:extLst>
          </c:dPt>
          <c:dPt>
            <c:idx val="11"/>
            <c:bubble3D val="0"/>
            <c:spPr>
              <a:noFill/>
            </c:spPr>
            <c:extLst>
              <c:ext xmlns:c16="http://schemas.microsoft.com/office/drawing/2014/chart" uri="{C3380CC4-5D6E-409C-BE32-E72D297353CC}">
                <c16:uniqueId val="{00000017-F015-495D-A8E2-148253DF4A63}"/>
              </c:ext>
            </c:extLst>
          </c:dPt>
          <c:dPt>
            <c:idx val="12"/>
            <c:bubble3D val="0"/>
            <c:spPr>
              <a:noFill/>
            </c:spPr>
            <c:extLst>
              <c:ext xmlns:c16="http://schemas.microsoft.com/office/drawing/2014/chart" uri="{C3380CC4-5D6E-409C-BE32-E72D297353CC}">
                <c16:uniqueId val="{00000019-F015-495D-A8E2-148253DF4A63}"/>
              </c:ext>
            </c:extLst>
          </c:dPt>
          <c:dPt>
            <c:idx val="13"/>
            <c:bubble3D val="0"/>
            <c:spPr>
              <a:solidFill>
                <a:schemeClr val="tx1"/>
              </a:solidFill>
            </c:spPr>
            <c:extLst>
              <c:ext xmlns:c16="http://schemas.microsoft.com/office/drawing/2014/chart" uri="{C3380CC4-5D6E-409C-BE32-E72D297353CC}">
                <c16:uniqueId val="{0000001B-F015-495D-A8E2-148253DF4A63}"/>
              </c:ext>
            </c:extLst>
          </c:dPt>
          <c:dPt>
            <c:idx val="14"/>
            <c:bubble3D val="0"/>
            <c:spPr>
              <a:noFill/>
            </c:spPr>
            <c:extLst>
              <c:ext xmlns:c16="http://schemas.microsoft.com/office/drawing/2014/chart" uri="{C3380CC4-5D6E-409C-BE32-E72D297353CC}">
                <c16:uniqueId val="{0000001D-F015-495D-A8E2-148253DF4A63}"/>
              </c:ext>
            </c:extLst>
          </c:dPt>
          <c:dPt>
            <c:idx val="15"/>
            <c:bubble3D val="0"/>
            <c:spPr>
              <a:noFill/>
            </c:spPr>
            <c:extLst>
              <c:ext xmlns:c16="http://schemas.microsoft.com/office/drawing/2014/chart" uri="{C3380CC4-5D6E-409C-BE32-E72D297353CC}">
                <c16:uniqueId val="{0000001F-F015-495D-A8E2-148253DF4A63}"/>
              </c:ext>
            </c:extLst>
          </c:dPt>
          <c:dPt>
            <c:idx val="16"/>
            <c:bubble3D val="0"/>
            <c:spPr>
              <a:solidFill>
                <a:schemeClr val="tx1"/>
              </a:solidFill>
            </c:spPr>
            <c:extLst>
              <c:ext xmlns:c16="http://schemas.microsoft.com/office/drawing/2014/chart" uri="{C3380CC4-5D6E-409C-BE32-E72D297353CC}">
                <c16:uniqueId val="{00000021-F015-495D-A8E2-148253DF4A63}"/>
              </c:ext>
            </c:extLst>
          </c:dPt>
          <c:dPt>
            <c:idx val="17"/>
            <c:bubble3D val="0"/>
            <c:spPr>
              <a:noFill/>
            </c:spPr>
            <c:extLst>
              <c:ext xmlns:c16="http://schemas.microsoft.com/office/drawing/2014/chart" uri="{C3380CC4-5D6E-409C-BE32-E72D297353CC}">
                <c16:uniqueId val="{00000023-F015-495D-A8E2-148253DF4A63}"/>
              </c:ext>
            </c:extLst>
          </c:dPt>
          <c:dPt>
            <c:idx val="18"/>
            <c:bubble3D val="0"/>
            <c:spPr>
              <a:noFill/>
            </c:spPr>
            <c:extLst>
              <c:ext xmlns:c16="http://schemas.microsoft.com/office/drawing/2014/chart" uri="{C3380CC4-5D6E-409C-BE32-E72D297353CC}">
                <c16:uniqueId val="{00000025-F015-495D-A8E2-148253DF4A63}"/>
              </c:ext>
            </c:extLst>
          </c:dPt>
          <c:dPt>
            <c:idx val="19"/>
            <c:bubble3D val="0"/>
            <c:spPr>
              <a:solidFill>
                <a:schemeClr val="tx1"/>
              </a:solidFill>
            </c:spPr>
            <c:extLst>
              <c:ext xmlns:c16="http://schemas.microsoft.com/office/drawing/2014/chart" uri="{C3380CC4-5D6E-409C-BE32-E72D297353CC}">
                <c16:uniqueId val="{00000027-F015-495D-A8E2-148253DF4A63}"/>
              </c:ext>
            </c:extLst>
          </c:dPt>
          <c:dPt>
            <c:idx val="20"/>
            <c:bubble3D val="0"/>
            <c:spPr>
              <a:noFill/>
            </c:spPr>
            <c:extLst>
              <c:ext xmlns:c16="http://schemas.microsoft.com/office/drawing/2014/chart" uri="{C3380CC4-5D6E-409C-BE32-E72D297353CC}">
                <c16:uniqueId val="{00000029-F015-495D-A8E2-148253DF4A63}"/>
              </c:ext>
            </c:extLst>
          </c:dPt>
          <c:dPt>
            <c:idx val="21"/>
            <c:bubble3D val="0"/>
            <c:spPr>
              <a:noFill/>
            </c:spPr>
            <c:extLst>
              <c:ext xmlns:c16="http://schemas.microsoft.com/office/drawing/2014/chart" uri="{C3380CC4-5D6E-409C-BE32-E72D297353CC}">
                <c16:uniqueId val="{0000002B-F015-495D-A8E2-148253DF4A63}"/>
              </c:ext>
            </c:extLst>
          </c:dPt>
          <c:dPt>
            <c:idx val="22"/>
            <c:bubble3D val="0"/>
            <c:spPr>
              <a:solidFill>
                <a:schemeClr val="tx1"/>
              </a:solidFill>
            </c:spPr>
            <c:extLst>
              <c:ext xmlns:c16="http://schemas.microsoft.com/office/drawing/2014/chart" uri="{C3380CC4-5D6E-409C-BE32-E72D297353CC}">
                <c16:uniqueId val="{0000002D-F015-495D-A8E2-148253DF4A63}"/>
              </c:ext>
            </c:extLst>
          </c:dPt>
          <c:dPt>
            <c:idx val="23"/>
            <c:bubble3D val="0"/>
            <c:spPr>
              <a:noFill/>
            </c:spPr>
            <c:extLst>
              <c:ext xmlns:c16="http://schemas.microsoft.com/office/drawing/2014/chart" uri="{C3380CC4-5D6E-409C-BE32-E72D297353CC}">
                <c16:uniqueId val="{0000002F-F015-495D-A8E2-148253DF4A63}"/>
              </c:ext>
            </c:extLst>
          </c:dPt>
          <c:dPt>
            <c:idx val="24"/>
            <c:bubble3D val="0"/>
            <c:spPr>
              <a:noFill/>
            </c:spPr>
            <c:extLst>
              <c:ext xmlns:c16="http://schemas.microsoft.com/office/drawing/2014/chart" uri="{C3380CC4-5D6E-409C-BE32-E72D297353CC}">
                <c16:uniqueId val="{00000031-F015-495D-A8E2-148253DF4A63}"/>
              </c:ext>
            </c:extLst>
          </c:dPt>
          <c:dPt>
            <c:idx val="25"/>
            <c:bubble3D val="0"/>
            <c:spPr>
              <a:solidFill>
                <a:schemeClr val="tx1"/>
              </a:solidFill>
            </c:spPr>
            <c:extLst>
              <c:ext xmlns:c16="http://schemas.microsoft.com/office/drawing/2014/chart" uri="{C3380CC4-5D6E-409C-BE32-E72D297353CC}">
                <c16:uniqueId val="{00000033-F015-495D-A8E2-148253DF4A63}"/>
              </c:ext>
            </c:extLst>
          </c:dPt>
          <c:dPt>
            <c:idx val="26"/>
            <c:bubble3D val="0"/>
            <c:spPr>
              <a:noFill/>
            </c:spPr>
            <c:extLst>
              <c:ext xmlns:c16="http://schemas.microsoft.com/office/drawing/2014/chart" uri="{C3380CC4-5D6E-409C-BE32-E72D297353CC}">
                <c16:uniqueId val="{00000035-F015-495D-A8E2-148253DF4A63}"/>
              </c:ext>
            </c:extLst>
          </c:dPt>
          <c:dPt>
            <c:idx val="27"/>
            <c:bubble3D val="0"/>
            <c:spPr>
              <a:noFill/>
            </c:spPr>
            <c:extLst>
              <c:ext xmlns:c16="http://schemas.microsoft.com/office/drawing/2014/chart" uri="{C3380CC4-5D6E-409C-BE32-E72D297353CC}">
                <c16:uniqueId val="{00000037-F015-495D-A8E2-148253DF4A63}"/>
              </c:ext>
            </c:extLst>
          </c:dPt>
          <c:dPt>
            <c:idx val="28"/>
            <c:bubble3D val="0"/>
            <c:spPr>
              <a:solidFill>
                <a:schemeClr val="tx1"/>
              </a:solidFill>
            </c:spPr>
            <c:extLst>
              <c:ext xmlns:c16="http://schemas.microsoft.com/office/drawing/2014/chart" uri="{C3380CC4-5D6E-409C-BE32-E72D297353CC}">
                <c16:uniqueId val="{00000039-F015-495D-A8E2-148253DF4A63}"/>
              </c:ext>
            </c:extLst>
          </c:dPt>
          <c:dPt>
            <c:idx val="29"/>
            <c:bubble3D val="0"/>
            <c:spPr>
              <a:noFill/>
            </c:spPr>
            <c:extLst>
              <c:ext xmlns:c16="http://schemas.microsoft.com/office/drawing/2014/chart" uri="{C3380CC4-5D6E-409C-BE32-E72D297353CC}">
                <c16:uniqueId val="{0000003B-F015-495D-A8E2-148253DF4A63}"/>
              </c:ext>
            </c:extLst>
          </c:dPt>
          <c:dPt>
            <c:idx val="30"/>
            <c:bubble3D val="0"/>
            <c:spPr>
              <a:noFill/>
            </c:spPr>
            <c:extLst>
              <c:ext xmlns:c16="http://schemas.microsoft.com/office/drawing/2014/chart" uri="{C3380CC4-5D6E-409C-BE32-E72D297353CC}">
                <c16:uniqueId val="{0000003D-F015-495D-A8E2-148253DF4A63}"/>
              </c:ext>
            </c:extLst>
          </c:dPt>
          <c:dPt>
            <c:idx val="31"/>
            <c:bubble3D val="0"/>
            <c:spPr>
              <a:solidFill>
                <a:schemeClr val="tx1"/>
              </a:solidFill>
            </c:spPr>
            <c:extLst>
              <c:ext xmlns:c16="http://schemas.microsoft.com/office/drawing/2014/chart" uri="{C3380CC4-5D6E-409C-BE32-E72D297353CC}">
                <c16:uniqueId val="{0000003F-F015-495D-A8E2-148253DF4A63}"/>
              </c:ext>
            </c:extLst>
          </c:dPt>
          <c:dPt>
            <c:idx val="32"/>
            <c:bubble3D val="0"/>
            <c:spPr>
              <a:noFill/>
            </c:spPr>
            <c:extLst>
              <c:ext xmlns:c16="http://schemas.microsoft.com/office/drawing/2014/chart" uri="{C3380CC4-5D6E-409C-BE32-E72D297353CC}">
                <c16:uniqueId val="{00000041-F015-495D-A8E2-148253DF4A63}"/>
              </c:ext>
            </c:extLst>
          </c:dPt>
          <c:dPt>
            <c:idx val="33"/>
            <c:bubble3D val="0"/>
            <c:spPr>
              <a:noFill/>
            </c:spPr>
            <c:extLst>
              <c:ext xmlns:c16="http://schemas.microsoft.com/office/drawing/2014/chart" uri="{C3380CC4-5D6E-409C-BE32-E72D297353CC}">
                <c16:uniqueId val="{00000043-F015-495D-A8E2-148253DF4A63}"/>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015-495D-A8E2-148253DF4A6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5C0-4069-AC27-A249BE2A9CBB}"/>
              </c:ext>
            </c:extLst>
          </c:dPt>
          <c:dPt>
            <c:idx val="1"/>
            <c:bubble3D val="0"/>
            <c:spPr>
              <a:solidFill>
                <a:srgbClr val="054680"/>
              </a:solidFill>
              <a:ln>
                <a:noFill/>
              </a:ln>
            </c:spPr>
            <c:extLst>
              <c:ext xmlns:c16="http://schemas.microsoft.com/office/drawing/2014/chart" uri="{C3380CC4-5D6E-409C-BE32-E72D297353CC}">
                <c16:uniqueId val="{00000003-95C0-4069-AC27-A249BE2A9CBB}"/>
              </c:ext>
            </c:extLst>
          </c:dPt>
          <c:dPt>
            <c:idx val="2"/>
            <c:bubble3D val="0"/>
            <c:spPr>
              <a:noFill/>
            </c:spPr>
            <c:extLst>
              <c:ext xmlns:c16="http://schemas.microsoft.com/office/drawing/2014/chart" uri="{C3380CC4-5D6E-409C-BE32-E72D297353CC}">
                <c16:uniqueId val="{00000005-95C0-4069-AC27-A249BE2A9CBB}"/>
              </c:ext>
            </c:extLst>
          </c:dPt>
          <c:dPt>
            <c:idx val="3"/>
            <c:bubble3D val="0"/>
            <c:spPr>
              <a:solidFill>
                <a:srgbClr val="CBE4EB"/>
              </a:solidFill>
              <a:ln>
                <a:noFill/>
              </a:ln>
            </c:spPr>
            <c:extLst>
              <c:ext xmlns:c16="http://schemas.microsoft.com/office/drawing/2014/chart" uri="{C3380CC4-5D6E-409C-BE32-E72D297353CC}">
                <c16:uniqueId val="{00000007-95C0-4069-AC27-A249BE2A9CBB}"/>
              </c:ext>
            </c:extLst>
          </c:dPt>
          <c:dPt>
            <c:idx val="4"/>
            <c:bubble3D val="0"/>
            <c:spPr>
              <a:solidFill>
                <a:srgbClr val="007AC5"/>
              </a:solidFill>
              <a:ln>
                <a:noFill/>
              </a:ln>
            </c:spPr>
            <c:extLst>
              <c:ext xmlns:c16="http://schemas.microsoft.com/office/drawing/2014/chart" uri="{C3380CC4-5D6E-409C-BE32-E72D297353CC}">
                <c16:uniqueId val="{00000009-95C0-4069-AC27-A249BE2A9CBB}"/>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5C0-4069-AC27-A249BE2A9CB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50FF-47F2-9D0F-7191F767FAAC}"/>
              </c:ext>
            </c:extLst>
          </c:dPt>
          <c:dPt>
            <c:idx val="1"/>
            <c:bubble3D val="0"/>
            <c:spPr>
              <a:solidFill>
                <a:schemeClr val="tx1"/>
              </a:solidFill>
              <a:ln>
                <a:noFill/>
              </a:ln>
            </c:spPr>
            <c:extLst>
              <c:ext xmlns:c16="http://schemas.microsoft.com/office/drawing/2014/chart" uri="{C3380CC4-5D6E-409C-BE32-E72D297353CC}">
                <c16:uniqueId val="{00000003-50FF-47F2-9D0F-7191F767FAAC}"/>
              </c:ext>
            </c:extLst>
          </c:dPt>
          <c:dPt>
            <c:idx val="2"/>
            <c:bubble3D val="0"/>
            <c:spPr>
              <a:noFill/>
            </c:spPr>
            <c:extLst>
              <c:ext xmlns:c16="http://schemas.microsoft.com/office/drawing/2014/chart" uri="{C3380CC4-5D6E-409C-BE32-E72D297353CC}">
                <c16:uniqueId val="{00000005-50FF-47F2-9D0F-7191F767FAAC}"/>
              </c:ext>
            </c:extLst>
          </c:dPt>
          <c:dPt>
            <c:idx val="3"/>
            <c:bubble3D val="0"/>
            <c:spPr>
              <a:noFill/>
            </c:spPr>
            <c:extLst>
              <c:ext xmlns:c16="http://schemas.microsoft.com/office/drawing/2014/chart" uri="{C3380CC4-5D6E-409C-BE32-E72D297353CC}">
                <c16:uniqueId val="{00000007-50FF-47F2-9D0F-7191F767FAAC}"/>
              </c:ext>
            </c:extLst>
          </c:dPt>
          <c:dPt>
            <c:idx val="4"/>
            <c:bubble3D val="0"/>
            <c:spPr>
              <a:solidFill>
                <a:schemeClr val="tx1"/>
              </a:solidFill>
              <a:ln>
                <a:noFill/>
              </a:ln>
            </c:spPr>
            <c:extLst>
              <c:ext xmlns:c16="http://schemas.microsoft.com/office/drawing/2014/chart" uri="{C3380CC4-5D6E-409C-BE32-E72D297353CC}">
                <c16:uniqueId val="{00000009-50FF-47F2-9D0F-7191F767FAAC}"/>
              </c:ext>
            </c:extLst>
          </c:dPt>
          <c:dPt>
            <c:idx val="5"/>
            <c:bubble3D val="0"/>
            <c:spPr>
              <a:noFill/>
            </c:spPr>
            <c:extLst>
              <c:ext xmlns:c16="http://schemas.microsoft.com/office/drawing/2014/chart" uri="{C3380CC4-5D6E-409C-BE32-E72D297353CC}">
                <c16:uniqueId val="{0000000B-50FF-47F2-9D0F-7191F767FAAC}"/>
              </c:ext>
            </c:extLst>
          </c:dPt>
          <c:dPt>
            <c:idx val="6"/>
            <c:bubble3D val="0"/>
            <c:spPr>
              <a:noFill/>
            </c:spPr>
            <c:extLst>
              <c:ext xmlns:c16="http://schemas.microsoft.com/office/drawing/2014/chart" uri="{C3380CC4-5D6E-409C-BE32-E72D297353CC}">
                <c16:uniqueId val="{0000000D-50FF-47F2-9D0F-7191F767FAAC}"/>
              </c:ext>
            </c:extLst>
          </c:dPt>
          <c:dPt>
            <c:idx val="7"/>
            <c:bubble3D val="0"/>
            <c:spPr>
              <a:solidFill>
                <a:schemeClr val="tx1"/>
              </a:solidFill>
              <a:ln>
                <a:noFill/>
              </a:ln>
            </c:spPr>
            <c:extLst>
              <c:ext xmlns:c16="http://schemas.microsoft.com/office/drawing/2014/chart" uri="{C3380CC4-5D6E-409C-BE32-E72D297353CC}">
                <c16:uniqueId val="{0000000F-50FF-47F2-9D0F-7191F767FAAC}"/>
              </c:ext>
            </c:extLst>
          </c:dPt>
          <c:dPt>
            <c:idx val="8"/>
            <c:bubble3D val="0"/>
            <c:spPr>
              <a:noFill/>
            </c:spPr>
            <c:extLst>
              <c:ext xmlns:c16="http://schemas.microsoft.com/office/drawing/2014/chart" uri="{C3380CC4-5D6E-409C-BE32-E72D297353CC}">
                <c16:uniqueId val="{00000011-50FF-47F2-9D0F-7191F767FAAC}"/>
              </c:ext>
            </c:extLst>
          </c:dPt>
          <c:dPt>
            <c:idx val="9"/>
            <c:bubble3D val="0"/>
            <c:spPr>
              <a:noFill/>
            </c:spPr>
            <c:extLst>
              <c:ext xmlns:c16="http://schemas.microsoft.com/office/drawing/2014/chart" uri="{C3380CC4-5D6E-409C-BE32-E72D297353CC}">
                <c16:uniqueId val="{00000013-50FF-47F2-9D0F-7191F767FAAC}"/>
              </c:ext>
            </c:extLst>
          </c:dPt>
          <c:dPt>
            <c:idx val="10"/>
            <c:bubble3D val="0"/>
            <c:spPr>
              <a:solidFill>
                <a:schemeClr val="tx1"/>
              </a:solidFill>
            </c:spPr>
            <c:extLst>
              <c:ext xmlns:c16="http://schemas.microsoft.com/office/drawing/2014/chart" uri="{C3380CC4-5D6E-409C-BE32-E72D297353CC}">
                <c16:uniqueId val="{00000015-50FF-47F2-9D0F-7191F767FAAC}"/>
              </c:ext>
            </c:extLst>
          </c:dPt>
          <c:dPt>
            <c:idx val="11"/>
            <c:bubble3D val="0"/>
            <c:spPr>
              <a:noFill/>
            </c:spPr>
            <c:extLst>
              <c:ext xmlns:c16="http://schemas.microsoft.com/office/drawing/2014/chart" uri="{C3380CC4-5D6E-409C-BE32-E72D297353CC}">
                <c16:uniqueId val="{00000017-50FF-47F2-9D0F-7191F767FAAC}"/>
              </c:ext>
            </c:extLst>
          </c:dPt>
          <c:dPt>
            <c:idx val="12"/>
            <c:bubble3D val="0"/>
            <c:spPr>
              <a:noFill/>
            </c:spPr>
            <c:extLst>
              <c:ext xmlns:c16="http://schemas.microsoft.com/office/drawing/2014/chart" uri="{C3380CC4-5D6E-409C-BE32-E72D297353CC}">
                <c16:uniqueId val="{00000019-50FF-47F2-9D0F-7191F767FAAC}"/>
              </c:ext>
            </c:extLst>
          </c:dPt>
          <c:dPt>
            <c:idx val="13"/>
            <c:bubble3D val="0"/>
            <c:spPr>
              <a:solidFill>
                <a:schemeClr val="tx1"/>
              </a:solidFill>
            </c:spPr>
            <c:extLst>
              <c:ext xmlns:c16="http://schemas.microsoft.com/office/drawing/2014/chart" uri="{C3380CC4-5D6E-409C-BE32-E72D297353CC}">
                <c16:uniqueId val="{0000001B-50FF-47F2-9D0F-7191F767FAAC}"/>
              </c:ext>
            </c:extLst>
          </c:dPt>
          <c:dPt>
            <c:idx val="14"/>
            <c:bubble3D val="0"/>
            <c:spPr>
              <a:noFill/>
            </c:spPr>
            <c:extLst>
              <c:ext xmlns:c16="http://schemas.microsoft.com/office/drawing/2014/chart" uri="{C3380CC4-5D6E-409C-BE32-E72D297353CC}">
                <c16:uniqueId val="{0000001D-50FF-47F2-9D0F-7191F767FAAC}"/>
              </c:ext>
            </c:extLst>
          </c:dPt>
          <c:dPt>
            <c:idx val="15"/>
            <c:bubble3D val="0"/>
            <c:spPr>
              <a:noFill/>
            </c:spPr>
            <c:extLst>
              <c:ext xmlns:c16="http://schemas.microsoft.com/office/drawing/2014/chart" uri="{C3380CC4-5D6E-409C-BE32-E72D297353CC}">
                <c16:uniqueId val="{0000001F-50FF-47F2-9D0F-7191F767FAAC}"/>
              </c:ext>
            </c:extLst>
          </c:dPt>
          <c:dPt>
            <c:idx val="16"/>
            <c:bubble3D val="0"/>
            <c:spPr>
              <a:solidFill>
                <a:schemeClr val="tx1"/>
              </a:solidFill>
            </c:spPr>
            <c:extLst>
              <c:ext xmlns:c16="http://schemas.microsoft.com/office/drawing/2014/chart" uri="{C3380CC4-5D6E-409C-BE32-E72D297353CC}">
                <c16:uniqueId val="{00000021-50FF-47F2-9D0F-7191F767FAAC}"/>
              </c:ext>
            </c:extLst>
          </c:dPt>
          <c:dPt>
            <c:idx val="17"/>
            <c:bubble3D val="0"/>
            <c:spPr>
              <a:noFill/>
            </c:spPr>
            <c:extLst>
              <c:ext xmlns:c16="http://schemas.microsoft.com/office/drawing/2014/chart" uri="{C3380CC4-5D6E-409C-BE32-E72D297353CC}">
                <c16:uniqueId val="{00000023-50FF-47F2-9D0F-7191F767FAAC}"/>
              </c:ext>
            </c:extLst>
          </c:dPt>
          <c:dPt>
            <c:idx val="18"/>
            <c:bubble3D val="0"/>
            <c:spPr>
              <a:noFill/>
            </c:spPr>
            <c:extLst>
              <c:ext xmlns:c16="http://schemas.microsoft.com/office/drawing/2014/chart" uri="{C3380CC4-5D6E-409C-BE32-E72D297353CC}">
                <c16:uniqueId val="{00000025-50FF-47F2-9D0F-7191F767FAAC}"/>
              </c:ext>
            </c:extLst>
          </c:dPt>
          <c:dPt>
            <c:idx val="19"/>
            <c:bubble3D val="0"/>
            <c:spPr>
              <a:solidFill>
                <a:schemeClr val="tx1"/>
              </a:solidFill>
            </c:spPr>
            <c:extLst>
              <c:ext xmlns:c16="http://schemas.microsoft.com/office/drawing/2014/chart" uri="{C3380CC4-5D6E-409C-BE32-E72D297353CC}">
                <c16:uniqueId val="{00000027-50FF-47F2-9D0F-7191F767FAAC}"/>
              </c:ext>
            </c:extLst>
          </c:dPt>
          <c:dPt>
            <c:idx val="20"/>
            <c:bubble3D val="0"/>
            <c:spPr>
              <a:noFill/>
            </c:spPr>
            <c:extLst>
              <c:ext xmlns:c16="http://schemas.microsoft.com/office/drawing/2014/chart" uri="{C3380CC4-5D6E-409C-BE32-E72D297353CC}">
                <c16:uniqueId val="{00000029-50FF-47F2-9D0F-7191F767FAAC}"/>
              </c:ext>
            </c:extLst>
          </c:dPt>
          <c:dPt>
            <c:idx val="21"/>
            <c:bubble3D val="0"/>
            <c:spPr>
              <a:noFill/>
            </c:spPr>
            <c:extLst>
              <c:ext xmlns:c16="http://schemas.microsoft.com/office/drawing/2014/chart" uri="{C3380CC4-5D6E-409C-BE32-E72D297353CC}">
                <c16:uniqueId val="{0000002B-50FF-47F2-9D0F-7191F767FAAC}"/>
              </c:ext>
            </c:extLst>
          </c:dPt>
          <c:dPt>
            <c:idx val="22"/>
            <c:bubble3D val="0"/>
            <c:spPr>
              <a:solidFill>
                <a:schemeClr val="tx1"/>
              </a:solidFill>
            </c:spPr>
            <c:extLst>
              <c:ext xmlns:c16="http://schemas.microsoft.com/office/drawing/2014/chart" uri="{C3380CC4-5D6E-409C-BE32-E72D297353CC}">
                <c16:uniqueId val="{0000002D-50FF-47F2-9D0F-7191F767FAAC}"/>
              </c:ext>
            </c:extLst>
          </c:dPt>
          <c:dPt>
            <c:idx val="23"/>
            <c:bubble3D val="0"/>
            <c:spPr>
              <a:noFill/>
            </c:spPr>
            <c:extLst>
              <c:ext xmlns:c16="http://schemas.microsoft.com/office/drawing/2014/chart" uri="{C3380CC4-5D6E-409C-BE32-E72D297353CC}">
                <c16:uniqueId val="{0000002F-50FF-47F2-9D0F-7191F767FAAC}"/>
              </c:ext>
            </c:extLst>
          </c:dPt>
          <c:dPt>
            <c:idx val="24"/>
            <c:bubble3D val="0"/>
            <c:spPr>
              <a:noFill/>
            </c:spPr>
            <c:extLst>
              <c:ext xmlns:c16="http://schemas.microsoft.com/office/drawing/2014/chart" uri="{C3380CC4-5D6E-409C-BE32-E72D297353CC}">
                <c16:uniqueId val="{00000031-50FF-47F2-9D0F-7191F767FAAC}"/>
              </c:ext>
            </c:extLst>
          </c:dPt>
          <c:dPt>
            <c:idx val="25"/>
            <c:bubble3D val="0"/>
            <c:spPr>
              <a:solidFill>
                <a:schemeClr val="tx1"/>
              </a:solidFill>
            </c:spPr>
            <c:extLst>
              <c:ext xmlns:c16="http://schemas.microsoft.com/office/drawing/2014/chart" uri="{C3380CC4-5D6E-409C-BE32-E72D297353CC}">
                <c16:uniqueId val="{00000033-50FF-47F2-9D0F-7191F767FAAC}"/>
              </c:ext>
            </c:extLst>
          </c:dPt>
          <c:dPt>
            <c:idx val="26"/>
            <c:bubble3D val="0"/>
            <c:spPr>
              <a:noFill/>
            </c:spPr>
            <c:extLst>
              <c:ext xmlns:c16="http://schemas.microsoft.com/office/drawing/2014/chart" uri="{C3380CC4-5D6E-409C-BE32-E72D297353CC}">
                <c16:uniqueId val="{00000035-50FF-47F2-9D0F-7191F767FAAC}"/>
              </c:ext>
            </c:extLst>
          </c:dPt>
          <c:dPt>
            <c:idx val="27"/>
            <c:bubble3D val="0"/>
            <c:spPr>
              <a:noFill/>
            </c:spPr>
            <c:extLst>
              <c:ext xmlns:c16="http://schemas.microsoft.com/office/drawing/2014/chart" uri="{C3380CC4-5D6E-409C-BE32-E72D297353CC}">
                <c16:uniqueId val="{00000037-50FF-47F2-9D0F-7191F767FAAC}"/>
              </c:ext>
            </c:extLst>
          </c:dPt>
          <c:dPt>
            <c:idx val="28"/>
            <c:bubble3D val="0"/>
            <c:spPr>
              <a:solidFill>
                <a:schemeClr val="tx1"/>
              </a:solidFill>
            </c:spPr>
            <c:extLst>
              <c:ext xmlns:c16="http://schemas.microsoft.com/office/drawing/2014/chart" uri="{C3380CC4-5D6E-409C-BE32-E72D297353CC}">
                <c16:uniqueId val="{00000039-50FF-47F2-9D0F-7191F767FAAC}"/>
              </c:ext>
            </c:extLst>
          </c:dPt>
          <c:dPt>
            <c:idx val="29"/>
            <c:bubble3D val="0"/>
            <c:spPr>
              <a:noFill/>
            </c:spPr>
            <c:extLst>
              <c:ext xmlns:c16="http://schemas.microsoft.com/office/drawing/2014/chart" uri="{C3380CC4-5D6E-409C-BE32-E72D297353CC}">
                <c16:uniqueId val="{0000003B-50FF-47F2-9D0F-7191F767FAAC}"/>
              </c:ext>
            </c:extLst>
          </c:dPt>
          <c:dPt>
            <c:idx val="30"/>
            <c:bubble3D val="0"/>
            <c:spPr>
              <a:noFill/>
            </c:spPr>
            <c:extLst>
              <c:ext xmlns:c16="http://schemas.microsoft.com/office/drawing/2014/chart" uri="{C3380CC4-5D6E-409C-BE32-E72D297353CC}">
                <c16:uniqueId val="{0000003D-50FF-47F2-9D0F-7191F767FAAC}"/>
              </c:ext>
            </c:extLst>
          </c:dPt>
          <c:dPt>
            <c:idx val="31"/>
            <c:bubble3D val="0"/>
            <c:spPr>
              <a:solidFill>
                <a:schemeClr val="tx1"/>
              </a:solidFill>
            </c:spPr>
            <c:extLst>
              <c:ext xmlns:c16="http://schemas.microsoft.com/office/drawing/2014/chart" uri="{C3380CC4-5D6E-409C-BE32-E72D297353CC}">
                <c16:uniqueId val="{0000003F-50FF-47F2-9D0F-7191F767FAAC}"/>
              </c:ext>
            </c:extLst>
          </c:dPt>
          <c:dPt>
            <c:idx val="32"/>
            <c:bubble3D val="0"/>
            <c:spPr>
              <a:noFill/>
            </c:spPr>
            <c:extLst>
              <c:ext xmlns:c16="http://schemas.microsoft.com/office/drawing/2014/chart" uri="{C3380CC4-5D6E-409C-BE32-E72D297353CC}">
                <c16:uniqueId val="{00000041-50FF-47F2-9D0F-7191F767FAAC}"/>
              </c:ext>
            </c:extLst>
          </c:dPt>
          <c:dPt>
            <c:idx val="33"/>
            <c:bubble3D val="0"/>
            <c:spPr>
              <a:noFill/>
            </c:spPr>
            <c:extLst>
              <c:ext xmlns:c16="http://schemas.microsoft.com/office/drawing/2014/chart" uri="{C3380CC4-5D6E-409C-BE32-E72D297353CC}">
                <c16:uniqueId val="{00000043-50FF-47F2-9D0F-7191F767FAAC}"/>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0FF-47F2-9D0F-7191F767FAA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230B-4B3D-BDFF-93E7FBF67726}"/>
              </c:ext>
            </c:extLst>
          </c:dPt>
          <c:dPt>
            <c:idx val="1"/>
            <c:bubble3D val="0"/>
            <c:spPr>
              <a:solidFill>
                <a:srgbClr val="054680"/>
              </a:solidFill>
              <a:ln>
                <a:noFill/>
              </a:ln>
            </c:spPr>
            <c:extLst>
              <c:ext xmlns:c16="http://schemas.microsoft.com/office/drawing/2014/chart" uri="{C3380CC4-5D6E-409C-BE32-E72D297353CC}">
                <c16:uniqueId val="{00000003-230B-4B3D-BDFF-93E7FBF67726}"/>
              </c:ext>
            </c:extLst>
          </c:dPt>
          <c:dPt>
            <c:idx val="2"/>
            <c:bubble3D val="0"/>
            <c:spPr>
              <a:noFill/>
            </c:spPr>
            <c:extLst>
              <c:ext xmlns:c16="http://schemas.microsoft.com/office/drawing/2014/chart" uri="{C3380CC4-5D6E-409C-BE32-E72D297353CC}">
                <c16:uniqueId val="{00000005-230B-4B3D-BDFF-93E7FBF67726}"/>
              </c:ext>
            </c:extLst>
          </c:dPt>
          <c:dPt>
            <c:idx val="3"/>
            <c:bubble3D val="0"/>
            <c:spPr>
              <a:solidFill>
                <a:srgbClr val="CBE4EB"/>
              </a:solidFill>
              <a:ln>
                <a:noFill/>
              </a:ln>
            </c:spPr>
            <c:extLst>
              <c:ext xmlns:c16="http://schemas.microsoft.com/office/drawing/2014/chart" uri="{C3380CC4-5D6E-409C-BE32-E72D297353CC}">
                <c16:uniqueId val="{00000007-230B-4B3D-BDFF-93E7FBF67726}"/>
              </c:ext>
            </c:extLst>
          </c:dPt>
          <c:dPt>
            <c:idx val="4"/>
            <c:bubble3D val="0"/>
            <c:spPr>
              <a:solidFill>
                <a:srgbClr val="007AC5"/>
              </a:solidFill>
              <a:ln>
                <a:noFill/>
              </a:ln>
            </c:spPr>
            <c:extLst>
              <c:ext xmlns:c16="http://schemas.microsoft.com/office/drawing/2014/chart" uri="{C3380CC4-5D6E-409C-BE32-E72D297353CC}">
                <c16:uniqueId val="{00000009-230B-4B3D-BDFF-93E7FBF67726}"/>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230B-4B3D-BDFF-93E7FBF67726}"/>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3D9-4EF5-ABEC-2CEAA5E6C5EA}"/>
              </c:ext>
            </c:extLst>
          </c:dPt>
          <c:dPt>
            <c:idx val="1"/>
            <c:bubble3D val="0"/>
            <c:spPr>
              <a:solidFill>
                <a:schemeClr val="tx1"/>
              </a:solidFill>
              <a:ln>
                <a:noFill/>
              </a:ln>
            </c:spPr>
            <c:extLst>
              <c:ext xmlns:c16="http://schemas.microsoft.com/office/drawing/2014/chart" uri="{C3380CC4-5D6E-409C-BE32-E72D297353CC}">
                <c16:uniqueId val="{00000003-13D9-4EF5-ABEC-2CEAA5E6C5EA}"/>
              </c:ext>
            </c:extLst>
          </c:dPt>
          <c:dPt>
            <c:idx val="2"/>
            <c:bubble3D val="0"/>
            <c:spPr>
              <a:noFill/>
            </c:spPr>
            <c:extLst>
              <c:ext xmlns:c16="http://schemas.microsoft.com/office/drawing/2014/chart" uri="{C3380CC4-5D6E-409C-BE32-E72D297353CC}">
                <c16:uniqueId val="{00000005-13D9-4EF5-ABEC-2CEAA5E6C5EA}"/>
              </c:ext>
            </c:extLst>
          </c:dPt>
          <c:dPt>
            <c:idx val="3"/>
            <c:bubble3D val="0"/>
            <c:spPr>
              <a:noFill/>
            </c:spPr>
            <c:extLst>
              <c:ext xmlns:c16="http://schemas.microsoft.com/office/drawing/2014/chart" uri="{C3380CC4-5D6E-409C-BE32-E72D297353CC}">
                <c16:uniqueId val="{00000007-13D9-4EF5-ABEC-2CEAA5E6C5EA}"/>
              </c:ext>
            </c:extLst>
          </c:dPt>
          <c:dPt>
            <c:idx val="4"/>
            <c:bubble3D val="0"/>
            <c:spPr>
              <a:solidFill>
                <a:schemeClr val="tx1"/>
              </a:solidFill>
              <a:ln>
                <a:noFill/>
              </a:ln>
            </c:spPr>
            <c:extLst>
              <c:ext xmlns:c16="http://schemas.microsoft.com/office/drawing/2014/chart" uri="{C3380CC4-5D6E-409C-BE32-E72D297353CC}">
                <c16:uniqueId val="{00000009-13D9-4EF5-ABEC-2CEAA5E6C5EA}"/>
              </c:ext>
            </c:extLst>
          </c:dPt>
          <c:dPt>
            <c:idx val="5"/>
            <c:bubble3D val="0"/>
            <c:spPr>
              <a:noFill/>
            </c:spPr>
            <c:extLst>
              <c:ext xmlns:c16="http://schemas.microsoft.com/office/drawing/2014/chart" uri="{C3380CC4-5D6E-409C-BE32-E72D297353CC}">
                <c16:uniqueId val="{0000000B-13D9-4EF5-ABEC-2CEAA5E6C5EA}"/>
              </c:ext>
            </c:extLst>
          </c:dPt>
          <c:dPt>
            <c:idx val="6"/>
            <c:bubble3D val="0"/>
            <c:spPr>
              <a:noFill/>
            </c:spPr>
            <c:extLst>
              <c:ext xmlns:c16="http://schemas.microsoft.com/office/drawing/2014/chart" uri="{C3380CC4-5D6E-409C-BE32-E72D297353CC}">
                <c16:uniqueId val="{0000000D-13D9-4EF5-ABEC-2CEAA5E6C5EA}"/>
              </c:ext>
            </c:extLst>
          </c:dPt>
          <c:dPt>
            <c:idx val="7"/>
            <c:bubble3D val="0"/>
            <c:spPr>
              <a:solidFill>
                <a:schemeClr val="tx1"/>
              </a:solidFill>
              <a:ln>
                <a:noFill/>
              </a:ln>
            </c:spPr>
            <c:extLst>
              <c:ext xmlns:c16="http://schemas.microsoft.com/office/drawing/2014/chart" uri="{C3380CC4-5D6E-409C-BE32-E72D297353CC}">
                <c16:uniqueId val="{0000000F-13D9-4EF5-ABEC-2CEAA5E6C5EA}"/>
              </c:ext>
            </c:extLst>
          </c:dPt>
          <c:dPt>
            <c:idx val="8"/>
            <c:bubble3D val="0"/>
            <c:spPr>
              <a:noFill/>
            </c:spPr>
            <c:extLst>
              <c:ext xmlns:c16="http://schemas.microsoft.com/office/drawing/2014/chart" uri="{C3380CC4-5D6E-409C-BE32-E72D297353CC}">
                <c16:uniqueId val="{00000011-13D9-4EF5-ABEC-2CEAA5E6C5EA}"/>
              </c:ext>
            </c:extLst>
          </c:dPt>
          <c:dPt>
            <c:idx val="9"/>
            <c:bubble3D val="0"/>
            <c:spPr>
              <a:noFill/>
            </c:spPr>
            <c:extLst>
              <c:ext xmlns:c16="http://schemas.microsoft.com/office/drawing/2014/chart" uri="{C3380CC4-5D6E-409C-BE32-E72D297353CC}">
                <c16:uniqueId val="{00000013-13D9-4EF5-ABEC-2CEAA5E6C5EA}"/>
              </c:ext>
            </c:extLst>
          </c:dPt>
          <c:dPt>
            <c:idx val="10"/>
            <c:bubble3D val="0"/>
            <c:spPr>
              <a:solidFill>
                <a:schemeClr val="tx1"/>
              </a:solidFill>
            </c:spPr>
            <c:extLst>
              <c:ext xmlns:c16="http://schemas.microsoft.com/office/drawing/2014/chart" uri="{C3380CC4-5D6E-409C-BE32-E72D297353CC}">
                <c16:uniqueId val="{00000015-13D9-4EF5-ABEC-2CEAA5E6C5EA}"/>
              </c:ext>
            </c:extLst>
          </c:dPt>
          <c:dPt>
            <c:idx val="11"/>
            <c:bubble3D val="0"/>
            <c:spPr>
              <a:noFill/>
            </c:spPr>
            <c:extLst>
              <c:ext xmlns:c16="http://schemas.microsoft.com/office/drawing/2014/chart" uri="{C3380CC4-5D6E-409C-BE32-E72D297353CC}">
                <c16:uniqueId val="{00000017-13D9-4EF5-ABEC-2CEAA5E6C5EA}"/>
              </c:ext>
            </c:extLst>
          </c:dPt>
          <c:dPt>
            <c:idx val="12"/>
            <c:bubble3D val="0"/>
            <c:spPr>
              <a:noFill/>
            </c:spPr>
            <c:extLst>
              <c:ext xmlns:c16="http://schemas.microsoft.com/office/drawing/2014/chart" uri="{C3380CC4-5D6E-409C-BE32-E72D297353CC}">
                <c16:uniqueId val="{00000019-13D9-4EF5-ABEC-2CEAA5E6C5EA}"/>
              </c:ext>
            </c:extLst>
          </c:dPt>
          <c:dPt>
            <c:idx val="13"/>
            <c:bubble3D val="0"/>
            <c:spPr>
              <a:solidFill>
                <a:schemeClr val="tx1"/>
              </a:solidFill>
            </c:spPr>
            <c:extLst>
              <c:ext xmlns:c16="http://schemas.microsoft.com/office/drawing/2014/chart" uri="{C3380CC4-5D6E-409C-BE32-E72D297353CC}">
                <c16:uniqueId val="{0000001B-13D9-4EF5-ABEC-2CEAA5E6C5EA}"/>
              </c:ext>
            </c:extLst>
          </c:dPt>
          <c:dPt>
            <c:idx val="14"/>
            <c:bubble3D val="0"/>
            <c:spPr>
              <a:noFill/>
            </c:spPr>
            <c:extLst>
              <c:ext xmlns:c16="http://schemas.microsoft.com/office/drawing/2014/chart" uri="{C3380CC4-5D6E-409C-BE32-E72D297353CC}">
                <c16:uniqueId val="{0000001D-13D9-4EF5-ABEC-2CEAA5E6C5EA}"/>
              </c:ext>
            </c:extLst>
          </c:dPt>
          <c:dPt>
            <c:idx val="15"/>
            <c:bubble3D val="0"/>
            <c:spPr>
              <a:noFill/>
            </c:spPr>
            <c:extLst>
              <c:ext xmlns:c16="http://schemas.microsoft.com/office/drawing/2014/chart" uri="{C3380CC4-5D6E-409C-BE32-E72D297353CC}">
                <c16:uniqueId val="{0000001F-13D9-4EF5-ABEC-2CEAA5E6C5EA}"/>
              </c:ext>
            </c:extLst>
          </c:dPt>
          <c:dPt>
            <c:idx val="16"/>
            <c:bubble3D val="0"/>
            <c:spPr>
              <a:solidFill>
                <a:schemeClr val="tx1"/>
              </a:solidFill>
            </c:spPr>
            <c:extLst>
              <c:ext xmlns:c16="http://schemas.microsoft.com/office/drawing/2014/chart" uri="{C3380CC4-5D6E-409C-BE32-E72D297353CC}">
                <c16:uniqueId val="{00000021-13D9-4EF5-ABEC-2CEAA5E6C5EA}"/>
              </c:ext>
            </c:extLst>
          </c:dPt>
          <c:dPt>
            <c:idx val="17"/>
            <c:bubble3D val="0"/>
            <c:spPr>
              <a:noFill/>
            </c:spPr>
            <c:extLst>
              <c:ext xmlns:c16="http://schemas.microsoft.com/office/drawing/2014/chart" uri="{C3380CC4-5D6E-409C-BE32-E72D297353CC}">
                <c16:uniqueId val="{00000023-13D9-4EF5-ABEC-2CEAA5E6C5EA}"/>
              </c:ext>
            </c:extLst>
          </c:dPt>
          <c:dPt>
            <c:idx val="18"/>
            <c:bubble3D val="0"/>
            <c:spPr>
              <a:noFill/>
            </c:spPr>
            <c:extLst>
              <c:ext xmlns:c16="http://schemas.microsoft.com/office/drawing/2014/chart" uri="{C3380CC4-5D6E-409C-BE32-E72D297353CC}">
                <c16:uniqueId val="{00000025-13D9-4EF5-ABEC-2CEAA5E6C5EA}"/>
              </c:ext>
            </c:extLst>
          </c:dPt>
          <c:dPt>
            <c:idx val="19"/>
            <c:bubble3D val="0"/>
            <c:spPr>
              <a:solidFill>
                <a:schemeClr val="tx1"/>
              </a:solidFill>
            </c:spPr>
            <c:extLst>
              <c:ext xmlns:c16="http://schemas.microsoft.com/office/drawing/2014/chart" uri="{C3380CC4-5D6E-409C-BE32-E72D297353CC}">
                <c16:uniqueId val="{00000027-13D9-4EF5-ABEC-2CEAA5E6C5EA}"/>
              </c:ext>
            </c:extLst>
          </c:dPt>
          <c:dPt>
            <c:idx val="20"/>
            <c:bubble3D val="0"/>
            <c:spPr>
              <a:noFill/>
            </c:spPr>
            <c:extLst>
              <c:ext xmlns:c16="http://schemas.microsoft.com/office/drawing/2014/chart" uri="{C3380CC4-5D6E-409C-BE32-E72D297353CC}">
                <c16:uniqueId val="{00000029-13D9-4EF5-ABEC-2CEAA5E6C5EA}"/>
              </c:ext>
            </c:extLst>
          </c:dPt>
          <c:dPt>
            <c:idx val="21"/>
            <c:bubble3D val="0"/>
            <c:spPr>
              <a:noFill/>
            </c:spPr>
            <c:extLst>
              <c:ext xmlns:c16="http://schemas.microsoft.com/office/drawing/2014/chart" uri="{C3380CC4-5D6E-409C-BE32-E72D297353CC}">
                <c16:uniqueId val="{0000002B-13D9-4EF5-ABEC-2CEAA5E6C5EA}"/>
              </c:ext>
            </c:extLst>
          </c:dPt>
          <c:dPt>
            <c:idx val="22"/>
            <c:bubble3D val="0"/>
            <c:spPr>
              <a:solidFill>
                <a:schemeClr val="tx1"/>
              </a:solidFill>
            </c:spPr>
            <c:extLst>
              <c:ext xmlns:c16="http://schemas.microsoft.com/office/drawing/2014/chart" uri="{C3380CC4-5D6E-409C-BE32-E72D297353CC}">
                <c16:uniqueId val="{0000002D-13D9-4EF5-ABEC-2CEAA5E6C5EA}"/>
              </c:ext>
            </c:extLst>
          </c:dPt>
          <c:dPt>
            <c:idx val="23"/>
            <c:bubble3D val="0"/>
            <c:spPr>
              <a:noFill/>
            </c:spPr>
            <c:extLst>
              <c:ext xmlns:c16="http://schemas.microsoft.com/office/drawing/2014/chart" uri="{C3380CC4-5D6E-409C-BE32-E72D297353CC}">
                <c16:uniqueId val="{0000002F-13D9-4EF5-ABEC-2CEAA5E6C5EA}"/>
              </c:ext>
            </c:extLst>
          </c:dPt>
          <c:dPt>
            <c:idx val="24"/>
            <c:bubble3D val="0"/>
            <c:spPr>
              <a:noFill/>
            </c:spPr>
            <c:extLst>
              <c:ext xmlns:c16="http://schemas.microsoft.com/office/drawing/2014/chart" uri="{C3380CC4-5D6E-409C-BE32-E72D297353CC}">
                <c16:uniqueId val="{00000031-13D9-4EF5-ABEC-2CEAA5E6C5EA}"/>
              </c:ext>
            </c:extLst>
          </c:dPt>
          <c:dPt>
            <c:idx val="25"/>
            <c:bubble3D val="0"/>
            <c:spPr>
              <a:solidFill>
                <a:schemeClr val="tx1"/>
              </a:solidFill>
            </c:spPr>
            <c:extLst>
              <c:ext xmlns:c16="http://schemas.microsoft.com/office/drawing/2014/chart" uri="{C3380CC4-5D6E-409C-BE32-E72D297353CC}">
                <c16:uniqueId val="{00000033-13D9-4EF5-ABEC-2CEAA5E6C5EA}"/>
              </c:ext>
            </c:extLst>
          </c:dPt>
          <c:dPt>
            <c:idx val="26"/>
            <c:bubble3D val="0"/>
            <c:spPr>
              <a:noFill/>
            </c:spPr>
            <c:extLst>
              <c:ext xmlns:c16="http://schemas.microsoft.com/office/drawing/2014/chart" uri="{C3380CC4-5D6E-409C-BE32-E72D297353CC}">
                <c16:uniqueId val="{00000035-13D9-4EF5-ABEC-2CEAA5E6C5EA}"/>
              </c:ext>
            </c:extLst>
          </c:dPt>
          <c:dPt>
            <c:idx val="27"/>
            <c:bubble3D val="0"/>
            <c:spPr>
              <a:noFill/>
            </c:spPr>
            <c:extLst>
              <c:ext xmlns:c16="http://schemas.microsoft.com/office/drawing/2014/chart" uri="{C3380CC4-5D6E-409C-BE32-E72D297353CC}">
                <c16:uniqueId val="{00000037-13D9-4EF5-ABEC-2CEAA5E6C5EA}"/>
              </c:ext>
            </c:extLst>
          </c:dPt>
          <c:dPt>
            <c:idx val="28"/>
            <c:bubble3D val="0"/>
            <c:spPr>
              <a:solidFill>
                <a:schemeClr val="tx1"/>
              </a:solidFill>
            </c:spPr>
            <c:extLst>
              <c:ext xmlns:c16="http://schemas.microsoft.com/office/drawing/2014/chart" uri="{C3380CC4-5D6E-409C-BE32-E72D297353CC}">
                <c16:uniqueId val="{00000039-13D9-4EF5-ABEC-2CEAA5E6C5EA}"/>
              </c:ext>
            </c:extLst>
          </c:dPt>
          <c:dPt>
            <c:idx val="29"/>
            <c:bubble3D val="0"/>
            <c:spPr>
              <a:noFill/>
            </c:spPr>
            <c:extLst>
              <c:ext xmlns:c16="http://schemas.microsoft.com/office/drawing/2014/chart" uri="{C3380CC4-5D6E-409C-BE32-E72D297353CC}">
                <c16:uniqueId val="{0000003B-13D9-4EF5-ABEC-2CEAA5E6C5EA}"/>
              </c:ext>
            </c:extLst>
          </c:dPt>
          <c:dPt>
            <c:idx val="30"/>
            <c:bubble3D val="0"/>
            <c:spPr>
              <a:noFill/>
            </c:spPr>
            <c:extLst>
              <c:ext xmlns:c16="http://schemas.microsoft.com/office/drawing/2014/chart" uri="{C3380CC4-5D6E-409C-BE32-E72D297353CC}">
                <c16:uniqueId val="{0000003D-13D9-4EF5-ABEC-2CEAA5E6C5EA}"/>
              </c:ext>
            </c:extLst>
          </c:dPt>
          <c:dPt>
            <c:idx val="31"/>
            <c:bubble3D val="0"/>
            <c:spPr>
              <a:solidFill>
                <a:schemeClr val="tx1"/>
              </a:solidFill>
            </c:spPr>
            <c:extLst>
              <c:ext xmlns:c16="http://schemas.microsoft.com/office/drawing/2014/chart" uri="{C3380CC4-5D6E-409C-BE32-E72D297353CC}">
                <c16:uniqueId val="{0000003F-13D9-4EF5-ABEC-2CEAA5E6C5EA}"/>
              </c:ext>
            </c:extLst>
          </c:dPt>
          <c:dPt>
            <c:idx val="32"/>
            <c:bubble3D val="0"/>
            <c:spPr>
              <a:noFill/>
            </c:spPr>
            <c:extLst>
              <c:ext xmlns:c16="http://schemas.microsoft.com/office/drawing/2014/chart" uri="{C3380CC4-5D6E-409C-BE32-E72D297353CC}">
                <c16:uniqueId val="{00000041-13D9-4EF5-ABEC-2CEAA5E6C5EA}"/>
              </c:ext>
            </c:extLst>
          </c:dPt>
          <c:dPt>
            <c:idx val="33"/>
            <c:bubble3D val="0"/>
            <c:spPr>
              <a:noFill/>
            </c:spPr>
            <c:extLst>
              <c:ext xmlns:c16="http://schemas.microsoft.com/office/drawing/2014/chart" uri="{C3380CC4-5D6E-409C-BE32-E72D297353CC}">
                <c16:uniqueId val="{00000043-13D9-4EF5-ABEC-2CEAA5E6C5EA}"/>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3D9-4EF5-ABEC-2CEAA5E6C5E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5CCD-4AD2-8110-9A1C6A2C3ECC}"/>
              </c:ext>
            </c:extLst>
          </c:dPt>
          <c:dPt>
            <c:idx val="1"/>
            <c:bubble3D val="0"/>
            <c:spPr>
              <a:solidFill>
                <a:schemeClr val="accent3">
                  <a:lumMod val="50000"/>
                </a:schemeClr>
              </a:solidFill>
              <a:ln>
                <a:noFill/>
              </a:ln>
            </c:spPr>
            <c:extLst>
              <c:ext xmlns:c16="http://schemas.microsoft.com/office/drawing/2014/chart" uri="{C3380CC4-5D6E-409C-BE32-E72D297353CC}">
                <c16:uniqueId val="{00000003-5CCD-4AD2-8110-9A1C6A2C3ECC}"/>
              </c:ext>
            </c:extLst>
          </c:dPt>
          <c:dPt>
            <c:idx val="2"/>
            <c:bubble3D val="0"/>
            <c:spPr>
              <a:noFill/>
            </c:spPr>
            <c:extLst>
              <c:ext xmlns:c16="http://schemas.microsoft.com/office/drawing/2014/chart" uri="{C3380CC4-5D6E-409C-BE32-E72D297353CC}">
                <c16:uniqueId val="{00000005-5CCD-4AD2-8110-9A1C6A2C3ECC}"/>
              </c:ext>
            </c:extLst>
          </c:dPt>
          <c:dPt>
            <c:idx val="3"/>
            <c:bubble3D val="0"/>
            <c:spPr>
              <a:solidFill>
                <a:srgbClr val="CBE4EB"/>
              </a:solidFill>
              <a:ln>
                <a:noFill/>
              </a:ln>
            </c:spPr>
            <c:extLst>
              <c:ext xmlns:c16="http://schemas.microsoft.com/office/drawing/2014/chart" uri="{C3380CC4-5D6E-409C-BE32-E72D297353CC}">
                <c16:uniqueId val="{00000007-5CCD-4AD2-8110-9A1C6A2C3ECC}"/>
              </c:ext>
            </c:extLst>
          </c:dPt>
          <c:dPt>
            <c:idx val="4"/>
            <c:bubble3D val="0"/>
            <c:spPr>
              <a:solidFill>
                <a:schemeClr val="accent3"/>
              </a:solidFill>
              <a:ln>
                <a:noFill/>
              </a:ln>
            </c:spPr>
            <c:extLst>
              <c:ext xmlns:c16="http://schemas.microsoft.com/office/drawing/2014/chart" uri="{C3380CC4-5D6E-409C-BE32-E72D297353CC}">
                <c16:uniqueId val="{00000009-5CCD-4AD2-8110-9A1C6A2C3ECC}"/>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CCD-4AD2-8110-9A1C6A2C3ECC}"/>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5773-4436-BD46-003B13A1F713}"/>
              </c:ext>
            </c:extLst>
          </c:dPt>
          <c:dPt>
            <c:idx val="1"/>
            <c:bubble3D val="0"/>
            <c:spPr>
              <a:solidFill>
                <a:schemeClr val="tx1"/>
              </a:solidFill>
              <a:ln>
                <a:noFill/>
              </a:ln>
            </c:spPr>
            <c:extLst>
              <c:ext xmlns:c16="http://schemas.microsoft.com/office/drawing/2014/chart" uri="{C3380CC4-5D6E-409C-BE32-E72D297353CC}">
                <c16:uniqueId val="{00000003-5773-4436-BD46-003B13A1F713}"/>
              </c:ext>
            </c:extLst>
          </c:dPt>
          <c:dPt>
            <c:idx val="2"/>
            <c:bubble3D val="0"/>
            <c:spPr>
              <a:noFill/>
            </c:spPr>
            <c:extLst>
              <c:ext xmlns:c16="http://schemas.microsoft.com/office/drawing/2014/chart" uri="{C3380CC4-5D6E-409C-BE32-E72D297353CC}">
                <c16:uniqueId val="{00000005-5773-4436-BD46-003B13A1F713}"/>
              </c:ext>
            </c:extLst>
          </c:dPt>
          <c:dPt>
            <c:idx val="3"/>
            <c:bubble3D val="0"/>
            <c:spPr>
              <a:noFill/>
            </c:spPr>
            <c:extLst>
              <c:ext xmlns:c16="http://schemas.microsoft.com/office/drawing/2014/chart" uri="{C3380CC4-5D6E-409C-BE32-E72D297353CC}">
                <c16:uniqueId val="{00000007-5773-4436-BD46-003B13A1F713}"/>
              </c:ext>
            </c:extLst>
          </c:dPt>
          <c:dPt>
            <c:idx val="4"/>
            <c:bubble3D val="0"/>
            <c:spPr>
              <a:solidFill>
                <a:schemeClr val="tx1"/>
              </a:solidFill>
              <a:ln>
                <a:noFill/>
              </a:ln>
            </c:spPr>
            <c:extLst>
              <c:ext xmlns:c16="http://schemas.microsoft.com/office/drawing/2014/chart" uri="{C3380CC4-5D6E-409C-BE32-E72D297353CC}">
                <c16:uniqueId val="{00000009-5773-4436-BD46-003B13A1F713}"/>
              </c:ext>
            </c:extLst>
          </c:dPt>
          <c:dPt>
            <c:idx val="5"/>
            <c:bubble3D val="0"/>
            <c:spPr>
              <a:noFill/>
            </c:spPr>
            <c:extLst>
              <c:ext xmlns:c16="http://schemas.microsoft.com/office/drawing/2014/chart" uri="{C3380CC4-5D6E-409C-BE32-E72D297353CC}">
                <c16:uniqueId val="{0000000B-5773-4436-BD46-003B13A1F713}"/>
              </c:ext>
            </c:extLst>
          </c:dPt>
          <c:dPt>
            <c:idx val="6"/>
            <c:bubble3D val="0"/>
            <c:spPr>
              <a:noFill/>
            </c:spPr>
            <c:extLst>
              <c:ext xmlns:c16="http://schemas.microsoft.com/office/drawing/2014/chart" uri="{C3380CC4-5D6E-409C-BE32-E72D297353CC}">
                <c16:uniqueId val="{0000000D-5773-4436-BD46-003B13A1F713}"/>
              </c:ext>
            </c:extLst>
          </c:dPt>
          <c:dPt>
            <c:idx val="7"/>
            <c:bubble3D val="0"/>
            <c:spPr>
              <a:solidFill>
                <a:schemeClr val="tx1"/>
              </a:solidFill>
              <a:ln>
                <a:noFill/>
              </a:ln>
            </c:spPr>
            <c:extLst>
              <c:ext xmlns:c16="http://schemas.microsoft.com/office/drawing/2014/chart" uri="{C3380CC4-5D6E-409C-BE32-E72D297353CC}">
                <c16:uniqueId val="{0000000F-5773-4436-BD46-003B13A1F713}"/>
              </c:ext>
            </c:extLst>
          </c:dPt>
          <c:dPt>
            <c:idx val="8"/>
            <c:bubble3D val="0"/>
            <c:spPr>
              <a:noFill/>
            </c:spPr>
            <c:extLst>
              <c:ext xmlns:c16="http://schemas.microsoft.com/office/drawing/2014/chart" uri="{C3380CC4-5D6E-409C-BE32-E72D297353CC}">
                <c16:uniqueId val="{00000011-5773-4436-BD46-003B13A1F713}"/>
              </c:ext>
            </c:extLst>
          </c:dPt>
          <c:dPt>
            <c:idx val="9"/>
            <c:bubble3D val="0"/>
            <c:spPr>
              <a:noFill/>
            </c:spPr>
            <c:extLst>
              <c:ext xmlns:c16="http://schemas.microsoft.com/office/drawing/2014/chart" uri="{C3380CC4-5D6E-409C-BE32-E72D297353CC}">
                <c16:uniqueId val="{00000013-5773-4436-BD46-003B13A1F713}"/>
              </c:ext>
            </c:extLst>
          </c:dPt>
          <c:dPt>
            <c:idx val="10"/>
            <c:bubble3D val="0"/>
            <c:spPr>
              <a:solidFill>
                <a:schemeClr val="tx1"/>
              </a:solidFill>
            </c:spPr>
            <c:extLst>
              <c:ext xmlns:c16="http://schemas.microsoft.com/office/drawing/2014/chart" uri="{C3380CC4-5D6E-409C-BE32-E72D297353CC}">
                <c16:uniqueId val="{00000015-5773-4436-BD46-003B13A1F713}"/>
              </c:ext>
            </c:extLst>
          </c:dPt>
          <c:dPt>
            <c:idx val="11"/>
            <c:bubble3D val="0"/>
            <c:spPr>
              <a:noFill/>
            </c:spPr>
            <c:extLst>
              <c:ext xmlns:c16="http://schemas.microsoft.com/office/drawing/2014/chart" uri="{C3380CC4-5D6E-409C-BE32-E72D297353CC}">
                <c16:uniqueId val="{00000017-5773-4436-BD46-003B13A1F713}"/>
              </c:ext>
            </c:extLst>
          </c:dPt>
          <c:dPt>
            <c:idx val="12"/>
            <c:bubble3D val="0"/>
            <c:spPr>
              <a:noFill/>
            </c:spPr>
            <c:extLst>
              <c:ext xmlns:c16="http://schemas.microsoft.com/office/drawing/2014/chart" uri="{C3380CC4-5D6E-409C-BE32-E72D297353CC}">
                <c16:uniqueId val="{00000019-5773-4436-BD46-003B13A1F713}"/>
              </c:ext>
            </c:extLst>
          </c:dPt>
          <c:dPt>
            <c:idx val="13"/>
            <c:bubble3D val="0"/>
            <c:spPr>
              <a:solidFill>
                <a:schemeClr val="tx1"/>
              </a:solidFill>
            </c:spPr>
            <c:extLst>
              <c:ext xmlns:c16="http://schemas.microsoft.com/office/drawing/2014/chart" uri="{C3380CC4-5D6E-409C-BE32-E72D297353CC}">
                <c16:uniqueId val="{0000001B-5773-4436-BD46-003B13A1F713}"/>
              </c:ext>
            </c:extLst>
          </c:dPt>
          <c:dPt>
            <c:idx val="14"/>
            <c:bubble3D val="0"/>
            <c:spPr>
              <a:noFill/>
            </c:spPr>
            <c:extLst>
              <c:ext xmlns:c16="http://schemas.microsoft.com/office/drawing/2014/chart" uri="{C3380CC4-5D6E-409C-BE32-E72D297353CC}">
                <c16:uniqueId val="{0000001D-5773-4436-BD46-003B13A1F713}"/>
              </c:ext>
            </c:extLst>
          </c:dPt>
          <c:dPt>
            <c:idx val="15"/>
            <c:bubble3D val="0"/>
            <c:spPr>
              <a:noFill/>
            </c:spPr>
            <c:extLst>
              <c:ext xmlns:c16="http://schemas.microsoft.com/office/drawing/2014/chart" uri="{C3380CC4-5D6E-409C-BE32-E72D297353CC}">
                <c16:uniqueId val="{0000001F-5773-4436-BD46-003B13A1F713}"/>
              </c:ext>
            </c:extLst>
          </c:dPt>
          <c:dPt>
            <c:idx val="16"/>
            <c:bubble3D val="0"/>
            <c:spPr>
              <a:solidFill>
                <a:schemeClr val="tx1"/>
              </a:solidFill>
            </c:spPr>
            <c:extLst>
              <c:ext xmlns:c16="http://schemas.microsoft.com/office/drawing/2014/chart" uri="{C3380CC4-5D6E-409C-BE32-E72D297353CC}">
                <c16:uniqueId val="{00000021-5773-4436-BD46-003B13A1F713}"/>
              </c:ext>
            </c:extLst>
          </c:dPt>
          <c:dPt>
            <c:idx val="17"/>
            <c:bubble3D val="0"/>
            <c:spPr>
              <a:noFill/>
            </c:spPr>
            <c:extLst>
              <c:ext xmlns:c16="http://schemas.microsoft.com/office/drawing/2014/chart" uri="{C3380CC4-5D6E-409C-BE32-E72D297353CC}">
                <c16:uniqueId val="{00000023-5773-4436-BD46-003B13A1F713}"/>
              </c:ext>
            </c:extLst>
          </c:dPt>
          <c:dPt>
            <c:idx val="18"/>
            <c:bubble3D val="0"/>
            <c:spPr>
              <a:noFill/>
            </c:spPr>
            <c:extLst>
              <c:ext xmlns:c16="http://schemas.microsoft.com/office/drawing/2014/chart" uri="{C3380CC4-5D6E-409C-BE32-E72D297353CC}">
                <c16:uniqueId val="{00000025-5773-4436-BD46-003B13A1F713}"/>
              </c:ext>
            </c:extLst>
          </c:dPt>
          <c:dPt>
            <c:idx val="19"/>
            <c:bubble3D val="0"/>
            <c:spPr>
              <a:solidFill>
                <a:schemeClr val="tx1"/>
              </a:solidFill>
            </c:spPr>
            <c:extLst>
              <c:ext xmlns:c16="http://schemas.microsoft.com/office/drawing/2014/chart" uri="{C3380CC4-5D6E-409C-BE32-E72D297353CC}">
                <c16:uniqueId val="{00000027-5773-4436-BD46-003B13A1F713}"/>
              </c:ext>
            </c:extLst>
          </c:dPt>
          <c:dPt>
            <c:idx val="20"/>
            <c:bubble3D val="0"/>
            <c:spPr>
              <a:noFill/>
            </c:spPr>
            <c:extLst>
              <c:ext xmlns:c16="http://schemas.microsoft.com/office/drawing/2014/chart" uri="{C3380CC4-5D6E-409C-BE32-E72D297353CC}">
                <c16:uniqueId val="{00000029-5773-4436-BD46-003B13A1F713}"/>
              </c:ext>
            </c:extLst>
          </c:dPt>
          <c:dPt>
            <c:idx val="21"/>
            <c:bubble3D val="0"/>
            <c:spPr>
              <a:noFill/>
            </c:spPr>
            <c:extLst>
              <c:ext xmlns:c16="http://schemas.microsoft.com/office/drawing/2014/chart" uri="{C3380CC4-5D6E-409C-BE32-E72D297353CC}">
                <c16:uniqueId val="{0000002B-5773-4436-BD46-003B13A1F713}"/>
              </c:ext>
            </c:extLst>
          </c:dPt>
          <c:dPt>
            <c:idx val="22"/>
            <c:bubble3D val="0"/>
            <c:spPr>
              <a:solidFill>
                <a:schemeClr val="tx1"/>
              </a:solidFill>
            </c:spPr>
            <c:extLst>
              <c:ext xmlns:c16="http://schemas.microsoft.com/office/drawing/2014/chart" uri="{C3380CC4-5D6E-409C-BE32-E72D297353CC}">
                <c16:uniqueId val="{0000002D-5773-4436-BD46-003B13A1F713}"/>
              </c:ext>
            </c:extLst>
          </c:dPt>
          <c:dPt>
            <c:idx val="23"/>
            <c:bubble3D val="0"/>
            <c:spPr>
              <a:noFill/>
            </c:spPr>
            <c:extLst>
              <c:ext xmlns:c16="http://schemas.microsoft.com/office/drawing/2014/chart" uri="{C3380CC4-5D6E-409C-BE32-E72D297353CC}">
                <c16:uniqueId val="{0000002F-5773-4436-BD46-003B13A1F713}"/>
              </c:ext>
            </c:extLst>
          </c:dPt>
          <c:dPt>
            <c:idx val="24"/>
            <c:bubble3D val="0"/>
            <c:spPr>
              <a:noFill/>
            </c:spPr>
            <c:extLst>
              <c:ext xmlns:c16="http://schemas.microsoft.com/office/drawing/2014/chart" uri="{C3380CC4-5D6E-409C-BE32-E72D297353CC}">
                <c16:uniqueId val="{00000031-5773-4436-BD46-003B13A1F713}"/>
              </c:ext>
            </c:extLst>
          </c:dPt>
          <c:dPt>
            <c:idx val="25"/>
            <c:bubble3D val="0"/>
            <c:spPr>
              <a:solidFill>
                <a:schemeClr val="tx1"/>
              </a:solidFill>
            </c:spPr>
            <c:extLst>
              <c:ext xmlns:c16="http://schemas.microsoft.com/office/drawing/2014/chart" uri="{C3380CC4-5D6E-409C-BE32-E72D297353CC}">
                <c16:uniqueId val="{00000033-5773-4436-BD46-003B13A1F713}"/>
              </c:ext>
            </c:extLst>
          </c:dPt>
          <c:dPt>
            <c:idx val="26"/>
            <c:bubble3D val="0"/>
            <c:spPr>
              <a:noFill/>
            </c:spPr>
            <c:extLst>
              <c:ext xmlns:c16="http://schemas.microsoft.com/office/drawing/2014/chart" uri="{C3380CC4-5D6E-409C-BE32-E72D297353CC}">
                <c16:uniqueId val="{00000035-5773-4436-BD46-003B13A1F713}"/>
              </c:ext>
            </c:extLst>
          </c:dPt>
          <c:dPt>
            <c:idx val="27"/>
            <c:bubble3D val="0"/>
            <c:spPr>
              <a:noFill/>
            </c:spPr>
            <c:extLst>
              <c:ext xmlns:c16="http://schemas.microsoft.com/office/drawing/2014/chart" uri="{C3380CC4-5D6E-409C-BE32-E72D297353CC}">
                <c16:uniqueId val="{00000037-5773-4436-BD46-003B13A1F713}"/>
              </c:ext>
            </c:extLst>
          </c:dPt>
          <c:dPt>
            <c:idx val="28"/>
            <c:bubble3D val="0"/>
            <c:spPr>
              <a:solidFill>
                <a:schemeClr val="tx1"/>
              </a:solidFill>
            </c:spPr>
            <c:extLst>
              <c:ext xmlns:c16="http://schemas.microsoft.com/office/drawing/2014/chart" uri="{C3380CC4-5D6E-409C-BE32-E72D297353CC}">
                <c16:uniqueId val="{00000039-5773-4436-BD46-003B13A1F713}"/>
              </c:ext>
            </c:extLst>
          </c:dPt>
          <c:dPt>
            <c:idx val="29"/>
            <c:bubble3D val="0"/>
            <c:spPr>
              <a:noFill/>
            </c:spPr>
            <c:extLst>
              <c:ext xmlns:c16="http://schemas.microsoft.com/office/drawing/2014/chart" uri="{C3380CC4-5D6E-409C-BE32-E72D297353CC}">
                <c16:uniqueId val="{0000003B-5773-4436-BD46-003B13A1F713}"/>
              </c:ext>
            </c:extLst>
          </c:dPt>
          <c:dPt>
            <c:idx val="30"/>
            <c:bubble3D val="0"/>
            <c:spPr>
              <a:noFill/>
            </c:spPr>
            <c:extLst>
              <c:ext xmlns:c16="http://schemas.microsoft.com/office/drawing/2014/chart" uri="{C3380CC4-5D6E-409C-BE32-E72D297353CC}">
                <c16:uniqueId val="{0000003D-5773-4436-BD46-003B13A1F713}"/>
              </c:ext>
            </c:extLst>
          </c:dPt>
          <c:dPt>
            <c:idx val="31"/>
            <c:bubble3D val="0"/>
            <c:spPr>
              <a:solidFill>
                <a:schemeClr val="tx1"/>
              </a:solidFill>
            </c:spPr>
            <c:extLst>
              <c:ext xmlns:c16="http://schemas.microsoft.com/office/drawing/2014/chart" uri="{C3380CC4-5D6E-409C-BE32-E72D297353CC}">
                <c16:uniqueId val="{0000003F-5773-4436-BD46-003B13A1F713}"/>
              </c:ext>
            </c:extLst>
          </c:dPt>
          <c:dPt>
            <c:idx val="32"/>
            <c:bubble3D val="0"/>
            <c:spPr>
              <a:noFill/>
            </c:spPr>
            <c:extLst>
              <c:ext xmlns:c16="http://schemas.microsoft.com/office/drawing/2014/chart" uri="{C3380CC4-5D6E-409C-BE32-E72D297353CC}">
                <c16:uniqueId val="{00000041-5773-4436-BD46-003B13A1F713}"/>
              </c:ext>
            </c:extLst>
          </c:dPt>
          <c:dPt>
            <c:idx val="33"/>
            <c:bubble3D val="0"/>
            <c:spPr>
              <a:noFill/>
            </c:spPr>
            <c:extLst>
              <c:ext xmlns:c16="http://schemas.microsoft.com/office/drawing/2014/chart" uri="{C3380CC4-5D6E-409C-BE32-E72D297353CC}">
                <c16:uniqueId val="{00000043-5773-4436-BD46-003B13A1F713}"/>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773-4436-BD46-003B13A1F71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44E0-4D77-8FC7-D3C0B05E2E69}"/>
              </c:ext>
            </c:extLst>
          </c:dPt>
          <c:dPt>
            <c:idx val="1"/>
            <c:bubble3D val="0"/>
            <c:spPr>
              <a:solidFill>
                <a:srgbClr val="054680"/>
              </a:solidFill>
              <a:ln>
                <a:noFill/>
              </a:ln>
            </c:spPr>
            <c:extLst>
              <c:ext xmlns:c16="http://schemas.microsoft.com/office/drawing/2014/chart" uri="{C3380CC4-5D6E-409C-BE32-E72D297353CC}">
                <c16:uniqueId val="{00000003-44E0-4D77-8FC7-D3C0B05E2E69}"/>
              </c:ext>
            </c:extLst>
          </c:dPt>
          <c:dPt>
            <c:idx val="2"/>
            <c:bubble3D val="0"/>
            <c:spPr>
              <a:noFill/>
            </c:spPr>
            <c:extLst>
              <c:ext xmlns:c16="http://schemas.microsoft.com/office/drawing/2014/chart" uri="{C3380CC4-5D6E-409C-BE32-E72D297353CC}">
                <c16:uniqueId val="{00000005-44E0-4D77-8FC7-D3C0B05E2E69}"/>
              </c:ext>
            </c:extLst>
          </c:dPt>
          <c:dPt>
            <c:idx val="3"/>
            <c:bubble3D val="0"/>
            <c:spPr>
              <a:solidFill>
                <a:srgbClr val="CBE4EB"/>
              </a:solidFill>
              <a:ln>
                <a:noFill/>
              </a:ln>
            </c:spPr>
            <c:extLst>
              <c:ext xmlns:c16="http://schemas.microsoft.com/office/drawing/2014/chart" uri="{C3380CC4-5D6E-409C-BE32-E72D297353CC}">
                <c16:uniqueId val="{00000007-44E0-4D77-8FC7-D3C0B05E2E69}"/>
              </c:ext>
            </c:extLst>
          </c:dPt>
          <c:dPt>
            <c:idx val="4"/>
            <c:bubble3D val="0"/>
            <c:spPr>
              <a:solidFill>
                <a:srgbClr val="007AC5"/>
              </a:solidFill>
              <a:ln>
                <a:noFill/>
              </a:ln>
            </c:spPr>
            <c:extLst>
              <c:ext xmlns:c16="http://schemas.microsoft.com/office/drawing/2014/chart" uri="{C3380CC4-5D6E-409C-BE32-E72D297353CC}">
                <c16:uniqueId val="{00000009-44E0-4D77-8FC7-D3C0B05E2E69}"/>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44E0-4D77-8FC7-D3C0B05E2E69}"/>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BC92-41C3-A6DB-004F5114B2F0}"/>
              </c:ext>
            </c:extLst>
          </c:dPt>
          <c:dPt>
            <c:idx val="1"/>
            <c:bubble3D val="0"/>
            <c:spPr>
              <a:solidFill>
                <a:schemeClr val="tx1"/>
              </a:solidFill>
              <a:ln>
                <a:noFill/>
              </a:ln>
            </c:spPr>
            <c:extLst>
              <c:ext xmlns:c16="http://schemas.microsoft.com/office/drawing/2014/chart" uri="{C3380CC4-5D6E-409C-BE32-E72D297353CC}">
                <c16:uniqueId val="{00000003-BC92-41C3-A6DB-004F5114B2F0}"/>
              </c:ext>
            </c:extLst>
          </c:dPt>
          <c:dPt>
            <c:idx val="2"/>
            <c:bubble3D val="0"/>
            <c:spPr>
              <a:noFill/>
            </c:spPr>
            <c:extLst>
              <c:ext xmlns:c16="http://schemas.microsoft.com/office/drawing/2014/chart" uri="{C3380CC4-5D6E-409C-BE32-E72D297353CC}">
                <c16:uniqueId val="{00000005-BC92-41C3-A6DB-004F5114B2F0}"/>
              </c:ext>
            </c:extLst>
          </c:dPt>
          <c:dPt>
            <c:idx val="3"/>
            <c:bubble3D val="0"/>
            <c:spPr>
              <a:noFill/>
            </c:spPr>
            <c:extLst>
              <c:ext xmlns:c16="http://schemas.microsoft.com/office/drawing/2014/chart" uri="{C3380CC4-5D6E-409C-BE32-E72D297353CC}">
                <c16:uniqueId val="{00000007-BC92-41C3-A6DB-004F5114B2F0}"/>
              </c:ext>
            </c:extLst>
          </c:dPt>
          <c:dPt>
            <c:idx val="4"/>
            <c:bubble3D val="0"/>
            <c:spPr>
              <a:solidFill>
                <a:schemeClr val="tx1"/>
              </a:solidFill>
              <a:ln>
                <a:noFill/>
              </a:ln>
            </c:spPr>
            <c:extLst>
              <c:ext xmlns:c16="http://schemas.microsoft.com/office/drawing/2014/chart" uri="{C3380CC4-5D6E-409C-BE32-E72D297353CC}">
                <c16:uniqueId val="{00000009-BC92-41C3-A6DB-004F5114B2F0}"/>
              </c:ext>
            </c:extLst>
          </c:dPt>
          <c:dPt>
            <c:idx val="5"/>
            <c:bubble3D val="0"/>
            <c:spPr>
              <a:noFill/>
            </c:spPr>
            <c:extLst>
              <c:ext xmlns:c16="http://schemas.microsoft.com/office/drawing/2014/chart" uri="{C3380CC4-5D6E-409C-BE32-E72D297353CC}">
                <c16:uniqueId val="{0000000B-BC92-41C3-A6DB-004F5114B2F0}"/>
              </c:ext>
            </c:extLst>
          </c:dPt>
          <c:dPt>
            <c:idx val="6"/>
            <c:bubble3D val="0"/>
            <c:spPr>
              <a:noFill/>
            </c:spPr>
            <c:extLst>
              <c:ext xmlns:c16="http://schemas.microsoft.com/office/drawing/2014/chart" uri="{C3380CC4-5D6E-409C-BE32-E72D297353CC}">
                <c16:uniqueId val="{0000000D-BC92-41C3-A6DB-004F5114B2F0}"/>
              </c:ext>
            </c:extLst>
          </c:dPt>
          <c:dPt>
            <c:idx val="7"/>
            <c:bubble3D val="0"/>
            <c:spPr>
              <a:solidFill>
                <a:schemeClr val="tx1"/>
              </a:solidFill>
              <a:ln>
                <a:noFill/>
              </a:ln>
            </c:spPr>
            <c:extLst>
              <c:ext xmlns:c16="http://schemas.microsoft.com/office/drawing/2014/chart" uri="{C3380CC4-5D6E-409C-BE32-E72D297353CC}">
                <c16:uniqueId val="{0000000F-BC92-41C3-A6DB-004F5114B2F0}"/>
              </c:ext>
            </c:extLst>
          </c:dPt>
          <c:dPt>
            <c:idx val="8"/>
            <c:bubble3D val="0"/>
            <c:spPr>
              <a:noFill/>
            </c:spPr>
            <c:extLst>
              <c:ext xmlns:c16="http://schemas.microsoft.com/office/drawing/2014/chart" uri="{C3380CC4-5D6E-409C-BE32-E72D297353CC}">
                <c16:uniqueId val="{00000011-BC92-41C3-A6DB-004F5114B2F0}"/>
              </c:ext>
            </c:extLst>
          </c:dPt>
          <c:dPt>
            <c:idx val="9"/>
            <c:bubble3D val="0"/>
            <c:spPr>
              <a:noFill/>
            </c:spPr>
            <c:extLst>
              <c:ext xmlns:c16="http://schemas.microsoft.com/office/drawing/2014/chart" uri="{C3380CC4-5D6E-409C-BE32-E72D297353CC}">
                <c16:uniqueId val="{00000013-BC92-41C3-A6DB-004F5114B2F0}"/>
              </c:ext>
            </c:extLst>
          </c:dPt>
          <c:dPt>
            <c:idx val="10"/>
            <c:bubble3D val="0"/>
            <c:spPr>
              <a:solidFill>
                <a:schemeClr val="tx1"/>
              </a:solidFill>
            </c:spPr>
            <c:extLst>
              <c:ext xmlns:c16="http://schemas.microsoft.com/office/drawing/2014/chart" uri="{C3380CC4-5D6E-409C-BE32-E72D297353CC}">
                <c16:uniqueId val="{00000015-BC92-41C3-A6DB-004F5114B2F0}"/>
              </c:ext>
            </c:extLst>
          </c:dPt>
          <c:dPt>
            <c:idx val="11"/>
            <c:bubble3D val="0"/>
            <c:spPr>
              <a:noFill/>
            </c:spPr>
            <c:extLst>
              <c:ext xmlns:c16="http://schemas.microsoft.com/office/drawing/2014/chart" uri="{C3380CC4-5D6E-409C-BE32-E72D297353CC}">
                <c16:uniqueId val="{00000017-BC92-41C3-A6DB-004F5114B2F0}"/>
              </c:ext>
            </c:extLst>
          </c:dPt>
          <c:dPt>
            <c:idx val="12"/>
            <c:bubble3D val="0"/>
            <c:spPr>
              <a:noFill/>
            </c:spPr>
            <c:extLst>
              <c:ext xmlns:c16="http://schemas.microsoft.com/office/drawing/2014/chart" uri="{C3380CC4-5D6E-409C-BE32-E72D297353CC}">
                <c16:uniqueId val="{00000019-BC92-41C3-A6DB-004F5114B2F0}"/>
              </c:ext>
            </c:extLst>
          </c:dPt>
          <c:dPt>
            <c:idx val="13"/>
            <c:bubble3D val="0"/>
            <c:spPr>
              <a:solidFill>
                <a:schemeClr val="tx1"/>
              </a:solidFill>
            </c:spPr>
            <c:extLst>
              <c:ext xmlns:c16="http://schemas.microsoft.com/office/drawing/2014/chart" uri="{C3380CC4-5D6E-409C-BE32-E72D297353CC}">
                <c16:uniqueId val="{0000001B-BC92-41C3-A6DB-004F5114B2F0}"/>
              </c:ext>
            </c:extLst>
          </c:dPt>
          <c:dPt>
            <c:idx val="14"/>
            <c:bubble3D val="0"/>
            <c:spPr>
              <a:noFill/>
            </c:spPr>
            <c:extLst>
              <c:ext xmlns:c16="http://schemas.microsoft.com/office/drawing/2014/chart" uri="{C3380CC4-5D6E-409C-BE32-E72D297353CC}">
                <c16:uniqueId val="{0000001D-BC92-41C3-A6DB-004F5114B2F0}"/>
              </c:ext>
            </c:extLst>
          </c:dPt>
          <c:dPt>
            <c:idx val="15"/>
            <c:bubble3D val="0"/>
            <c:spPr>
              <a:noFill/>
            </c:spPr>
            <c:extLst>
              <c:ext xmlns:c16="http://schemas.microsoft.com/office/drawing/2014/chart" uri="{C3380CC4-5D6E-409C-BE32-E72D297353CC}">
                <c16:uniqueId val="{0000001F-BC92-41C3-A6DB-004F5114B2F0}"/>
              </c:ext>
            </c:extLst>
          </c:dPt>
          <c:dPt>
            <c:idx val="16"/>
            <c:bubble3D val="0"/>
            <c:spPr>
              <a:solidFill>
                <a:schemeClr val="tx1"/>
              </a:solidFill>
            </c:spPr>
            <c:extLst>
              <c:ext xmlns:c16="http://schemas.microsoft.com/office/drawing/2014/chart" uri="{C3380CC4-5D6E-409C-BE32-E72D297353CC}">
                <c16:uniqueId val="{00000021-BC92-41C3-A6DB-004F5114B2F0}"/>
              </c:ext>
            </c:extLst>
          </c:dPt>
          <c:dPt>
            <c:idx val="17"/>
            <c:bubble3D val="0"/>
            <c:spPr>
              <a:noFill/>
            </c:spPr>
            <c:extLst>
              <c:ext xmlns:c16="http://schemas.microsoft.com/office/drawing/2014/chart" uri="{C3380CC4-5D6E-409C-BE32-E72D297353CC}">
                <c16:uniqueId val="{00000023-BC92-41C3-A6DB-004F5114B2F0}"/>
              </c:ext>
            </c:extLst>
          </c:dPt>
          <c:dPt>
            <c:idx val="18"/>
            <c:bubble3D val="0"/>
            <c:spPr>
              <a:noFill/>
            </c:spPr>
            <c:extLst>
              <c:ext xmlns:c16="http://schemas.microsoft.com/office/drawing/2014/chart" uri="{C3380CC4-5D6E-409C-BE32-E72D297353CC}">
                <c16:uniqueId val="{00000025-BC92-41C3-A6DB-004F5114B2F0}"/>
              </c:ext>
            </c:extLst>
          </c:dPt>
          <c:dPt>
            <c:idx val="19"/>
            <c:bubble3D val="0"/>
            <c:spPr>
              <a:solidFill>
                <a:schemeClr val="tx1"/>
              </a:solidFill>
            </c:spPr>
            <c:extLst>
              <c:ext xmlns:c16="http://schemas.microsoft.com/office/drawing/2014/chart" uri="{C3380CC4-5D6E-409C-BE32-E72D297353CC}">
                <c16:uniqueId val="{00000027-BC92-41C3-A6DB-004F5114B2F0}"/>
              </c:ext>
            </c:extLst>
          </c:dPt>
          <c:dPt>
            <c:idx val="20"/>
            <c:bubble3D val="0"/>
            <c:spPr>
              <a:noFill/>
            </c:spPr>
            <c:extLst>
              <c:ext xmlns:c16="http://schemas.microsoft.com/office/drawing/2014/chart" uri="{C3380CC4-5D6E-409C-BE32-E72D297353CC}">
                <c16:uniqueId val="{00000029-BC92-41C3-A6DB-004F5114B2F0}"/>
              </c:ext>
            </c:extLst>
          </c:dPt>
          <c:dPt>
            <c:idx val="21"/>
            <c:bubble3D val="0"/>
            <c:spPr>
              <a:noFill/>
            </c:spPr>
            <c:extLst>
              <c:ext xmlns:c16="http://schemas.microsoft.com/office/drawing/2014/chart" uri="{C3380CC4-5D6E-409C-BE32-E72D297353CC}">
                <c16:uniqueId val="{0000002B-BC92-41C3-A6DB-004F5114B2F0}"/>
              </c:ext>
            </c:extLst>
          </c:dPt>
          <c:dPt>
            <c:idx val="22"/>
            <c:bubble3D val="0"/>
            <c:spPr>
              <a:solidFill>
                <a:schemeClr val="tx1"/>
              </a:solidFill>
            </c:spPr>
            <c:extLst>
              <c:ext xmlns:c16="http://schemas.microsoft.com/office/drawing/2014/chart" uri="{C3380CC4-5D6E-409C-BE32-E72D297353CC}">
                <c16:uniqueId val="{0000002D-BC92-41C3-A6DB-004F5114B2F0}"/>
              </c:ext>
            </c:extLst>
          </c:dPt>
          <c:dPt>
            <c:idx val="23"/>
            <c:bubble3D val="0"/>
            <c:spPr>
              <a:noFill/>
            </c:spPr>
            <c:extLst>
              <c:ext xmlns:c16="http://schemas.microsoft.com/office/drawing/2014/chart" uri="{C3380CC4-5D6E-409C-BE32-E72D297353CC}">
                <c16:uniqueId val="{0000002F-BC92-41C3-A6DB-004F5114B2F0}"/>
              </c:ext>
            </c:extLst>
          </c:dPt>
          <c:dPt>
            <c:idx val="24"/>
            <c:bubble3D val="0"/>
            <c:spPr>
              <a:noFill/>
            </c:spPr>
            <c:extLst>
              <c:ext xmlns:c16="http://schemas.microsoft.com/office/drawing/2014/chart" uri="{C3380CC4-5D6E-409C-BE32-E72D297353CC}">
                <c16:uniqueId val="{00000031-BC92-41C3-A6DB-004F5114B2F0}"/>
              </c:ext>
            </c:extLst>
          </c:dPt>
          <c:dPt>
            <c:idx val="25"/>
            <c:bubble3D val="0"/>
            <c:spPr>
              <a:solidFill>
                <a:schemeClr val="tx1"/>
              </a:solidFill>
            </c:spPr>
            <c:extLst>
              <c:ext xmlns:c16="http://schemas.microsoft.com/office/drawing/2014/chart" uri="{C3380CC4-5D6E-409C-BE32-E72D297353CC}">
                <c16:uniqueId val="{00000033-BC92-41C3-A6DB-004F5114B2F0}"/>
              </c:ext>
            </c:extLst>
          </c:dPt>
          <c:dPt>
            <c:idx val="26"/>
            <c:bubble3D val="0"/>
            <c:spPr>
              <a:noFill/>
            </c:spPr>
            <c:extLst>
              <c:ext xmlns:c16="http://schemas.microsoft.com/office/drawing/2014/chart" uri="{C3380CC4-5D6E-409C-BE32-E72D297353CC}">
                <c16:uniqueId val="{00000035-BC92-41C3-A6DB-004F5114B2F0}"/>
              </c:ext>
            </c:extLst>
          </c:dPt>
          <c:dPt>
            <c:idx val="27"/>
            <c:bubble3D val="0"/>
            <c:spPr>
              <a:noFill/>
            </c:spPr>
            <c:extLst>
              <c:ext xmlns:c16="http://schemas.microsoft.com/office/drawing/2014/chart" uri="{C3380CC4-5D6E-409C-BE32-E72D297353CC}">
                <c16:uniqueId val="{00000037-BC92-41C3-A6DB-004F5114B2F0}"/>
              </c:ext>
            </c:extLst>
          </c:dPt>
          <c:dPt>
            <c:idx val="28"/>
            <c:bubble3D val="0"/>
            <c:spPr>
              <a:solidFill>
                <a:schemeClr val="tx1"/>
              </a:solidFill>
            </c:spPr>
            <c:extLst>
              <c:ext xmlns:c16="http://schemas.microsoft.com/office/drawing/2014/chart" uri="{C3380CC4-5D6E-409C-BE32-E72D297353CC}">
                <c16:uniqueId val="{00000039-BC92-41C3-A6DB-004F5114B2F0}"/>
              </c:ext>
            </c:extLst>
          </c:dPt>
          <c:dPt>
            <c:idx val="29"/>
            <c:bubble3D val="0"/>
            <c:spPr>
              <a:noFill/>
            </c:spPr>
            <c:extLst>
              <c:ext xmlns:c16="http://schemas.microsoft.com/office/drawing/2014/chart" uri="{C3380CC4-5D6E-409C-BE32-E72D297353CC}">
                <c16:uniqueId val="{0000003B-BC92-41C3-A6DB-004F5114B2F0}"/>
              </c:ext>
            </c:extLst>
          </c:dPt>
          <c:dPt>
            <c:idx val="30"/>
            <c:bubble3D val="0"/>
            <c:spPr>
              <a:noFill/>
            </c:spPr>
            <c:extLst>
              <c:ext xmlns:c16="http://schemas.microsoft.com/office/drawing/2014/chart" uri="{C3380CC4-5D6E-409C-BE32-E72D297353CC}">
                <c16:uniqueId val="{0000003D-BC92-41C3-A6DB-004F5114B2F0}"/>
              </c:ext>
            </c:extLst>
          </c:dPt>
          <c:dPt>
            <c:idx val="31"/>
            <c:bubble3D val="0"/>
            <c:spPr>
              <a:solidFill>
                <a:schemeClr val="tx1"/>
              </a:solidFill>
            </c:spPr>
            <c:extLst>
              <c:ext xmlns:c16="http://schemas.microsoft.com/office/drawing/2014/chart" uri="{C3380CC4-5D6E-409C-BE32-E72D297353CC}">
                <c16:uniqueId val="{0000003F-BC92-41C3-A6DB-004F5114B2F0}"/>
              </c:ext>
            </c:extLst>
          </c:dPt>
          <c:dPt>
            <c:idx val="32"/>
            <c:bubble3D val="0"/>
            <c:spPr>
              <a:noFill/>
            </c:spPr>
            <c:extLst>
              <c:ext xmlns:c16="http://schemas.microsoft.com/office/drawing/2014/chart" uri="{C3380CC4-5D6E-409C-BE32-E72D297353CC}">
                <c16:uniqueId val="{00000041-BC92-41C3-A6DB-004F5114B2F0}"/>
              </c:ext>
            </c:extLst>
          </c:dPt>
          <c:dPt>
            <c:idx val="33"/>
            <c:bubble3D val="0"/>
            <c:spPr>
              <a:noFill/>
            </c:spPr>
            <c:extLst>
              <c:ext xmlns:c16="http://schemas.microsoft.com/office/drawing/2014/chart" uri="{C3380CC4-5D6E-409C-BE32-E72D297353CC}">
                <c16:uniqueId val="{00000043-BC92-41C3-A6DB-004F5114B2F0}"/>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BC92-41C3-A6DB-004F5114B2F0}"/>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B72E-4523-9612-35C9CF8B4BA4}"/>
              </c:ext>
            </c:extLst>
          </c:dPt>
          <c:dPt>
            <c:idx val="1"/>
            <c:bubble3D val="0"/>
            <c:spPr>
              <a:solidFill>
                <a:schemeClr val="accent3">
                  <a:lumMod val="50000"/>
                </a:schemeClr>
              </a:solidFill>
              <a:ln>
                <a:noFill/>
              </a:ln>
            </c:spPr>
            <c:extLst>
              <c:ext xmlns:c16="http://schemas.microsoft.com/office/drawing/2014/chart" uri="{C3380CC4-5D6E-409C-BE32-E72D297353CC}">
                <c16:uniqueId val="{00000003-B72E-4523-9612-35C9CF8B4BA4}"/>
              </c:ext>
            </c:extLst>
          </c:dPt>
          <c:dPt>
            <c:idx val="2"/>
            <c:bubble3D val="0"/>
            <c:spPr>
              <a:noFill/>
            </c:spPr>
            <c:extLst>
              <c:ext xmlns:c16="http://schemas.microsoft.com/office/drawing/2014/chart" uri="{C3380CC4-5D6E-409C-BE32-E72D297353CC}">
                <c16:uniqueId val="{00000005-B72E-4523-9612-35C9CF8B4BA4}"/>
              </c:ext>
            </c:extLst>
          </c:dPt>
          <c:dPt>
            <c:idx val="3"/>
            <c:bubble3D val="0"/>
            <c:spPr>
              <a:solidFill>
                <a:srgbClr val="CBE4EB"/>
              </a:solidFill>
              <a:ln>
                <a:noFill/>
              </a:ln>
            </c:spPr>
            <c:extLst>
              <c:ext xmlns:c16="http://schemas.microsoft.com/office/drawing/2014/chart" uri="{C3380CC4-5D6E-409C-BE32-E72D297353CC}">
                <c16:uniqueId val="{00000007-B72E-4523-9612-35C9CF8B4BA4}"/>
              </c:ext>
            </c:extLst>
          </c:dPt>
          <c:dPt>
            <c:idx val="4"/>
            <c:bubble3D val="0"/>
            <c:spPr>
              <a:solidFill>
                <a:schemeClr val="accent3"/>
              </a:solidFill>
              <a:ln>
                <a:noFill/>
              </a:ln>
            </c:spPr>
            <c:extLst>
              <c:ext xmlns:c16="http://schemas.microsoft.com/office/drawing/2014/chart" uri="{C3380CC4-5D6E-409C-BE32-E72D297353CC}">
                <c16:uniqueId val="{00000009-B72E-4523-9612-35C9CF8B4BA4}"/>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B72E-4523-9612-35C9CF8B4BA4}"/>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9780-47F7-A5C2-B967CEC08931}"/>
              </c:ext>
            </c:extLst>
          </c:dPt>
          <c:dPt>
            <c:idx val="1"/>
            <c:bubble3D val="0"/>
            <c:spPr>
              <a:solidFill>
                <a:schemeClr val="tx1"/>
              </a:solidFill>
              <a:ln>
                <a:noFill/>
              </a:ln>
            </c:spPr>
            <c:extLst>
              <c:ext xmlns:c16="http://schemas.microsoft.com/office/drawing/2014/chart" uri="{C3380CC4-5D6E-409C-BE32-E72D297353CC}">
                <c16:uniqueId val="{00000003-9780-47F7-A5C2-B967CEC08931}"/>
              </c:ext>
            </c:extLst>
          </c:dPt>
          <c:dPt>
            <c:idx val="2"/>
            <c:bubble3D val="0"/>
            <c:spPr>
              <a:noFill/>
            </c:spPr>
            <c:extLst>
              <c:ext xmlns:c16="http://schemas.microsoft.com/office/drawing/2014/chart" uri="{C3380CC4-5D6E-409C-BE32-E72D297353CC}">
                <c16:uniqueId val="{00000005-9780-47F7-A5C2-B967CEC08931}"/>
              </c:ext>
            </c:extLst>
          </c:dPt>
          <c:dPt>
            <c:idx val="3"/>
            <c:bubble3D val="0"/>
            <c:spPr>
              <a:noFill/>
            </c:spPr>
            <c:extLst>
              <c:ext xmlns:c16="http://schemas.microsoft.com/office/drawing/2014/chart" uri="{C3380CC4-5D6E-409C-BE32-E72D297353CC}">
                <c16:uniqueId val="{00000007-9780-47F7-A5C2-B967CEC08931}"/>
              </c:ext>
            </c:extLst>
          </c:dPt>
          <c:dPt>
            <c:idx val="4"/>
            <c:bubble3D val="0"/>
            <c:spPr>
              <a:solidFill>
                <a:schemeClr val="tx1"/>
              </a:solidFill>
              <a:ln>
                <a:noFill/>
              </a:ln>
            </c:spPr>
            <c:extLst>
              <c:ext xmlns:c16="http://schemas.microsoft.com/office/drawing/2014/chart" uri="{C3380CC4-5D6E-409C-BE32-E72D297353CC}">
                <c16:uniqueId val="{00000009-9780-47F7-A5C2-B967CEC08931}"/>
              </c:ext>
            </c:extLst>
          </c:dPt>
          <c:dPt>
            <c:idx val="5"/>
            <c:bubble3D val="0"/>
            <c:spPr>
              <a:noFill/>
            </c:spPr>
            <c:extLst>
              <c:ext xmlns:c16="http://schemas.microsoft.com/office/drawing/2014/chart" uri="{C3380CC4-5D6E-409C-BE32-E72D297353CC}">
                <c16:uniqueId val="{0000000B-9780-47F7-A5C2-B967CEC08931}"/>
              </c:ext>
            </c:extLst>
          </c:dPt>
          <c:dPt>
            <c:idx val="6"/>
            <c:bubble3D val="0"/>
            <c:spPr>
              <a:noFill/>
            </c:spPr>
            <c:extLst>
              <c:ext xmlns:c16="http://schemas.microsoft.com/office/drawing/2014/chart" uri="{C3380CC4-5D6E-409C-BE32-E72D297353CC}">
                <c16:uniqueId val="{0000000D-9780-47F7-A5C2-B967CEC08931}"/>
              </c:ext>
            </c:extLst>
          </c:dPt>
          <c:dPt>
            <c:idx val="7"/>
            <c:bubble3D val="0"/>
            <c:spPr>
              <a:solidFill>
                <a:schemeClr val="tx1"/>
              </a:solidFill>
              <a:ln>
                <a:noFill/>
              </a:ln>
            </c:spPr>
            <c:extLst>
              <c:ext xmlns:c16="http://schemas.microsoft.com/office/drawing/2014/chart" uri="{C3380CC4-5D6E-409C-BE32-E72D297353CC}">
                <c16:uniqueId val="{0000000F-9780-47F7-A5C2-B967CEC08931}"/>
              </c:ext>
            </c:extLst>
          </c:dPt>
          <c:dPt>
            <c:idx val="8"/>
            <c:bubble3D val="0"/>
            <c:spPr>
              <a:noFill/>
            </c:spPr>
            <c:extLst>
              <c:ext xmlns:c16="http://schemas.microsoft.com/office/drawing/2014/chart" uri="{C3380CC4-5D6E-409C-BE32-E72D297353CC}">
                <c16:uniqueId val="{00000011-9780-47F7-A5C2-B967CEC08931}"/>
              </c:ext>
            </c:extLst>
          </c:dPt>
          <c:dPt>
            <c:idx val="9"/>
            <c:bubble3D val="0"/>
            <c:spPr>
              <a:noFill/>
            </c:spPr>
            <c:extLst>
              <c:ext xmlns:c16="http://schemas.microsoft.com/office/drawing/2014/chart" uri="{C3380CC4-5D6E-409C-BE32-E72D297353CC}">
                <c16:uniqueId val="{00000013-9780-47F7-A5C2-B967CEC08931}"/>
              </c:ext>
            </c:extLst>
          </c:dPt>
          <c:dPt>
            <c:idx val="10"/>
            <c:bubble3D val="0"/>
            <c:spPr>
              <a:solidFill>
                <a:schemeClr val="tx1"/>
              </a:solidFill>
            </c:spPr>
            <c:extLst>
              <c:ext xmlns:c16="http://schemas.microsoft.com/office/drawing/2014/chart" uri="{C3380CC4-5D6E-409C-BE32-E72D297353CC}">
                <c16:uniqueId val="{00000015-9780-47F7-A5C2-B967CEC08931}"/>
              </c:ext>
            </c:extLst>
          </c:dPt>
          <c:dPt>
            <c:idx val="11"/>
            <c:bubble3D val="0"/>
            <c:spPr>
              <a:noFill/>
            </c:spPr>
            <c:extLst>
              <c:ext xmlns:c16="http://schemas.microsoft.com/office/drawing/2014/chart" uri="{C3380CC4-5D6E-409C-BE32-E72D297353CC}">
                <c16:uniqueId val="{00000017-9780-47F7-A5C2-B967CEC08931}"/>
              </c:ext>
            </c:extLst>
          </c:dPt>
          <c:dPt>
            <c:idx val="12"/>
            <c:bubble3D val="0"/>
            <c:spPr>
              <a:noFill/>
            </c:spPr>
            <c:extLst>
              <c:ext xmlns:c16="http://schemas.microsoft.com/office/drawing/2014/chart" uri="{C3380CC4-5D6E-409C-BE32-E72D297353CC}">
                <c16:uniqueId val="{00000019-9780-47F7-A5C2-B967CEC08931}"/>
              </c:ext>
            </c:extLst>
          </c:dPt>
          <c:dPt>
            <c:idx val="13"/>
            <c:bubble3D val="0"/>
            <c:spPr>
              <a:solidFill>
                <a:schemeClr val="tx1"/>
              </a:solidFill>
            </c:spPr>
            <c:extLst>
              <c:ext xmlns:c16="http://schemas.microsoft.com/office/drawing/2014/chart" uri="{C3380CC4-5D6E-409C-BE32-E72D297353CC}">
                <c16:uniqueId val="{0000001B-9780-47F7-A5C2-B967CEC08931}"/>
              </c:ext>
            </c:extLst>
          </c:dPt>
          <c:dPt>
            <c:idx val="14"/>
            <c:bubble3D val="0"/>
            <c:spPr>
              <a:noFill/>
            </c:spPr>
            <c:extLst>
              <c:ext xmlns:c16="http://schemas.microsoft.com/office/drawing/2014/chart" uri="{C3380CC4-5D6E-409C-BE32-E72D297353CC}">
                <c16:uniqueId val="{0000001D-9780-47F7-A5C2-B967CEC08931}"/>
              </c:ext>
            </c:extLst>
          </c:dPt>
          <c:dPt>
            <c:idx val="15"/>
            <c:bubble3D val="0"/>
            <c:spPr>
              <a:noFill/>
            </c:spPr>
            <c:extLst>
              <c:ext xmlns:c16="http://schemas.microsoft.com/office/drawing/2014/chart" uri="{C3380CC4-5D6E-409C-BE32-E72D297353CC}">
                <c16:uniqueId val="{0000001F-9780-47F7-A5C2-B967CEC08931}"/>
              </c:ext>
            </c:extLst>
          </c:dPt>
          <c:dPt>
            <c:idx val="16"/>
            <c:bubble3D val="0"/>
            <c:spPr>
              <a:solidFill>
                <a:schemeClr val="tx1"/>
              </a:solidFill>
            </c:spPr>
            <c:extLst>
              <c:ext xmlns:c16="http://schemas.microsoft.com/office/drawing/2014/chart" uri="{C3380CC4-5D6E-409C-BE32-E72D297353CC}">
                <c16:uniqueId val="{00000021-9780-47F7-A5C2-B967CEC08931}"/>
              </c:ext>
            </c:extLst>
          </c:dPt>
          <c:dPt>
            <c:idx val="17"/>
            <c:bubble3D val="0"/>
            <c:spPr>
              <a:noFill/>
            </c:spPr>
            <c:extLst>
              <c:ext xmlns:c16="http://schemas.microsoft.com/office/drawing/2014/chart" uri="{C3380CC4-5D6E-409C-BE32-E72D297353CC}">
                <c16:uniqueId val="{00000023-9780-47F7-A5C2-B967CEC08931}"/>
              </c:ext>
            </c:extLst>
          </c:dPt>
          <c:dPt>
            <c:idx val="18"/>
            <c:bubble3D val="0"/>
            <c:spPr>
              <a:noFill/>
            </c:spPr>
            <c:extLst>
              <c:ext xmlns:c16="http://schemas.microsoft.com/office/drawing/2014/chart" uri="{C3380CC4-5D6E-409C-BE32-E72D297353CC}">
                <c16:uniqueId val="{00000025-9780-47F7-A5C2-B967CEC08931}"/>
              </c:ext>
            </c:extLst>
          </c:dPt>
          <c:dPt>
            <c:idx val="19"/>
            <c:bubble3D val="0"/>
            <c:spPr>
              <a:solidFill>
                <a:schemeClr val="tx1"/>
              </a:solidFill>
            </c:spPr>
            <c:extLst>
              <c:ext xmlns:c16="http://schemas.microsoft.com/office/drawing/2014/chart" uri="{C3380CC4-5D6E-409C-BE32-E72D297353CC}">
                <c16:uniqueId val="{00000027-9780-47F7-A5C2-B967CEC08931}"/>
              </c:ext>
            </c:extLst>
          </c:dPt>
          <c:dPt>
            <c:idx val="20"/>
            <c:bubble3D val="0"/>
            <c:spPr>
              <a:noFill/>
            </c:spPr>
            <c:extLst>
              <c:ext xmlns:c16="http://schemas.microsoft.com/office/drawing/2014/chart" uri="{C3380CC4-5D6E-409C-BE32-E72D297353CC}">
                <c16:uniqueId val="{00000029-9780-47F7-A5C2-B967CEC08931}"/>
              </c:ext>
            </c:extLst>
          </c:dPt>
          <c:dPt>
            <c:idx val="21"/>
            <c:bubble3D val="0"/>
            <c:spPr>
              <a:noFill/>
            </c:spPr>
            <c:extLst>
              <c:ext xmlns:c16="http://schemas.microsoft.com/office/drawing/2014/chart" uri="{C3380CC4-5D6E-409C-BE32-E72D297353CC}">
                <c16:uniqueId val="{0000002B-9780-47F7-A5C2-B967CEC08931}"/>
              </c:ext>
            </c:extLst>
          </c:dPt>
          <c:dPt>
            <c:idx val="22"/>
            <c:bubble3D val="0"/>
            <c:spPr>
              <a:solidFill>
                <a:schemeClr val="tx1"/>
              </a:solidFill>
            </c:spPr>
            <c:extLst>
              <c:ext xmlns:c16="http://schemas.microsoft.com/office/drawing/2014/chart" uri="{C3380CC4-5D6E-409C-BE32-E72D297353CC}">
                <c16:uniqueId val="{0000002D-9780-47F7-A5C2-B967CEC08931}"/>
              </c:ext>
            </c:extLst>
          </c:dPt>
          <c:dPt>
            <c:idx val="23"/>
            <c:bubble3D val="0"/>
            <c:spPr>
              <a:noFill/>
            </c:spPr>
            <c:extLst>
              <c:ext xmlns:c16="http://schemas.microsoft.com/office/drawing/2014/chart" uri="{C3380CC4-5D6E-409C-BE32-E72D297353CC}">
                <c16:uniqueId val="{0000002F-9780-47F7-A5C2-B967CEC08931}"/>
              </c:ext>
            </c:extLst>
          </c:dPt>
          <c:dPt>
            <c:idx val="24"/>
            <c:bubble3D val="0"/>
            <c:spPr>
              <a:noFill/>
            </c:spPr>
            <c:extLst>
              <c:ext xmlns:c16="http://schemas.microsoft.com/office/drawing/2014/chart" uri="{C3380CC4-5D6E-409C-BE32-E72D297353CC}">
                <c16:uniqueId val="{00000031-9780-47F7-A5C2-B967CEC08931}"/>
              </c:ext>
            </c:extLst>
          </c:dPt>
          <c:dPt>
            <c:idx val="25"/>
            <c:bubble3D val="0"/>
            <c:spPr>
              <a:solidFill>
                <a:schemeClr val="tx1"/>
              </a:solidFill>
            </c:spPr>
            <c:extLst>
              <c:ext xmlns:c16="http://schemas.microsoft.com/office/drawing/2014/chart" uri="{C3380CC4-5D6E-409C-BE32-E72D297353CC}">
                <c16:uniqueId val="{00000033-9780-47F7-A5C2-B967CEC08931}"/>
              </c:ext>
            </c:extLst>
          </c:dPt>
          <c:dPt>
            <c:idx val="26"/>
            <c:bubble3D val="0"/>
            <c:spPr>
              <a:noFill/>
            </c:spPr>
            <c:extLst>
              <c:ext xmlns:c16="http://schemas.microsoft.com/office/drawing/2014/chart" uri="{C3380CC4-5D6E-409C-BE32-E72D297353CC}">
                <c16:uniqueId val="{00000035-9780-47F7-A5C2-B967CEC08931}"/>
              </c:ext>
            </c:extLst>
          </c:dPt>
          <c:dPt>
            <c:idx val="27"/>
            <c:bubble3D val="0"/>
            <c:spPr>
              <a:noFill/>
            </c:spPr>
            <c:extLst>
              <c:ext xmlns:c16="http://schemas.microsoft.com/office/drawing/2014/chart" uri="{C3380CC4-5D6E-409C-BE32-E72D297353CC}">
                <c16:uniqueId val="{00000037-9780-47F7-A5C2-B967CEC08931}"/>
              </c:ext>
            </c:extLst>
          </c:dPt>
          <c:dPt>
            <c:idx val="28"/>
            <c:bubble3D val="0"/>
            <c:spPr>
              <a:solidFill>
                <a:schemeClr val="tx1"/>
              </a:solidFill>
            </c:spPr>
            <c:extLst>
              <c:ext xmlns:c16="http://schemas.microsoft.com/office/drawing/2014/chart" uri="{C3380CC4-5D6E-409C-BE32-E72D297353CC}">
                <c16:uniqueId val="{00000039-9780-47F7-A5C2-B967CEC08931}"/>
              </c:ext>
            </c:extLst>
          </c:dPt>
          <c:dPt>
            <c:idx val="29"/>
            <c:bubble3D val="0"/>
            <c:spPr>
              <a:noFill/>
            </c:spPr>
            <c:extLst>
              <c:ext xmlns:c16="http://schemas.microsoft.com/office/drawing/2014/chart" uri="{C3380CC4-5D6E-409C-BE32-E72D297353CC}">
                <c16:uniqueId val="{0000003B-9780-47F7-A5C2-B967CEC08931}"/>
              </c:ext>
            </c:extLst>
          </c:dPt>
          <c:dPt>
            <c:idx val="30"/>
            <c:bubble3D val="0"/>
            <c:spPr>
              <a:noFill/>
            </c:spPr>
            <c:extLst>
              <c:ext xmlns:c16="http://schemas.microsoft.com/office/drawing/2014/chart" uri="{C3380CC4-5D6E-409C-BE32-E72D297353CC}">
                <c16:uniqueId val="{0000003D-9780-47F7-A5C2-B967CEC08931}"/>
              </c:ext>
            </c:extLst>
          </c:dPt>
          <c:dPt>
            <c:idx val="31"/>
            <c:bubble3D val="0"/>
            <c:spPr>
              <a:solidFill>
                <a:schemeClr val="tx1"/>
              </a:solidFill>
            </c:spPr>
            <c:extLst>
              <c:ext xmlns:c16="http://schemas.microsoft.com/office/drawing/2014/chart" uri="{C3380CC4-5D6E-409C-BE32-E72D297353CC}">
                <c16:uniqueId val="{0000003F-9780-47F7-A5C2-B967CEC08931}"/>
              </c:ext>
            </c:extLst>
          </c:dPt>
          <c:dPt>
            <c:idx val="32"/>
            <c:bubble3D val="0"/>
            <c:spPr>
              <a:noFill/>
            </c:spPr>
            <c:extLst>
              <c:ext xmlns:c16="http://schemas.microsoft.com/office/drawing/2014/chart" uri="{C3380CC4-5D6E-409C-BE32-E72D297353CC}">
                <c16:uniqueId val="{00000041-9780-47F7-A5C2-B967CEC08931}"/>
              </c:ext>
            </c:extLst>
          </c:dPt>
          <c:dPt>
            <c:idx val="33"/>
            <c:bubble3D val="0"/>
            <c:spPr>
              <a:noFill/>
            </c:spPr>
            <c:extLst>
              <c:ext xmlns:c16="http://schemas.microsoft.com/office/drawing/2014/chart" uri="{C3380CC4-5D6E-409C-BE32-E72D297353CC}">
                <c16:uniqueId val="{00000043-9780-47F7-A5C2-B967CEC08931}"/>
              </c:ext>
            </c:extLst>
          </c:dPt>
          <c:cat>
            <c:strRef>
              <c:f>tlGraphs!$E$64:$E$97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tlGraphs!$F$64:$F$97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2.5000000000000001E-2</c:v>
                </c:pt>
                <c:pt idx="22">
                  <c:v>5.0000000000000001E-3</c:v>
                </c:pt>
                <c:pt idx="23">
                  <c:v>2.5000000000000001E-2</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9780-47F7-A5C2-B967CEC0893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F7C-43C6-BB4C-D3C166441382}"/>
              </c:ext>
            </c:extLst>
          </c:dPt>
          <c:dPt>
            <c:idx val="1"/>
            <c:bubble3D val="0"/>
            <c:spPr>
              <a:solidFill>
                <a:srgbClr val="054680"/>
              </a:solidFill>
              <a:ln>
                <a:noFill/>
              </a:ln>
            </c:spPr>
            <c:extLst>
              <c:ext xmlns:c16="http://schemas.microsoft.com/office/drawing/2014/chart" uri="{C3380CC4-5D6E-409C-BE32-E72D297353CC}">
                <c16:uniqueId val="{00000003-9F7C-43C6-BB4C-D3C166441382}"/>
              </c:ext>
            </c:extLst>
          </c:dPt>
          <c:dPt>
            <c:idx val="2"/>
            <c:bubble3D val="0"/>
            <c:spPr>
              <a:noFill/>
            </c:spPr>
            <c:extLst>
              <c:ext xmlns:c16="http://schemas.microsoft.com/office/drawing/2014/chart" uri="{C3380CC4-5D6E-409C-BE32-E72D297353CC}">
                <c16:uniqueId val="{00000005-9F7C-43C6-BB4C-D3C166441382}"/>
              </c:ext>
            </c:extLst>
          </c:dPt>
          <c:dPt>
            <c:idx val="3"/>
            <c:bubble3D val="0"/>
            <c:spPr>
              <a:solidFill>
                <a:srgbClr val="CBE4EB"/>
              </a:solidFill>
              <a:ln>
                <a:noFill/>
              </a:ln>
            </c:spPr>
            <c:extLst>
              <c:ext xmlns:c16="http://schemas.microsoft.com/office/drawing/2014/chart" uri="{C3380CC4-5D6E-409C-BE32-E72D297353CC}">
                <c16:uniqueId val="{00000007-9F7C-43C6-BB4C-D3C166441382}"/>
              </c:ext>
            </c:extLst>
          </c:dPt>
          <c:dPt>
            <c:idx val="4"/>
            <c:bubble3D val="0"/>
            <c:spPr>
              <a:solidFill>
                <a:srgbClr val="007AC5"/>
              </a:solidFill>
              <a:ln>
                <a:noFill/>
              </a:ln>
            </c:spPr>
            <c:extLst>
              <c:ext xmlns:c16="http://schemas.microsoft.com/office/drawing/2014/chart" uri="{C3380CC4-5D6E-409C-BE32-E72D297353CC}">
                <c16:uniqueId val="{00000009-9F7C-43C6-BB4C-D3C166441382}"/>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F7C-43C6-BB4C-D3C166441382}"/>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FF4-4A70-9C04-88996E70166B}"/>
              </c:ext>
            </c:extLst>
          </c:dPt>
          <c:dPt>
            <c:idx val="1"/>
            <c:bubble3D val="0"/>
            <c:spPr>
              <a:solidFill>
                <a:schemeClr val="tx1"/>
              </a:solidFill>
              <a:ln>
                <a:noFill/>
              </a:ln>
            </c:spPr>
            <c:extLst>
              <c:ext xmlns:c16="http://schemas.microsoft.com/office/drawing/2014/chart" uri="{C3380CC4-5D6E-409C-BE32-E72D297353CC}">
                <c16:uniqueId val="{00000003-7FF4-4A70-9C04-88996E70166B}"/>
              </c:ext>
            </c:extLst>
          </c:dPt>
          <c:dPt>
            <c:idx val="2"/>
            <c:bubble3D val="0"/>
            <c:spPr>
              <a:noFill/>
            </c:spPr>
            <c:extLst>
              <c:ext xmlns:c16="http://schemas.microsoft.com/office/drawing/2014/chart" uri="{C3380CC4-5D6E-409C-BE32-E72D297353CC}">
                <c16:uniqueId val="{00000005-7FF4-4A70-9C04-88996E70166B}"/>
              </c:ext>
            </c:extLst>
          </c:dPt>
          <c:dPt>
            <c:idx val="3"/>
            <c:bubble3D val="0"/>
            <c:spPr>
              <a:noFill/>
            </c:spPr>
            <c:extLst>
              <c:ext xmlns:c16="http://schemas.microsoft.com/office/drawing/2014/chart" uri="{C3380CC4-5D6E-409C-BE32-E72D297353CC}">
                <c16:uniqueId val="{00000007-7FF4-4A70-9C04-88996E70166B}"/>
              </c:ext>
            </c:extLst>
          </c:dPt>
          <c:dPt>
            <c:idx val="4"/>
            <c:bubble3D val="0"/>
            <c:spPr>
              <a:solidFill>
                <a:schemeClr val="tx1"/>
              </a:solidFill>
              <a:ln>
                <a:noFill/>
              </a:ln>
            </c:spPr>
            <c:extLst>
              <c:ext xmlns:c16="http://schemas.microsoft.com/office/drawing/2014/chart" uri="{C3380CC4-5D6E-409C-BE32-E72D297353CC}">
                <c16:uniqueId val="{00000009-7FF4-4A70-9C04-88996E70166B}"/>
              </c:ext>
            </c:extLst>
          </c:dPt>
          <c:dPt>
            <c:idx val="5"/>
            <c:bubble3D val="0"/>
            <c:spPr>
              <a:noFill/>
            </c:spPr>
            <c:extLst>
              <c:ext xmlns:c16="http://schemas.microsoft.com/office/drawing/2014/chart" uri="{C3380CC4-5D6E-409C-BE32-E72D297353CC}">
                <c16:uniqueId val="{0000000B-7FF4-4A70-9C04-88996E70166B}"/>
              </c:ext>
            </c:extLst>
          </c:dPt>
          <c:dPt>
            <c:idx val="6"/>
            <c:bubble3D val="0"/>
            <c:spPr>
              <a:noFill/>
            </c:spPr>
            <c:extLst>
              <c:ext xmlns:c16="http://schemas.microsoft.com/office/drawing/2014/chart" uri="{C3380CC4-5D6E-409C-BE32-E72D297353CC}">
                <c16:uniqueId val="{0000000D-7FF4-4A70-9C04-88996E70166B}"/>
              </c:ext>
            </c:extLst>
          </c:dPt>
          <c:dPt>
            <c:idx val="7"/>
            <c:bubble3D val="0"/>
            <c:spPr>
              <a:solidFill>
                <a:schemeClr val="tx1"/>
              </a:solidFill>
              <a:ln>
                <a:noFill/>
              </a:ln>
            </c:spPr>
            <c:extLst>
              <c:ext xmlns:c16="http://schemas.microsoft.com/office/drawing/2014/chart" uri="{C3380CC4-5D6E-409C-BE32-E72D297353CC}">
                <c16:uniqueId val="{0000000F-7FF4-4A70-9C04-88996E70166B}"/>
              </c:ext>
            </c:extLst>
          </c:dPt>
          <c:dPt>
            <c:idx val="8"/>
            <c:bubble3D val="0"/>
            <c:spPr>
              <a:noFill/>
            </c:spPr>
            <c:extLst>
              <c:ext xmlns:c16="http://schemas.microsoft.com/office/drawing/2014/chart" uri="{C3380CC4-5D6E-409C-BE32-E72D297353CC}">
                <c16:uniqueId val="{00000011-7FF4-4A70-9C04-88996E70166B}"/>
              </c:ext>
            </c:extLst>
          </c:dPt>
          <c:dPt>
            <c:idx val="9"/>
            <c:bubble3D val="0"/>
            <c:spPr>
              <a:noFill/>
            </c:spPr>
            <c:extLst>
              <c:ext xmlns:c16="http://schemas.microsoft.com/office/drawing/2014/chart" uri="{C3380CC4-5D6E-409C-BE32-E72D297353CC}">
                <c16:uniqueId val="{00000013-7FF4-4A70-9C04-88996E70166B}"/>
              </c:ext>
            </c:extLst>
          </c:dPt>
          <c:dPt>
            <c:idx val="10"/>
            <c:bubble3D val="0"/>
            <c:spPr>
              <a:solidFill>
                <a:schemeClr val="tx1"/>
              </a:solidFill>
            </c:spPr>
            <c:extLst>
              <c:ext xmlns:c16="http://schemas.microsoft.com/office/drawing/2014/chart" uri="{C3380CC4-5D6E-409C-BE32-E72D297353CC}">
                <c16:uniqueId val="{00000015-7FF4-4A70-9C04-88996E70166B}"/>
              </c:ext>
            </c:extLst>
          </c:dPt>
          <c:dPt>
            <c:idx val="11"/>
            <c:bubble3D val="0"/>
            <c:spPr>
              <a:noFill/>
            </c:spPr>
            <c:extLst>
              <c:ext xmlns:c16="http://schemas.microsoft.com/office/drawing/2014/chart" uri="{C3380CC4-5D6E-409C-BE32-E72D297353CC}">
                <c16:uniqueId val="{00000017-7FF4-4A70-9C04-88996E70166B}"/>
              </c:ext>
            </c:extLst>
          </c:dPt>
          <c:dPt>
            <c:idx val="12"/>
            <c:bubble3D val="0"/>
            <c:spPr>
              <a:noFill/>
            </c:spPr>
            <c:extLst>
              <c:ext xmlns:c16="http://schemas.microsoft.com/office/drawing/2014/chart" uri="{C3380CC4-5D6E-409C-BE32-E72D297353CC}">
                <c16:uniqueId val="{00000019-7FF4-4A70-9C04-88996E70166B}"/>
              </c:ext>
            </c:extLst>
          </c:dPt>
          <c:dPt>
            <c:idx val="13"/>
            <c:bubble3D val="0"/>
            <c:spPr>
              <a:solidFill>
                <a:schemeClr val="tx1"/>
              </a:solidFill>
            </c:spPr>
            <c:extLst>
              <c:ext xmlns:c16="http://schemas.microsoft.com/office/drawing/2014/chart" uri="{C3380CC4-5D6E-409C-BE32-E72D297353CC}">
                <c16:uniqueId val="{0000001B-7FF4-4A70-9C04-88996E70166B}"/>
              </c:ext>
            </c:extLst>
          </c:dPt>
          <c:dPt>
            <c:idx val="14"/>
            <c:bubble3D val="0"/>
            <c:spPr>
              <a:noFill/>
            </c:spPr>
            <c:extLst>
              <c:ext xmlns:c16="http://schemas.microsoft.com/office/drawing/2014/chart" uri="{C3380CC4-5D6E-409C-BE32-E72D297353CC}">
                <c16:uniqueId val="{0000001D-7FF4-4A70-9C04-88996E70166B}"/>
              </c:ext>
            </c:extLst>
          </c:dPt>
          <c:dPt>
            <c:idx val="15"/>
            <c:bubble3D val="0"/>
            <c:spPr>
              <a:noFill/>
            </c:spPr>
            <c:extLst>
              <c:ext xmlns:c16="http://schemas.microsoft.com/office/drawing/2014/chart" uri="{C3380CC4-5D6E-409C-BE32-E72D297353CC}">
                <c16:uniqueId val="{0000001F-7FF4-4A70-9C04-88996E70166B}"/>
              </c:ext>
            </c:extLst>
          </c:dPt>
          <c:dPt>
            <c:idx val="16"/>
            <c:bubble3D val="0"/>
            <c:spPr>
              <a:solidFill>
                <a:schemeClr val="tx1"/>
              </a:solidFill>
            </c:spPr>
            <c:extLst>
              <c:ext xmlns:c16="http://schemas.microsoft.com/office/drawing/2014/chart" uri="{C3380CC4-5D6E-409C-BE32-E72D297353CC}">
                <c16:uniqueId val="{00000021-7FF4-4A70-9C04-88996E70166B}"/>
              </c:ext>
            </c:extLst>
          </c:dPt>
          <c:dPt>
            <c:idx val="17"/>
            <c:bubble3D val="0"/>
            <c:spPr>
              <a:noFill/>
            </c:spPr>
            <c:extLst>
              <c:ext xmlns:c16="http://schemas.microsoft.com/office/drawing/2014/chart" uri="{C3380CC4-5D6E-409C-BE32-E72D297353CC}">
                <c16:uniqueId val="{00000023-7FF4-4A70-9C04-88996E70166B}"/>
              </c:ext>
            </c:extLst>
          </c:dPt>
          <c:dPt>
            <c:idx val="18"/>
            <c:bubble3D val="0"/>
            <c:spPr>
              <a:noFill/>
            </c:spPr>
            <c:extLst>
              <c:ext xmlns:c16="http://schemas.microsoft.com/office/drawing/2014/chart" uri="{C3380CC4-5D6E-409C-BE32-E72D297353CC}">
                <c16:uniqueId val="{00000025-7FF4-4A70-9C04-88996E70166B}"/>
              </c:ext>
            </c:extLst>
          </c:dPt>
          <c:dPt>
            <c:idx val="19"/>
            <c:bubble3D val="0"/>
            <c:spPr>
              <a:solidFill>
                <a:schemeClr val="tx1"/>
              </a:solidFill>
            </c:spPr>
            <c:extLst>
              <c:ext xmlns:c16="http://schemas.microsoft.com/office/drawing/2014/chart" uri="{C3380CC4-5D6E-409C-BE32-E72D297353CC}">
                <c16:uniqueId val="{00000027-7FF4-4A70-9C04-88996E70166B}"/>
              </c:ext>
            </c:extLst>
          </c:dPt>
          <c:dPt>
            <c:idx val="20"/>
            <c:bubble3D val="0"/>
            <c:spPr>
              <a:noFill/>
            </c:spPr>
            <c:extLst>
              <c:ext xmlns:c16="http://schemas.microsoft.com/office/drawing/2014/chart" uri="{C3380CC4-5D6E-409C-BE32-E72D297353CC}">
                <c16:uniqueId val="{00000029-7FF4-4A70-9C04-88996E70166B}"/>
              </c:ext>
            </c:extLst>
          </c:dPt>
          <c:dPt>
            <c:idx val="21"/>
            <c:bubble3D val="0"/>
            <c:spPr>
              <a:noFill/>
            </c:spPr>
            <c:extLst>
              <c:ext xmlns:c16="http://schemas.microsoft.com/office/drawing/2014/chart" uri="{C3380CC4-5D6E-409C-BE32-E72D297353CC}">
                <c16:uniqueId val="{0000002B-7FF4-4A70-9C04-88996E70166B}"/>
              </c:ext>
            </c:extLst>
          </c:dPt>
          <c:dPt>
            <c:idx val="22"/>
            <c:bubble3D val="0"/>
            <c:spPr>
              <a:solidFill>
                <a:schemeClr val="tx1"/>
              </a:solidFill>
            </c:spPr>
            <c:extLst>
              <c:ext xmlns:c16="http://schemas.microsoft.com/office/drawing/2014/chart" uri="{C3380CC4-5D6E-409C-BE32-E72D297353CC}">
                <c16:uniqueId val="{0000002D-7FF4-4A70-9C04-88996E70166B}"/>
              </c:ext>
            </c:extLst>
          </c:dPt>
          <c:dPt>
            <c:idx val="23"/>
            <c:bubble3D val="0"/>
            <c:spPr>
              <a:noFill/>
            </c:spPr>
            <c:extLst>
              <c:ext xmlns:c16="http://schemas.microsoft.com/office/drawing/2014/chart" uri="{C3380CC4-5D6E-409C-BE32-E72D297353CC}">
                <c16:uniqueId val="{0000002F-7FF4-4A70-9C04-88996E70166B}"/>
              </c:ext>
            </c:extLst>
          </c:dPt>
          <c:dPt>
            <c:idx val="24"/>
            <c:bubble3D val="0"/>
            <c:spPr>
              <a:noFill/>
            </c:spPr>
            <c:extLst>
              <c:ext xmlns:c16="http://schemas.microsoft.com/office/drawing/2014/chart" uri="{C3380CC4-5D6E-409C-BE32-E72D297353CC}">
                <c16:uniqueId val="{00000031-7FF4-4A70-9C04-88996E70166B}"/>
              </c:ext>
            </c:extLst>
          </c:dPt>
          <c:dPt>
            <c:idx val="25"/>
            <c:bubble3D val="0"/>
            <c:spPr>
              <a:solidFill>
                <a:schemeClr val="tx1"/>
              </a:solidFill>
            </c:spPr>
            <c:extLst>
              <c:ext xmlns:c16="http://schemas.microsoft.com/office/drawing/2014/chart" uri="{C3380CC4-5D6E-409C-BE32-E72D297353CC}">
                <c16:uniqueId val="{00000033-7FF4-4A70-9C04-88996E70166B}"/>
              </c:ext>
            </c:extLst>
          </c:dPt>
          <c:dPt>
            <c:idx val="26"/>
            <c:bubble3D val="0"/>
            <c:spPr>
              <a:noFill/>
            </c:spPr>
            <c:extLst>
              <c:ext xmlns:c16="http://schemas.microsoft.com/office/drawing/2014/chart" uri="{C3380CC4-5D6E-409C-BE32-E72D297353CC}">
                <c16:uniqueId val="{00000035-7FF4-4A70-9C04-88996E70166B}"/>
              </c:ext>
            </c:extLst>
          </c:dPt>
          <c:dPt>
            <c:idx val="27"/>
            <c:bubble3D val="0"/>
            <c:spPr>
              <a:noFill/>
            </c:spPr>
            <c:extLst>
              <c:ext xmlns:c16="http://schemas.microsoft.com/office/drawing/2014/chart" uri="{C3380CC4-5D6E-409C-BE32-E72D297353CC}">
                <c16:uniqueId val="{00000037-7FF4-4A70-9C04-88996E70166B}"/>
              </c:ext>
            </c:extLst>
          </c:dPt>
          <c:dPt>
            <c:idx val="28"/>
            <c:bubble3D val="0"/>
            <c:spPr>
              <a:solidFill>
                <a:schemeClr val="tx1"/>
              </a:solidFill>
            </c:spPr>
            <c:extLst>
              <c:ext xmlns:c16="http://schemas.microsoft.com/office/drawing/2014/chart" uri="{C3380CC4-5D6E-409C-BE32-E72D297353CC}">
                <c16:uniqueId val="{00000039-7FF4-4A70-9C04-88996E70166B}"/>
              </c:ext>
            </c:extLst>
          </c:dPt>
          <c:dPt>
            <c:idx val="29"/>
            <c:bubble3D val="0"/>
            <c:spPr>
              <a:noFill/>
            </c:spPr>
            <c:extLst>
              <c:ext xmlns:c16="http://schemas.microsoft.com/office/drawing/2014/chart" uri="{C3380CC4-5D6E-409C-BE32-E72D297353CC}">
                <c16:uniqueId val="{0000003B-7FF4-4A70-9C04-88996E70166B}"/>
              </c:ext>
            </c:extLst>
          </c:dPt>
          <c:dPt>
            <c:idx val="30"/>
            <c:bubble3D val="0"/>
            <c:spPr>
              <a:noFill/>
            </c:spPr>
            <c:extLst>
              <c:ext xmlns:c16="http://schemas.microsoft.com/office/drawing/2014/chart" uri="{C3380CC4-5D6E-409C-BE32-E72D297353CC}">
                <c16:uniqueId val="{0000003D-7FF4-4A70-9C04-88996E70166B}"/>
              </c:ext>
            </c:extLst>
          </c:dPt>
          <c:dPt>
            <c:idx val="31"/>
            <c:bubble3D val="0"/>
            <c:spPr>
              <a:solidFill>
                <a:schemeClr val="tx1"/>
              </a:solidFill>
            </c:spPr>
            <c:extLst>
              <c:ext xmlns:c16="http://schemas.microsoft.com/office/drawing/2014/chart" uri="{C3380CC4-5D6E-409C-BE32-E72D297353CC}">
                <c16:uniqueId val="{0000003F-7FF4-4A70-9C04-88996E70166B}"/>
              </c:ext>
            </c:extLst>
          </c:dPt>
          <c:dPt>
            <c:idx val="32"/>
            <c:bubble3D val="0"/>
            <c:spPr>
              <a:noFill/>
            </c:spPr>
            <c:extLst>
              <c:ext xmlns:c16="http://schemas.microsoft.com/office/drawing/2014/chart" uri="{C3380CC4-5D6E-409C-BE32-E72D297353CC}">
                <c16:uniqueId val="{00000041-7FF4-4A70-9C04-88996E70166B}"/>
              </c:ext>
            </c:extLst>
          </c:dPt>
          <c:dPt>
            <c:idx val="33"/>
            <c:bubble3D val="0"/>
            <c:spPr>
              <a:noFill/>
            </c:spPr>
            <c:extLst>
              <c:ext xmlns:c16="http://schemas.microsoft.com/office/drawing/2014/chart" uri="{C3380CC4-5D6E-409C-BE32-E72D297353CC}">
                <c16:uniqueId val="{00000043-7FF4-4A70-9C04-88996E70166B}"/>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FF4-4A70-9C04-88996E70166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4529-4518-B96D-2F269BB92DF8}"/>
              </c:ext>
            </c:extLst>
          </c:dPt>
          <c:dPt>
            <c:idx val="1"/>
            <c:bubble3D val="0"/>
            <c:spPr>
              <a:solidFill>
                <a:srgbClr val="054680"/>
              </a:solidFill>
              <a:ln>
                <a:noFill/>
              </a:ln>
            </c:spPr>
            <c:extLst>
              <c:ext xmlns:c16="http://schemas.microsoft.com/office/drawing/2014/chart" uri="{C3380CC4-5D6E-409C-BE32-E72D297353CC}">
                <c16:uniqueId val="{00000003-4529-4518-B96D-2F269BB92DF8}"/>
              </c:ext>
            </c:extLst>
          </c:dPt>
          <c:dPt>
            <c:idx val="2"/>
            <c:bubble3D val="0"/>
            <c:spPr>
              <a:noFill/>
            </c:spPr>
            <c:extLst>
              <c:ext xmlns:c16="http://schemas.microsoft.com/office/drawing/2014/chart" uri="{C3380CC4-5D6E-409C-BE32-E72D297353CC}">
                <c16:uniqueId val="{00000005-4529-4518-B96D-2F269BB92DF8}"/>
              </c:ext>
            </c:extLst>
          </c:dPt>
          <c:dPt>
            <c:idx val="3"/>
            <c:bubble3D val="0"/>
            <c:spPr>
              <a:solidFill>
                <a:srgbClr val="CBE4EB"/>
              </a:solidFill>
              <a:ln>
                <a:noFill/>
              </a:ln>
            </c:spPr>
            <c:extLst>
              <c:ext xmlns:c16="http://schemas.microsoft.com/office/drawing/2014/chart" uri="{C3380CC4-5D6E-409C-BE32-E72D297353CC}">
                <c16:uniqueId val="{00000007-4529-4518-B96D-2F269BB92DF8}"/>
              </c:ext>
            </c:extLst>
          </c:dPt>
          <c:dPt>
            <c:idx val="4"/>
            <c:bubble3D val="0"/>
            <c:spPr>
              <a:solidFill>
                <a:srgbClr val="007AC5"/>
              </a:solidFill>
              <a:ln>
                <a:noFill/>
              </a:ln>
            </c:spPr>
            <c:extLst>
              <c:ext xmlns:c16="http://schemas.microsoft.com/office/drawing/2014/chart" uri="{C3380CC4-5D6E-409C-BE32-E72D297353CC}">
                <c16:uniqueId val="{00000009-4529-4518-B96D-2F269BB92DF8}"/>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4529-4518-B96D-2F269BB92DF8}"/>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3F1-4B5F-97F7-E38D5663E115}"/>
              </c:ext>
            </c:extLst>
          </c:dPt>
          <c:dPt>
            <c:idx val="1"/>
            <c:bubble3D val="0"/>
            <c:spPr>
              <a:solidFill>
                <a:schemeClr val="tx1"/>
              </a:solidFill>
              <a:ln>
                <a:noFill/>
              </a:ln>
            </c:spPr>
            <c:extLst>
              <c:ext xmlns:c16="http://schemas.microsoft.com/office/drawing/2014/chart" uri="{C3380CC4-5D6E-409C-BE32-E72D297353CC}">
                <c16:uniqueId val="{00000003-23F1-4B5F-97F7-E38D5663E115}"/>
              </c:ext>
            </c:extLst>
          </c:dPt>
          <c:dPt>
            <c:idx val="2"/>
            <c:bubble3D val="0"/>
            <c:spPr>
              <a:noFill/>
            </c:spPr>
            <c:extLst>
              <c:ext xmlns:c16="http://schemas.microsoft.com/office/drawing/2014/chart" uri="{C3380CC4-5D6E-409C-BE32-E72D297353CC}">
                <c16:uniqueId val="{00000005-23F1-4B5F-97F7-E38D5663E115}"/>
              </c:ext>
            </c:extLst>
          </c:dPt>
          <c:dPt>
            <c:idx val="3"/>
            <c:bubble3D val="0"/>
            <c:spPr>
              <a:noFill/>
            </c:spPr>
            <c:extLst>
              <c:ext xmlns:c16="http://schemas.microsoft.com/office/drawing/2014/chart" uri="{C3380CC4-5D6E-409C-BE32-E72D297353CC}">
                <c16:uniqueId val="{00000007-23F1-4B5F-97F7-E38D5663E115}"/>
              </c:ext>
            </c:extLst>
          </c:dPt>
          <c:dPt>
            <c:idx val="4"/>
            <c:bubble3D val="0"/>
            <c:spPr>
              <a:solidFill>
                <a:schemeClr val="tx1"/>
              </a:solidFill>
              <a:ln>
                <a:noFill/>
              </a:ln>
            </c:spPr>
            <c:extLst>
              <c:ext xmlns:c16="http://schemas.microsoft.com/office/drawing/2014/chart" uri="{C3380CC4-5D6E-409C-BE32-E72D297353CC}">
                <c16:uniqueId val="{00000009-23F1-4B5F-97F7-E38D5663E115}"/>
              </c:ext>
            </c:extLst>
          </c:dPt>
          <c:dPt>
            <c:idx val="5"/>
            <c:bubble3D val="0"/>
            <c:spPr>
              <a:noFill/>
            </c:spPr>
            <c:extLst>
              <c:ext xmlns:c16="http://schemas.microsoft.com/office/drawing/2014/chart" uri="{C3380CC4-5D6E-409C-BE32-E72D297353CC}">
                <c16:uniqueId val="{0000000B-23F1-4B5F-97F7-E38D5663E115}"/>
              </c:ext>
            </c:extLst>
          </c:dPt>
          <c:dPt>
            <c:idx val="6"/>
            <c:bubble3D val="0"/>
            <c:spPr>
              <a:noFill/>
            </c:spPr>
            <c:extLst>
              <c:ext xmlns:c16="http://schemas.microsoft.com/office/drawing/2014/chart" uri="{C3380CC4-5D6E-409C-BE32-E72D297353CC}">
                <c16:uniqueId val="{0000000D-23F1-4B5F-97F7-E38D5663E115}"/>
              </c:ext>
            </c:extLst>
          </c:dPt>
          <c:dPt>
            <c:idx val="7"/>
            <c:bubble3D val="0"/>
            <c:spPr>
              <a:solidFill>
                <a:schemeClr val="tx1"/>
              </a:solidFill>
              <a:ln>
                <a:noFill/>
              </a:ln>
            </c:spPr>
            <c:extLst>
              <c:ext xmlns:c16="http://schemas.microsoft.com/office/drawing/2014/chart" uri="{C3380CC4-5D6E-409C-BE32-E72D297353CC}">
                <c16:uniqueId val="{0000000F-23F1-4B5F-97F7-E38D5663E115}"/>
              </c:ext>
            </c:extLst>
          </c:dPt>
          <c:dPt>
            <c:idx val="8"/>
            <c:bubble3D val="0"/>
            <c:spPr>
              <a:noFill/>
            </c:spPr>
            <c:extLst>
              <c:ext xmlns:c16="http://schemas.microsoft.com/office/drawing/2014/chart" uri="{C3380CC4-5D6E-409C-BE32-E72D297353CC}">
                <c16:uniqueId val="{00000011-23F1-4B5F-97F7-E38D5663E115}"/>
              </c:ext>
            </c:extLst>
          </c:dPt>
          <c:dPt>
            <c:idx val="9"/>
            <c:bubble3D val="0"/>
            <c:spPr>
              <a:noFill/>
            </c:spPr>
            <c:extLst>
              <c:ext xmlns:c16="http://schemas.microsoft.com/office/drawing/2014/chart" uri="{C3380CC4-5D6E-409C-BE32-E72D297353CC}">
                <c16:uniqueId val="{00000013-23F1-4B5F-97F7-E38D5663E115}"/>
              </c:ext>
            </c:extLst>
          </c:dPt>
          <c:dPt>
            <c:idx val="10"/>
            <c:bubble3D val="0"/>
            <c:spPr>
              <a:solidFill>
                <a:schemeClr val="tx1"/>
              </a:solidFill>
            </c:spPr>
            <c:extLst>
              <c:ext xmlns:c16="http://schemas.microsoft.com/office/drawing/2014/chart" uri="{C3380CC4-5D6E-409C-BE32-E72D297353CC}">
                <c16:uniqueId val="{00000015-23F1-4B5F-97F7-E38D5663E115}"/>
              </c:ext>
            </c:extLst>
          </c:dPt>
          <c:dPt>
            <c:idx val="11"/>
            <c:bubble3D val="0"/>
            <c:spPr>
              <a:noFill/>
            </c:spPr>
            <c:extLst>
              <c:ext xmlns:c16="http://schemas.microsoft.com/office/drawing/2014/chart" uri="{C3380CC4-5D6E-409C-BE32-E72D297353CC}">
                <c16:uniqueId val="{00000017-23F1-4B5F-97F7-E38D5663E115}"/>
              </c:ext>
            </c:extLst>
          </c:dPt>
          <c:dPt>
            <c:idx val="12"/>
            <c:bubble3D val="0"/>
            <c:spPr>
              <a:noFill/>
            </c:spPr>
            <c:extLst>
              <c:ext xmlns:c16="http://schemas.microsoft.com/office/drawing/2014/chart" uri="{C3380CC4-5D6E-409C-BE32-E72D297353CC}">
                <c16:uniqueId val="{00000019-23F1-4B5F-97F7-E38D5663E115}"/>
              </c:ext>
            </c:extLst>
          </c:dPt>
          <c:dPt>
            <c:idx val="13"/>
            <c:bubble3D val="0"/>
            <c:spPr>
              <a:solidFill>
                <a:schemeClr val="tx1"/>
              </a:solidFill>
            </c:spPr>
            <c:extLst>
              <c:ext xmlns:c16="http://schemas.microsoft.com/office/drawing/2014/chart" uri="{C3380CC4-5D6E-409C-BE32-E72D297353CC}">
                <c16:uniqueId val="{0000001B-23F1-4B5F-97F7-E38D5663E115}"/>
              </c:ext>
            </c:extLst>
          </c:dPt>
          <c:dPt>
            <c:idx val="14"/>
            <c:bubble3D val="0"/>
            <c:spPr>
              <a:noFill/>
            </c:spPr>
            <c:extLst>
              <c:ext xmlns:c16="http://schemas.microsoft.com/office/drawing/2014/chart" uri="{C3380CC4-5D6E-409C-BE32-E72D297353CC}">
                <c16:uniqueId val="{0000001D-23F1-4B5F-97F7-E38D5663E115}"/>
              </c:ext>
            </c:extLst>
          </c:dPt>
          <c:dPt>
            <c:idx val="15"/>
            <c:bubble3D val="0"/>
            <c:spPr>
              <a:noFill/>
            </c:spPr>
            <c:extLst>
              <c:ext xmlns:c16="http://schemas.microsoft.com/office/drawing/2014/chart" uri="{C3380CC4-5D6E-409C-BE32-E72D297353CC}">
                <c16:uniqueId val="{0000001F-23F1-4B5F-97F7-E38D5663E115}"/>
              </c:ext>
            </c:extLst>
          </c:dPt>
          <c:dPt>
            <c:idx val="16"/>
            <c:bubble3D val="0"/>
            <c:spPr>
              <a:solidFill>
                <a:schemeClr val="tx1"/>
              </a:solidFill>
            </c:spPr>
            <c:extLst>
              <c:ext xmlns:c16="http://schemas.microsoft.com/office/drawing/2014/chart" uri="{C3380CC4-5D6E-409C-BE32-E72D297353CC}">
                <c16:uniqueId val="{00000021-23F1-4B5F-97F7-E38D5663E115}"/>
              </c:ext>
            </c:extLst>
          </c:dPt>
          <c:dPt>
            <c:idx val="17"/>
            <c:bubble3D val="0"/>
            <c:spPr>
              <a:noFill/>
            </c:spPr>
            <c:extLst>
              <c:ext xmlns:c16="http://schemas.microsoft.com/office/drawing/2014/chart" uri="{C3380CC4-5D6E-409C-BE32-E72D297353CC}">
                <c16:uniqueId val="{00000023-23F1-4B5F-97F7-E38D5663E115}"/>
              </c:ext>
            </c:extLst>
          </c:dPt>
          <c:dPt>
            <c:idx val="18"/>
            <c:bubble3D val="0"/>
            <c:spPr>
              <a:noFill/>
            </c:spPr>
            <c:extLst>
              <c:ext xmlns:c16="http://schemas.microsoft.com/office/drawing/2014/chart" uri="{C3380CC4-5D6E-409C-BE32-E72D297353CC}">
                <c16:uniqueId val="{00000025-23F1-4B5F-97F7-E38D5663E115}"/>
              </c:ext>
            </c:extLst>
          </c:dPt>
          <c:dPt>
            <c:idx val="19"/>
            <c:bubble3D val="0"/>
            <c:spPr>
              <a:solidFill>
                <a:schemeClr val="tx1"/>
              </a:solidFill>
            </c:spPr>
            <c:extLst>
              <c:ext xmlns:c16="http://schemas.microsoft.com/office/drawing/2014/chart" uri="{C3380CC4-5D6E-409C-BE32-E72D297353CC}">
                <c16:uniqueId val="{00000027-23F1-4B5F-97F7-E38D5663E115}"/>
              </c:ext>
            </c:extLst>
          </c:dPt>
          <c:dPt>
            <c:idx val="20"/>
            <c:bubble3D val="0"/>
            <c:spPr>
              <a:noFill/>
            </c:spPr>
            <c:extLst>
              <c:ext xmlns:c16="http://schemas.microsoft.com/office/drawing/2014/chart" uri="{C3380CC4-5D6E-409C-BE32-E72D297353CC}">
                <c16:uniqueId val="{00000029-23F1-4B5F-97F7-E38D5663E115}"/>
              </c:ext>
            </c:extLst>
          </c:dPt>
          <c:dPt>
            <c:idx val="21"/>
            <c:bubble3D val="0"/>
            <c:spPr>
              <a:noFill/>
            </c:spPr>
            <c:extLst>
              <c:ext xmlns:c16="http://schemas.microsoft.com/office/drawing/2014/chart" uri="{C3380CC4-5D6E-409C-BE32-E72D297353CC}">
                <c16:uniqueId val="{0000002B-23F1-4B5F-97F7-E38D5663E115}"/>
              </c:ext>
            </c:extLst>
          </c:dPt>
          <c:dPt>
            <c:idx val="22"/>
            <c:bubble3D val="0"/>
            <c:spPr>
              <a:solidFill>
                <a:schemeClr val="tx1"/>
              </a:solidFill>
            </c:spPr>
            <c:extLst>
              <c:ext xmlns:c16="http://schemas.microsoft.com/office/drawing/2014/chart" uri="{C3380CC4-5D6E-409C-BE32-E72D297353CC}">
                <c16:uniqueId val="{0000002D-23F1-4B5F-97F7-E38D5663E115}"/>
              </c:ext>
            </c:extLst>
          </c:dPt>
          <c:dPt>
            <c:idx val="23"/>
            <c:bubble3D val="0"/>
            <c:spPr>
              <a:noFill/>
            </c:spPr>
            <c:extLst>
              <c:ext xmlns:c16="http://schemas.microsoft.com/office/drawing/2014/chart" uri="{C3380CC4-5D6E-409C-BE32-E72D297353CC}">
                <c16:uniqueId val="{0000002F-23F1-4B5F-97F7-E38D5663E115}"/>
              </c:ext>
            </c:extLst>
          </c:dPt>
          <c:dPt>
            <c:idx val="24"/>
            <c:bubble3D val="0"/>
            <c:spPr>
              <a:noFill/>
            </c:spPr>
            <c:extLst>
              <c:ext xmlns:c16="http://schemas.microsoft.com/office/drawing/2014/chart" uri="{C3380CC4-5D6E-409C-BE32-E72D297353CC}">
                <c16:uniqueId val="{00000031-23F1-4B5F-97F7-E38D5663E115}"/>
              </c:ext>
            </c:extLst>
          </c:dPt>
          <c:dPt>
            <c:idx val="25"/>
            <c:bubble3D val="0"/>
            <c:spPr>
              <a:solidFill>
                <a:schemeClr val="tx1"/>
              </a:solidFill>
            </c:spPr>
            <c:extLst>
              <c:ext xmlns:c16="http://schemas.microsoft.com/office/drawing/2014/chart" uri="{C3380CC4-5D6E-409C-BE32-E72D297353CC}">
                <c16:uniqueId val="{00000033-23F1-4B5F-97F7-E38D5663E115}"/>
              </c:ext>
            </c:extLst>
          </c:dPt>
          <c:dPt>
            <c:idx val="26"/>
            <c:bubble3D val="0"/>
            <c:spPr>
              <a:noFill/>
            </c:spPr>
            <c:extLst>
              <c:ext xmlns:c16="http://schemas.microsoft.com/office/drawing/2014/chart" uri="{C3380CC4-5D6E-409C-BE32-E72D297353CC}">
                <c16:uniqueId val="{00000035-23F1-4B5F-97F7-E38D5663E115}"/>
              </c:ext>
            </c:extLst>
          </c:dPt>
          <c:dPt>
            <c:idx val="27"/>
            <c:bubble3D val="0"/>
            <c:spPr>
              <a:noFill/>
            </c:spPr>
            <c:extLst>
              <c:ext xmlns:c16="http://schemas.microsoft.com/office/drawing/2014/chart" uri="{C3380CC4-5D6E-409C-BE32-E72D297353CC}">
                <c16:uniqueId val="{00000037-23F1-4B5F-97F7-E38D5663E115}"/>
              </c:ext>
            </c:extLst>
          </c:dPt>
          <c:dPt>
            <c:idx val="28"/>
            <c:bubble3D val="0"/>
            <c:spPr>
              <a:solidFill>
                <a:schemeClr val="tx1"/>
              </a:solidFill>
            </c:spPr>
            <c:extLst>
              <c:ext xmlns:c16="http://schemas.microsoft.com/office/drawing/2014/chart" uri="{C3380CC4-5D6E-409C-BE32-E72D297353CC}">
                <c16:uniqueId val="{00000039-23F1-4B5F-97F7-E38D5663E115}"/>
              </c:ext>
            </c:extLst>
          </c:dPt>
          <c:dPt>
            <c:idx val="29"/>
            <c:bubble3D val="0"/>
            <c:spPr>
              <a:noFill/>
            </c:spPr>
            <c:extLst>
              <c:ext xmlns:c16="http://schemas.microsoft.com/office/drawing/2014/chart" uri="{C3380CC4-5D6E-409C-BE32-E72D297353CC}">
                <c16:uniqueId val="{0000003B-23F1-4B5F-97F7-E38D5663E115}"/>
              </c:ext>
            </c:extLst>
          </c:dPt>
          <c:dPt>
            <c:idx val="30"/>
            <c:bubble3D val="0"/>
            <c:spPr>
              <a:noFill/>
            </c:spPr>
            <c:extLst>
              <c:ext xmlns:c16="http://schemas.microsoft.com/office/drawing/2014/chart" uri="{C3380CC4-5D6E-409C-BE32-E72D297353CC}">
                <c16:uniqueId val="{0000003D-23F1-4B5F-97F7-E38D5663E115}"/>
              </c:ext>
            </c:extLst>
          </c:dPt>
          <c:dPt>
            <c:idx val="31"/>
            <c:bubble3D val="0"/>
            <c:spPr>
              <a:solidFill>
                <a:schemeClr val="tx1"/>
              </a:solidFill>
            </c:spPr>
            <c:extLst>
              <c:ext xmlns:c16="http://schemas.microsoft.com/office/drawing/2014/chart" uri="{C3380CC4-5D6E-409C-BE32-E72D297353CC}">
                <c16:uniqueId val="{0000003F-23F1-4B5F-97F7-E38D5663E115}"/>
              </c:ext>
            </c:extLst>
          </c:dPt>
          <c:dPt>
            <c:idx val="32"/>
            <c:bubble3D val="0"/>
            <c:spPr>
              <a:noFill/>
            </c:spPr>
            <c:extLst>
              <c:ext xmlns:c16="http://schemas.microsoft.com/office/drawing/2014/chart" uri="{C3380CC4-5D6E-409C-BE32-E72D297353CC}">
                <c16:uniqueId val="{00000041-23F1-4B5F-97F7-E38D5663E115}"/>
              </c:ext>
            </c:extLst>
          </c:dPt>
          <c:dPt>
            <c:idx val="33"/>
            <c:bubble3D val="0"/>
            <c:spPr>
              <a:noFill/>
            </c:spPr>
            <c:extLst>
              <c:ext xmlns:c16="http://schemas.microsoft.com/office/drawing/2014/chart" uri="{C3380CC4-5D6E-409C-BE32-E72D297353CC}">
                <c16:uniqueId val="{00000043-23F1-4B5F-97F7-E38D5663E11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3F1-4B5F-97F7-E38D5663E11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BBCB-4BB4-B5E7-9025339B2D50}"/>
              </c:ext>
            </c:extLst>
          </c:dPt>
          <c:dPt>
            <c:idx val="1"/>
            <c:bubble3D val="0"/>
            <c:spPr>
              <a:solidFill>
                <a:schemeClr val="accent3">
                  <a:lumMod val="50000"/>
                </a:schemeClr>
              </a:solidFill>
              <a:ln>
                <a:noFill/>
              </a:ln>
            </c:spPr>
            <c:extLst>
              <c:ext xmlns:c16="http://schemas.microsoft.com/office/drawing/2014/chart" uri="{C3380CC4-5D6E-409C-BE32-E72D297353CC}">
                <c16:uniqueId val="{00000003-BBCB-4BB4-B5E7-9025339B2D50}"/>
              </c:ext>
            </c:extLst>
          </c:dPt>
          <c:dPt>
            <c:idx val="2"/>
            <c:bubble3D val="0"/>
            <c:spPr>
              <a:noFill/>
            </c:spPr>
            <c:extLst>
              <c:ext xmlns:c16="http://schemas.microsoft.com/office/drawing/2014/chart" uri="{C3380CC4-5D6E-409C-BE32-E72D297353CC}">
                <c16:uniqueId val="{00000005-BBCB-4BB4-B5E7-9025339B2D50}"/>
              </c:ext>
            </c:extLst>
          </c:dPt>
          <c:dPt>
            <c:idx val="3"/>
            <c:bubble3D val="0"/>
            <c:spPr>
              <a:solidFill>
                <a:srgbClr val="CBE4EB"/>
              </a:solidFill>
              <a:ln>
                <a:noFill/>
              </a:ln>
            </c:spPr>
            <c:extLst>
              <c:ext xmlns:c16="http://schemas.microsoft.com/office/drawing/2014/chart" uri="{C3380CC4-5D6E-409C-BE32-E72D297353CC}">
                <c16:uniqueId val="{00000007-BBCB-4BB4-B5E7-9025339B2D50}"/>
              </c:ext>
            </c:extLst>
          </c:dPt>
          <c:dPt>
            <c:idx val="4"/>
            <c:bubble3D val="0"/>
            <c:spPr>
              <a:solidFill>
                <a:schemeClr val="accent3"/>
              </a:solidFill>
              <a:ln>
                <a:noFill/>
              </a:ln>
            </c:spPr>
            <c:extLst>
              <c:ext xmlns:c16="http://schemas.microsoft.com/office/drawing/2014/chart" uri="{C3380CC4-5D6E-409C-BE32-E72D297353CC}">
                <c16:uniqueId val="{00000009-BBCB-4BB4-B5E7-9025339B2D5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BBCB-4BB4-B5E7-9025339B2D5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092-426F-BB1E-A9058ABE79D1}"/>
              </c:ext>
            </c:extLst>
          </c:dPt>
          <c:dPt>
            <c:idx val="1"/>
            <c:bubble3D val="0"/>
            <c:spPr>
              <a:solidFill>
                <a:schemeClr val="tx1"/>
              </a:solidFill>
              <a:ln>
                <a:noFill/>
              </a:ln>
            </c:spPr>
            <c:extLst>
              <c:ext xmlns:c16="http://schemas.microsoft.com/office/drawing/2014/chart" uri="{C3380CC4-5D6E-409C-BE32-E72D297353CC}">
                <c16:uniqueId val="{00000003-1092-426F-BB1E-A9058ABE79D1}"/>
              </c:ext>
            </c:extLst>
          </c:dPt>
          <c:dPt>
            <c:idx val="2"/>
            <c:bubble3D val="0"/>
            <c:spPr>
              <a:noFill/>
            </c:spPr>
            <c:extLst>
              <c:ext xmlns:c16="http://schemas.microsoft.com/office/drawing/2014/chart" uri="{C3380CC4-5D6E-409C-BE32-E72D297353CC}">
                <c16:uniqueId val="{00000005-1092-426F-BB1E-A9058ABE79D1}"/>
              </c:ext>
            </c:extLst>
          </c:dPt>
          <c:dPt>
            <c:idx val="3"/>
            <c:bubble3D val="0"/>
            <c:spPr>
              <a:noFill/>
            </c:spPr>
            <c:extLst>
              <c:ext xmlns:c16="http://schemas.microsoft.com/office/drawing/2014/chart" uri="{C3380CC4-5D6E-409C-BE32-E72D297353CC}">
                <c16:uniqueId val="{00000007-1092-426F-BB1E-A9058ABE79D1}"/>
              </c:ext>
            </c:extLst>
          </c:dPt>
          <c:dPt>
            <c:idx val="4"/>
            <c:bubble3D val="0"/>
            <c:spPr>
              <a:solidFill>
                <a:schemeClr val="tx1"/>
              </a:solidFill>
              <a:ln>
                <a:noFill/>
              </a:ln>
            </c:spPr>
            <c:extLst>
              <c:ext xmlns:c16="http://schemas.microsoft.com/office/drawing/2014/chart" uri="{C3380CC4-5D6E-409C-BE32-E72D297353CC}">
                <c16:uniqueId val="{00000009-1092-426F-BB1E-A9058ABE79D1}"/>
              </c:ext>
            </c:extLst>
          </c:dPt>
          <c:dPt>
            <c:idx val="5"/>
            <c:bubble3D val="0"/>
            <c:spPr>
              <a:noFill/>
            </c:spPr>
            <c:extLst>
              <c:ext xmlns:c16="http://schemas.microsoft.com/office/drawing/2014/chart" uri="{C3380CC4-5D6E-409C-BE32-E72D297353CC}">
                <c16:uniqueId val="{0000000B-1092-426F-BB1E-A9058ABE79D1}"/>
              </c:ext>
            </c:extLst>
          </c:dPt>
          <c:dPt>
            <c:idx val="6"/>
            <c:bubble3D val="0"/>
            <c:spPr>
              <a:noFill/>
            </c:spPr>
            <c:extLst>
              <c:ext xmlns:c16="http://schemas.microsoft.com/office/drawing/2014/chart" uri="{C3380CC4-5D6E-409C-BE32-E72D297353CC}">
                <c16:uniqueId val="{0000000D-1092-426F-BB1E-A9058ABE79D1}"/>
              </c:ext>
            </c:extLst>
          </c:dPt>
          <c:dPt>
            <c:idx val="7"/>
            <c:bubble3D val="0"/>
            <c:spPr>
              <a:solidFill>
                <a:schemeClr val="tx1"/>
              </a:solidFill>
              <a:ln>
                <a:noFill/>
              </a:ln>
            </c:spPr>
            <c:extLst>
              <c:ext xmlns:c16="http://schemas.microsoft.com/office/drawing/2014/chart" uri="{C3380CC4-5D6E-409C-BE32-E72D297353CC}">
                <c16:uniqueId val="{0000000F-1092-426F-BB1E-A9058ABE79D1}"/>
              </c:ext>
            </c:extLst>
          </c:dPt>
          <c:dPt>
            <c:idx val="8"/>
            <c:bubble3D val="0"/>
            <c:spPr>
              <a:noFill/>
            </c:spPr>
            <c:extLst>
              <c:ext xmlns:c16="http://schemas.microsoft.com/office/drawing/2014/chart" uri="{C3380CC4-5D6E-409C-BE32-E72D297353CC}">
                <c16:uniqueId val="{00000011-1092-426F-BB1E-A9058ABE79D1}"/>
              </c:ext>
            </c:extLst>
          </c:dPt>
          <c:dPt>
            <c:idx val="9"/>
            <c:bubble3D val="0"/>
            <c:spPr>
              <a:noFill/>
            </c:spPr>
            <c:extLst>
              <c:ext xmlns:c16="http://schemas.microsoft.com/office/drawing/2014/chart" uri="{C3380CC4-5D6E-409C-BE32-E72D297353CC}">
                <c16:uniqueId val="{00000013-1092-426F-BB1E-A9058ABE79D1}"/>
              </c:ext>
            </c:extLst>
          </c:dPt>
          <c:dPt>
            <c:idx val="10"/>
            <c:bubble3D val="0"/>
            <c:spPr>
              <a:solidFill>
                <a:schemeClr val="tx1"/>
              </a:solidFill>
            </c:spPr>
            <c:extLst>
              <c:ext xmlns:c16="http://schemas.microsoft.com/office/drawing/2014/chart" uri="{C3380CC4-5D6E-409C-BE32-E72D297353CC}">
                <c16:uniqueId val="{00000015-1092-426F-BB1E-A9058ABE79D1}"/>
              </c:ext>
            </c:extLst>
          </c:dPt>
          <c:dPt>
            <c:idx val="11"/>
            <c:bubble3D val="0"/>
            <c:spPr>
              <a:noFill/>
            </c:spPr>
            <c:extLst>
              <c:ext xmlns:c16="http://schemas.microsoft.com/office/drawing/2014/chart" uri="{C3380CC4-5D6E-409C-BE32-E72D297353CC}">
                <c16:uniqueId val="{00000017-1092-426F-BB1E-A9058ABE79D1}"/>
              </c:ext>
            </c:extLst>
          </c:dPt>
          <c:dPt>
            <c:idx val="12"/>
            <c:bubble3D val="0"/>
            <c:spPr>
              <a:noFill/>
            </c:spPr>
            <c:extLst>
              <c:ext xmlns:c16="http://schemas.microsoft.com/office/drawing/2014/chart" uri="{C3380CC4-5D6E-409C-BE32-E72D297353CC}">
                <c16:uniqueId val="{00000019-1092-426F-BB1E-A9058ABE79D1}"/>
              </c:ext>
            </c:extLst>
          </c:dPt>
          <c:dPt>
            <c:idx val="13"/>
            <c:bubble3D val="0"/>
            <c:spPr>
              <a:solidFill>
                <a:schemeClr val="tx1"/>
              </a:solidFill>
            </c:spPr>
            <c:extLst>
              <c:ext xmlns:c16="http://schemas.microsoft.com/office/drawing/2014/chart" uri="{C3380CC4-5D6E-409C-BE32-E72D297353CC}">
                <c16:uniqueId val="{0000001B-1092-426F-BB1E-A9058ABE79D1}"/>
              </c:ext>
            </c:extLst>
          </c:dPt>
          <c:dPt>
            <c:idx val="14"/>
            <c:bubble3D val="0"/>
            <c:spPr>
              <a:noFill/>
            </c:spPr>
            <c:extLst>
              <c:ext xmlns:c16="http://schemas.microsoft.com/office/drawing/2014/chart" uri="{C3380CC4-5D6E-409C-BE32-E72D297353CC}">
                <c16:uniqueId val="{0000001D-1092-426F-BB1E-A9058ABE79D1}"/>
              </c:ext>
            </c:extLst>
          </c:dPt>
          <c:dPt>
            <c:idx val="15"/>
            <c:bubble3D val="0"/>
            <c:spPr>
              <a:noFill/>
            </c:spPr>
            <c:extLst>
              <c:ext xmlns:c16="http://schemas.microsoft.com/office/drawing/2014/chart" uri="{C3380CC4-5D6E-409C-BE32-E72D297353CC}">
                <c16:uniqueId val="{0000001F-1092-426F-BB1E-A9058ABE79D1}"/>
              </c:ext>
            </c:extLst>
          </c:dPt>
          <c:dPt>
            <c:idx val="16"/>
            <c:bubble3D val="0"/>
            <c:spPr>
              <a:solidFill>
                <a:schemeClr val="tx1"/>
              </a:solidFill>
            </c:spPr>
            <c:extLst>
              <c:ext xmlns:c16="http://schemas.microsoft.com/office/drawing/2014/chart" uri="{C3380CC4-5D6E-409C-BE32-E72D297353CC}">
                <c16:uniqueId val="{00000021-1092-426F-BB1E-A9058ABE79D1}"/>
              </c:ext>
            </c:extLst>
          </c:dPt>
          <c:dPt>
            <c:idx val="17"/>
            <c:bubble3D val="0"/>
            <c:spPr>
              <a:noFill/>
            </c:spPr>
            <c:extLst>
              <c:ext xmlns:c16="http://schemas.microsoft.com/office/drawing/2014/chart" uri="{C3380CC4-5D6E-409C-BE32-E72D297353CC}">
                <c16:uniqueId val="{00000023-1092-426F-BB1E-A9058ABE79D1}"/>
              </c:ext>
            </c:extLst>
          </c:dPt>
          <c:dPt>
            <c:idx val="18"/>
            <c:bubble3D val="0"/>
            <c:spPr>
              <a:noFill/>
            </c:spPr>
            <c:extLst>
              <c:ext xmlns:c16="http://schemas.microsoft.com/office/drawing/2014/chart" uri="{C3380CC4-5D6E-409C-BE32-E72D297353CC}">
                <c16:uniqueId val="{00000025-1092-426F-BB1E-A9058ABE79D1}"/>
              </c:ext>
            </c:extLst>
          </c:dPt>
          <c:dPt>
            <c:idx val="19"/>
            <c:bubble3D val="0"/>
            <c:spPr>
              <a:solidFill>
                <a:schemeClr val="tx1"/>
              </a:solidFill>
            </c:spPr>
            <c:extLst>
              <c:ext xmlns:c16="http://schemas.microsoft.com/office/drawing/2014/chart" uri="{C3380CC4-5D6E-409C-BE32-E72D297353CC}">
                <c16:uniqueId val="{00000027-1092-426F-BB1E-A9058ABE79D1}"/>
              </c:ext>
            </c:extLst>
          </c:dPt>
          <c:dPt>
            <c:idx val="20"/>
            <c:bubble3D val="0"/>
            <c:spPr>
              <a:noFill/>
            </c:spPr>
            <c:extLst>
              <c:ext xmlns:c16="http://schemas.microsoft.com/office/drawing/2014/chart" uri="{C3380CC4-5D6E-409C-BE32-E72D297353CC}">
                <c16:uniqueId val="{00000029-1092-426F-BB1E-A9058ABE79D1}"/>
              </c:ext>
            </c:extLst>
          </c:dPt>
          <c:dPt>
            <c:idx val="21"/>
            <c:bubble3D val="0"/>
            <c:spPr>
              <a:noFill/>
            </c:spPr>
            <c:extLst>
              <c:ext xmlns:c16="http://schemas.microsoft.com/office/drawing/2014/chart" uri="{C3380CC4-5D6E-409C-BE32-E72D297353CC}">
                <c16:uniqueId val="{0000002B-1092-426F-BB1E-A9058ABE79D1}"/>
              </c:ext>
            </c:extLst>
          </c:dPt>
          <c:dPt>
            <c:idx val="22"/>
            <c:bubble3D val="0"/>
            <c:spPr>
              <a:solidFill>
                <a:schemeClr val="tx1"/>
              </a:solidFill>
            </c:spPr>
            <c:extLst>
              <c:ext xmlns:c16="http://schemas.microsoft.com/office/drawing/2014/chart" uri="{C3380CC4-5D6E-409C-BE32-E72D297353CC}">
                <c16:uniqueId val="{0000002D-1092-426F-BB1E-A9058ABE79D1}"/>
              </c:ext>
            </c:extLst>
          </c:dPt>
          <c:dPt>
            <c:idx val="23"/>
            <c:bubble3D val="0"/>
            <c:spPr>
              <a:noFill/>
            </c:spPr>
            <c:extLst>
              <c:ext xmlns:c16="http://schemas.microsoft.com/office/drawing/2014/chart" uri="{C3380CC4-5D6E-409C-BE32-E72D297353CC}">
                <c16:uniqueId val="{0000002F-1092-426F-BB1E-A9058ABE79D1}"/>
              </c:ext>
            </c:extLst>
          </c:dPt>
          <c:dPt>
            <c:idx val="24"/>
            <c:bubble3D val="0"/>
            <c:spPr>
              <a:noFill/>
            </c:spPr>
            <c:extLst>
              <c:ext xmlns:c16="http://schemas.microsoft.com/office/drawing/2014/chart" uri="{C3380CC4-5D6E-409C-BE32-E72D297353CC}">
                <c16:uniqueId val="{00000031-1092-426F-BB1E-A9058ABE79D1}"/>
              </c:ext>
            </c:extLst>
          </c:dPt>
          <c:dPt>
            <c:idx val="25"/>
            <c:bubble3D val="0"/>
            <c:spPr>
              <a:solidFill>
                <a:schemeClr val="tx1"/>
              </a:solidFill>
            </c:spPr>
            <c:extLst>
              <c:ext xmlns:c16="http://schemas.microsoft.com/office/drawing/2014/chart" uri="{C3380CC4-5D6E-409C-BE32-E72D297353CC}">
                <c16:uniqueId val="{00000033-1092-426F-BB1E-A9058ABE79D1}"/>
              </c:ext>
            </c:extLst>
          </c:dPt>
          <c:dPt>
            <c:idx val="26"/>
            <c:bubble3D val="0"/>
            <c:spPr>
              <a:noFill/>
            </c:spPr>
            <c:extLst>
              <c:ext xmlns:c16="http://schemas.microsoft.com/office/drawing/2014/chart" uri="{C3380CC4-5D6E-409C-BE32-E72D297353CC}">
                <c16:uniqueId val="{00000035-1092-426F-BB1E-A9058ABE79D1}"/>
              </c:ext>
            </c:extLst>
          </c:dPt>
          <c:dPt>
            <c:idx val="27"/>
            <c:bubble3D val="0"/>
            <c:spPr>
              <a:noFill/>
            </c:spPr>
            <c:extLst>
              <c:ext xmlns:c16="http://schemas.microsoft.com/office/drawing/2014/chart" uri="{C3380CC4-5D6E-409C-BE32-E72D297353CC}">
                <c16:uniqueId val="{00000037-1092-426F-BB1E-A9058ABE79D1}"/>
              </c:ext>
            </c:extLst>
          </c:dPt>
          <c:dPt>
            <c:idx val="28"/>
            <c:bubble3D val="0"/>
            <c:spPr>
              <a:solidFill>
                <a:schemeClr val="tx1"/>
              </a:solidFill>
            </c:spPr>
            <c:extLst>
              <c:ext xmlns:c16="http://schemas.microsoft.com/office/drawing/2014/chart" uri="{C3380CC4-5D6E-409C-BE32-E72D297353CC}">
                <c16:uniqueId val="{00000039-1092-426F-BB1E-A9058ABE79D1}"/>
              </c:ext>
            </c:extLst>
          </c:dPt>
          <c:dPt>
            <c:idx val="29"/>
            <c:bubble3D val="0"/>
            <c:spPr>
              <a:noFill/>
            </c:spPr>
            <c:extLst>
              <c:ext xmlns:c16="http://schemas.microsoft.com/office/drawing/2014/chart" uri="{C3380CC4-5D6E-409C-BE32-E72D297353CC}">
                <c16:uniqueId val="{0000003B-1092-426F-BB1E-A9058ABE79D1}"/>
              </c:ext>
            </c:extLst>
          </c:dPt>
          <c:dPt>
            <c:idx val="30"/>
            <c:bubble3D val="0"/>
            <c:spPr>
              <a:noFill/>
            </c:spPr>
            <c:extLst>
              <c:ext xmlns:c16="http://schemas.microsoft.com/office/drawing/2014/chart" uri="{C3380CC4-5D6E-409C-BE32-E72D297353CC}">
                <c16:uniqueId val="{0000003D-1092-426F-BB1E-A9058ABE79D1}"/>
              </c:ext>
            </c:extLst>
          </c:dPt>
          <c:dPt>
            <c:idx val="31"/>
            <c:bubble3D val="0"/>
            <c:spPr>
              <a:solidFill>
                <a:schemeClr val="tx1"/>
              </a:solidFill>
            </c:spPr>
            <c:extLst>
              <c:ext xmlns:c16="http://schemas.microsoft.com/office/drawing/2014/chart" uri="{C3380CC4-5D6E-409C-BE32-E72D297353CC}">
                <c16:uniqueId val="{0000003F-1092-426F-BB1E-A9058ABE79D1}"/>
              </c:ext>
            </c:extLst>
          </c:dPt>
          <c:dPt>
            <c:idx val="32"/>
            <c:bubble3D val="0"/>
            <c:spPr>
              <a:noFill/>
            </c:spPr>
            <c:extLst>
              <c:ext xmlns:c16="http://schemas.microsoft.com/office/drawing/2014/chart" uri="{C3380CC4-5D6E-409C-BE32-E72D297353CC}">
                <c16:uniqueId val="{00000041-1092-426F-BB1E-A9058ABE79D1}"/>
              </c:ext>
            </c:extLst>
          </c:dPt>
          <c:dPt>
            <c:idx val="33"/>
            <c:bubble3D val="0"/>
            <c:spPr>
              <a:noFill/>
            </c:spPr>
            <c:extLst>
              <c:ext xmlns:c16="http://schemas.microsoft.com/office/drawing/2014/chart" uri="{C3380CC4-5D6E-409C-BE32-E72D297353CC}">
                <c16:uniqueId val="{00000043-1092-426F-BB1E-A9058ABE79D1}"/>
              </c:ext>
            </c:extLst>
          </c:dPt>
          <c:cat>
            <c:strRef>
              <c:f>tlGraphs!$I$64:$I$97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tlGraphs!$J$64:$J$97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2.5000000000000001E-2</c:v>
                </c:pt>
                <c:pt idx="25">
                  <c:v>5.0000000000000001E-3</c:v>
                </c:pt>
                <c:pt idx="26">
                  <c:v>2.5000000000000001E-2</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092-426F-BB1E-A9058ABE79D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7F7B-4877-8504-34B3EDD80C14}"/>
              </c:ext>
            </c:extLst>
          </c:dPt>
          <c:dPt>
            <c:idx val="1"/>
            <c:bubble3D val="0"/>
            <c:spPr>
              <a:solidFill>
                <a:schemeClr val="accent3">
                  <a:lumMod val="50000"/>
                </a:schemeClr>
              </a:solidFill>
              <a:ln>
                <a:noFill/>
              </a:ln>
            </c:spPr>
            <c:extLst>
              <c:ext xmlns:c16="http://schemas.microsoft.com/office/drawing/2014/chart" uri="{C3380CC4-5D6E-409C-BE32-E72D297353CC}">
                <c16:uniqueId val="{00000003-7F7B-4877-8504-34B3EDD80C14}"/>
              </c:ext>
            </c:extLst>
          </c:dPt>
          <c:dPt>
            <c:idx val="2"/>
            <c:bubble3D val="0"/>
            <c:spPr>
              <a:noFill/>
            </c:spPr>
            <c:extLst>
              <c:ext xmlns:c16="http://schemas.microsoft.com/office/drawing/2014/chart" uri="{C3380CC4-5D6E-409C-BE32-E72D297353CC}">
                <c16:uniqueId val="{00000005-7F7B-4877-8504-34B3EDD80C14}"/>
              </c:ext>
            </c:extLst>
          </c:dPt>
          <c:dPt>
            <c:idx val="3"/>
            <c:bubble3D val="0"/>
            <c:spPr>
              <a:solidFill>
                <a:srgbClr val="CBE4EB"/>
              </a:solidFill>
              <a:ln>
                <a:noFill/>
              </a:ln>
            </c:spPr>
            <c:extLst>
              <c:ext xmlns:c16="http://schemas.microsoft.com/office/drawing/2014/chart" uri="{C3380CC4-5D6E-409C-BE32-E72D297353CC}">
                <c16:uniqueId val="{00000007-7F7B-4877-8504-34B3EDD80C14}"/>
              </c:ext>
            </c:extLst>
          </c:dPt>
          <c:dPt>
            <c:idx val="4"/>
            <c:bubble3D val="0"/>
            <c:spPr>
              <a:solidFill>
                <a:schemeClr val="accent3"/>
              </a:solidFill>
              <a:ln>
                <a:noFill/>
              </a:ln>
            </c:spPr>
            <c:extLst>
              <c:ext xmlns:c16="http://schemas.microsoft.com/office/drawing/2014/chart" uri="{C3380CC4-5D6E-409C-BE32-E72D297353CC}">
                <c16:uniqueId val="{00000009-7F7B-4877-8504-34B3EDD80C14}"/>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7F7B-4877-8504-34B3EDD80C14}"/>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690A-4D26-8996-59175A22B459}"/>
              </c:ext>
            </c:extLst>
          </c:dPt>
          <c:dPt>
            <c:idx val="1"/>
            <c:bubble3D val="0"/>
            <c:spPr>
              <a:solidFill>
                <a:schemeClr val="tx1"/>
              </a:solidFill>
              <a:ln>
                <a:noFill/>
              </a:ln>
            </c:spPr>
            <c:extLst>
              <c:ext xmlns:c16="http://schemas.microsoft.com/office/drawing/2014/chart" uri="{C3380CC4-5D6E-409C-BE32-E72D297353CC}">
                <c16:uniqueId val="{00000003-690A-4D26-8996-59175A22B459}"/>
              </c:ext>
            </c:extLst>
          </c:dPt>
          <c:dPt>
            <c:idx val="2"/>
            <c:bubble3D val="0"/>
            <c:spPr>
              <a:noFill/>
            </c:spPr>
            <c:extLst>
              <c:ext xmlns:c16="http://schemas.microsoft.com/office/drawing/2014/chart" uri="{C3380CC4-5D6E-409C-BE32-E72D297353CC}">
                <c16:uniqueId val="{00000005-690A-4D26-8996-59175A22B459}"/>
              </c:ext>
            </c:extLst>
          </c:dPt>
          <c:dPt>
            <c:idx val="3"/>
            <c:bubble3D val="0"/>
            <c:spPr>
              <a:noFill/>
            </c:spPr>
            <c:extLst>
              <c:ext xmlns:c16="http://schemas.microsoft.com/office/drawing/2014/chart" uri="{C3380CC4-5D6E-409C-BE32-E72D297353CC}">
                <c16:uniqueId val="{00000007-690A-4D26-8996-59175A22B459}"/>
              </c:ext>
            </c:extLst>
          </c:dPt>
          <c:dPt>
            <c:idx val="4"/>
            <c:bubble3D val="0"/>
            <c:spPr>
              <a:solidFill>
                <a:schemeClr val="tx1"/>
              </a:solidFill>
              <a:ln>
                <a:noFill/>
              </a:ln>
            </c:spPr>
            <c:extLst>
              <c:ext xmlns:c16="http://schemas.microsoft.com/office/drawing/2014/chart" uri="{C3380CC4-5D6E-409C-BE32-E72D297353CC}">
                <c16:uniqueId val="{00000009-690A-4D26-8996-59175A22B459}"/>
              </c:ext>
            </c:extLst>
          </c:dPt>
          <c:dPt>
            <c:idx val="5"/>
            <c:bubble3D val="0"/>
            <c:spPr>
              <a:noFill/>
            </c:spPr>
            <c:extLst>
              <c:ext xmlns:c16="http://schemas.microsoft.com/office/drawing/2014/chart" uri="{C3380CC4-5D6E-409C-BE32-E72D297353CC}">
                <c16:uniqueId val="{0000000B-690A-4D26-8996-59175A22B459}"/>
              </c:ext>
            </c:extLst>
          </c:dPt>
          <c:dPt>
            <c:idx val="6"/>
            <c:bubble3D val="0"/>
            <c:spPr>
              <a:noFill/>
            </c:spPr>
            <c:extLst>
              <c:ext xmlns:c16="http://schemas.microsoft.com/office/drawing/2014/chart" uri="{C3380CC4-5D6E-409C-BE32-E72D297353CC}">
                <c16:uniqueId val="{0000000D-690A-4D26-8996-59175A22B459}"/>
              </c:ext>
            </c:extLst>
          </c:dPt>
          <c:dPt>
            <c:idx val="7"/>
            <c:bubble3D val="0"/>
            <c:spPr>
              <a:solidFill>
                <a:schemeClr val="tx1"/>
              </a:solidFill>
              <a:ln>
                <a:noFill/>
              </a:ln>
            </c:spPr>
            <c:extLst>
              <c:ext xmlns:c16="http://schemas.microsoft.com/office/drawing/2014/chart" uri="{C3380CC4-5D6E-409C-BE32-E72D297353CC}">
                <c16:uniqueId val="{0000000F-690A-4D26-8996-59175A22B459}"/>
              </c:ext>
            </c:extLst>
          </c:dPt>
          <c:dPt>
            <c:idx val="8"/>
            <c:bubble3D val="0"/>
            <c:spPr>
              <a:noFill/>
            </c:spPr>
            <c:extLst>
              <c:ext xmlns:c16="http://schemas.microsoft.com/office/drawing/2014/chart" uri="{C3380CC4-5D6E-409C-BE32-E72D297353CC}">
                <c16:uniqueId val="{00000011-690A-4D26-8996-59175A22B459}"/>
              </c:ext>
            </c:extLst>
          </c:dPt>
          <c:dPt>
            <c:idx val="9"/>
            <c:bubble3D val="0"/>
            <c:spPr>
              <a:noFill/>
            </c:spPr>
            <c:extLst>
              <c:ext xmlns:c16="http://schemas.microsoft.com/office/drawing/2014/chart" uri="{C3380CC4-5D6E-409C-BE32-E72D297353CC}">
                <c16:uniqueId val="{00000013-690A-4D26-8996-59175A22B459}"/>
              </c:ext>
            </c:extLst>
          </c:dPt>
          <c:dPt>
            <c:idx val="10"/>
            <c:bubble3D val="0"/>
            <c:spPr>
              <a:solidFill>
                <a:schemeClr val="tx1"/>
              </a:solidFill>
            </c:spPr>
            <c:extLst>
              <c:ext xmlns:c16="http://schemas.microsoft.com/office/drawing/2014/chart" uri="{C3380CC4-5D6E-409C-BE32-E72D297353CC}">
                <c16:uniqueId val="{00000015-690A-4D26-8996-59175A22B459}"/>
              </c:ext>
            </c:extLst>
          </c:dPt>
          <c:dPt>
            <c:idx val="11"/>
            <c:bubble3D val="0"/>
            <c:spPr>
              <a:noFill/>
            </c:spPr>
            <c:extLst>
              <c:ext xmlns:c16="http://schemas.microsoft.com/office/drawing/2014/chart" uri="{C3380CC4-5D6E-409C-BE32-E72D297353CC}">
                <c16:uniqueId val="{00000017-690A-4D26-8996-59175A22B459}"/>
              </c:ext>
            </c:extLst>
          </c:dPt>
          <c:dPt>
            <c:idx val="12"/>
            <c:bubble3D val="0"/>
            <c:spPr>
              <a:noFill/>
            </c:spPr>
            <c:extLst>
              <c:ext xmlns:c16="http://schemas.microsoft.com/office/drawing/2014/chart" uri="{C3380CC4-5D6E-409C-BE32-E72D297353CC}">
                <c16:uniqueId val="{00000019-690A-4D26-8996-59175A22B459}"/>
              </c:ext>
            </c:extLst>
          </c:dPt>
          <c:dPt>
            <c:idx val="13"/>
            <c:bubble3D val="0"/>
            <c:spPr>
              <a:solidFill>
                <a:schemeClr val="tx1"/>
              </a:solidFill>
            </c:spPr>
            <c:extLst>
              <c:ext xmlns:c16="http://schemas.microsoft.com/office/drawing/2014/chart" uri="{C3380CC4-5D6E-409C-BE32-E72D297353CC}">
                <c16:uniqueId val="{0000001B-690A-4D26-8996-59175A22B459}"/>
              </c:ext>
            </c:extLst>
          </c:dPt>
          <c:dPt>
            <c:idx val="14"/>
            <c:bubble3D val="0"/>
            <c:spPr>
              <a:noFill/>
            </c:spPr>
            <c:extLst>
              <c:ext xmlns:c16="http://schemas.microsoft.com/office/drawing/2014/chart" uri="{C3380CC4-5D6E-409C-BE32-E72D297353CC}">
                <c16:uniqueId val="{0000001D-690A-4D26-8996-59175A22B459}"/>
              </c:ext>
            </c:extLst>
          </c:dPt>
          <c:dPt>
            <c:idx val="15"/>
            <c:bubble3D val="0"/>
            <c:spPr>
              <a:noFill/>
            </c:spPr>
            <c:extLst>
              <c:ext xmlns:c16="http://schemas.microsoft.com/office/drawing/2014/chart" uri="{C3380CC4-5D6E-409C-BE32-E72D297353CC}">
                <c16:uniqueId val="{0000001F-690A-4D26-8996-59175A22B459}"/>
              </c:ext>
            </c:extLst>
          </c:dPt>
          <c:dPt>
            <c:idx val="16"/>
            <c:bubble3D val="0"/>
            <c:spPr>
              <a:solidFill>
                <a:schemeClr val="tx1"/>
              </a:solidFill>
            </c:spPr>
            <c:extLst>
              <c:ext xmlns:c16="http://schemas.microsoft.com/office/drawing/2014/chart" uri="{C3380CC4-5D6E-409C-BE32-E72D297353CC}">
                <c16:uniqueId val="{00000021-690A-4D26-8996-59175A22B459}"/>
              </c:ext>
            </c:extLst>
          </c:dPt>
          <c:dPt>
            <c:idx val="17"/>
            <c:bubble3D val="0"/>
            <c:spPr>
              <a:noFill/>
            </c:spPr>
            <c:extLst>
              <c:ext xmlns:c16="http://schemas.microsoft.com/office/drawing/2014/chart" uri="{C3380CC4-5D6E-409C-BE32-E72D297353CC}">
                <c16:uniqueId val="{00000023-690A-4D26-8996-59175A22B459}"/>
              </c:ext>
            </c:extLst>
          </c:dPt>
          <c:dPt>
            <c:idx val="18"/>
            <c:bubble3D val="0"/>
            <c:spPr>
              <a:noFill/>
            </c:spPr>
            <c:extLst>
              <c:ext xmlns:c16="http://schemas.microsoft.com/office/drawing/2014/chart" uri="{C3380CC4-5D6E-409C-BE32-E72D297353CC}">
                <c16:uniqueId val="{00000025-690A-4D26-8996-59175A22B459}"/>
              </c:ext>
            </c:extLst>
          </c:dPt>
          <c:dPt>
            <c:idx val="19"/>
            <c:bubble3D val="0"/>
            <c:spPr>
              <a:solidFill>
                <a:schemeClr val="tx1"/>
              </a:solidFill>
            </c:spPr>
            <c:extLst>
              <c:ext xmlns:c16="http://schemas.microsoft.com/office/drawing/2014/chart" uri="{C3380CC4-5D6E-409C-BE32-E72D297353CC}">
                <c16:uniqueId val="{00000027-690A-4D26-8996-59175A22B459}"/>
              </c:ext>
            </c:extLst>
          </c:dPt>
          <c:dPt>
            <c:idx val="20"/>
            <c:bubble3D val="0"/>
            <c:spPr>
              <a:noFill/>
            </c:spPr>
            <c:extLst>
              <c:ext xmlns:c16="http://schemas.microsoft.com/office/drawing/2014/chart" uri="{C3380CC4-5D6E-409C-BE32-E72D297353CC}">
                <c16:uniqueId val="{00000029-690A-4D26-8996-59175A22B459}"/>
              </c:ext>
            </c:extLst>
          </c:dPt>
          <c:dPt>
            <c:idx val="21"/>
            <c:bubble3D val="0"/>
            <c:spPr>
              <a:noFill/>
            </c:spPr>
            <c:extLst>
              <c:ext xmlns:c16="http://schemas.microsoft.com/office/drawing/2014/chart" uri="{C3380CC4-5D6E-409C-BE32-E72D297353CC}">
                <c16:uniqueId val="{0000002B-690A-4D26-8996-59175A22B459}"/>
              </c:ext>
            </c:extLst>
          </c:dPt>
          <c:dPt>
            <c:idx val="22"/>
            <c:bubble3D val="0"/>
            <c:spPr>
              <a:solidFill>
                <a:schemeClr val="tx1"/>
              </a:solidFill>
            </c:spPr>
            <c:extLst>
              <c:ext xmlns:c16="http://schemas.microsoft.com/office/drawing/2014/chart" uri="{C3380CC4-5D6E-409C-BE32-E72D297353CC}">
                <c16:uniqueId val="{0000002D-690A-4D26-8996-59175A22B459}"/>
              </c:ext>
            </c:extLst>
          </c:dPt>
          <c:dPt>
            <c:idx val="23"/>
            <c:bubble3D val="0"/>
            <c:spPr>
              <a:noFill/>
            </c:spPr>
            <c:extLst>
              <c:ext xmlns:c16="http://schemas.microsoft.com/office/drawing/2014/chart" uri="{C3380CC4-5D6E-409C-BE32-E72D297353CC}">
                <c16:uniqueId val="{0000002F-690A-4D26-8996-59175A22B459}"/>
              </c:ext>
            </c:extLst>
          </c:dPt>
          <c:dPt>
            <c:idx val="24"/>
            <c:bubble3D val="0"/>
            <c:spPr>
              <a:noFill/>
            </c:spPr>
            <c:extLst>
              <c:ext xmlns:c16="http://schemas.microsoft.com/office/drawing/2014/chart" uri="{C3380CC4-5D6E-409C-BE32-E72D297353CC}">
                <c16:uniqueId val="{00000031-690A-4D26-8996-59175A22B459}"/>
              </c:ext>
            </c:extLst>
          </c:dPt>
          <c:dPt>
            <c:idx val="25"/>
            <c:bubble3D val="0"/>
            <c:spPr>
              <a:solidFill>
                <a:schemeClr val="tx1"/>
              </a:solidFill>
            </c:spPr>
            <c:extLst>
              <c:ext xmlns:c16="http://schemas.microsoft.com/office/drawing/2014/chart" uri="{C3380CC4-5D6E-409C-BE32-E72D297353CC}">
                <c16:uniqueId val="{00000033-690A-4D26-8996-59175A22B459}"/>
              </c:ext>
            </c:extLst>
          </c:dPt>
          <c:dPt>
            <c:idx val="26"/>
            <c:bubble3D val="0"/>
            <c:spPr>
              <a:noFill/>
            </c:spPr>
            <c:extLst>
              <c:ext xmlns:c16="http://schemas.microsoft.com/office/drawing/2014/chart" uri="{C3380CC4-5D6E-409C-BE32-E72D297353CC}">
                <c16:uniqueId val="{00000035-690A-4D26-8996-59175A22B459}"/>
              </c:ext>
            </c:extLst>
          </c:dPt>
          <c:dPt>
            <c:idx val="27"/>
            <c:bubble3D val="0"/>
            <c:spPr>
              <a:noFill/>
            </c:spPr>
            <c:extLst>
              <c:ext xmlns:c16="http://schemas.microsoft.com/office/drawing/2014/chart" uri="{C3380CC4-5D6E-409C-BE32-E72D297353CC}">
                <c16:uniqueId val="{00000037-690A-4D26-8996-59175A22B459}"/>
              </c:ext>
            </c:extLst>
          </c:dPt>
          <c:dPt>
            <c:idx val="28"/>
            <c:bubble3D val="0"/>
            <c:spPr>
              <a:solidFill>
                <a:schemeClr val="tx1"/>
              </a:solidFill>
            </c:spPr>
            <c:extLst>
              <c:ext xmlns:c16="http://schemas.microsoft.com/office/drawing/2014/chart" uri="{C3380CC4-5D6E-409C-BE32-E72D297353CC}">
                <c16:uniqueId val="{00000039-690A-4D26-8996-59175A22B459}"/>
              </c:ext>
            </c:extLst>
          </c:dPt>
          <c:dPt>
            <c:idx val="29"/>
            <c:bubble3D val="0"/>
            <c:spPr>
              <a:noFill/>
            </c:spPr>
            <c:extLst>
              <c:ext xmlns:c16="http://schemas.microsoft.com/office/drawing/2014/chart" uri="{C3380CC4-5D6E-409C-BE32-E72D297353CC}">
                <c16:uniqueId val="{0000003B-690A-4D26-8996-59175A22B459}"/>
              </c:ext>
            </c:extLst>
          </c:dPt>
          <c:dPt>
            <c:idx val="30"/>
            <c:bubble3D val="0"/>
            <c:spPr>
              <a:noFill/>
            </c:spPr>
            <c:extLst>
              <c:ext xmlns:c16="http://schemas.microsoft.com/office/drawing/2014/chart" uri="{C3380CC4-5D6E-409C-BE32-E72D297353CC}">
                <c16:uniqueId val="{0000003D-690A-4D26-8996-59175A22B459}"/>
              </c:ext>
            </c:extLst>
          </c:dPt>
          <c:dPt>
            <c:idx val="31"/>
            <c:bubble3D val="0"/>
            <c:spPr>
              <a:solidFill>
                <a:schemeClr val="tx1"/>
              </a:solidFill>
            </c:spPr>
            <c:extLst>
              <c:ext xmlns:c16="http://schemas.microsoft.com/office/drawing/2014/chart" uri="{C3380CC4-5D6E-409C-BE32-E72D297353CC}">
                <c16:uniqueId val="{0000003F-690A-4D26-8996-59175A22B459}"/>
              </c:ext>
            </c:extLst>
          </c:dPt>
          <c:dPt>
            <c:idx val="32"/>
            <c:bubble3D val="0"/>
            <c:spPr>
              <a:noFill/>
            </c:spPr>
            <c:extLst>
              <c:ext xmlns:c16="http://schemas.microsoft.com/office/drawing/2014/chart" uri="{C3380CC4-5D6E-409C-BE32-E72D297353CC}">
                <c16:uniqueId val="{00000041-690A-4D26-8996-59175A22B459}"/>
              </c:ext>
            </c:extLst>
          </c:dPt>
          <c:dPt>
            <c:idx val="33"/>
            <c:bubble3D val="0"/>
            <c:spPr>
              <a:noFill/>
            </c:spPr>
            <c:extLst>
              <c:ext xmlns:c16="http://schemas.microsoft.com/office/drawing/2014/chart" uri="{C3380CC4-5D6E-409C-BE32-E72D297353CC}">
                <c16:uniqueId val="{00000043-690A-4D26-8996-59175A22B459}"/>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690A-4D26-8996-59175A22B45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5743-49B8-ABAB-EC28BBBE772A}"/>
              </c:ext>
            </c:extLst>
          </c:dPt>
          <c:dPt>
            <c:idx val="1"/>
            <c:bubble3D val="0"/>
            <c:spPr>
              <a:solidFill>
                <a:schemeClr val="accent3">
                  <a:lumMod val="50000"/>
                </a:schemeClr>
              </a:solidFill>
              <a:ln>
                <a:noFill/>
              </a:ln>
            </c:spPr>
            <c:extLst>
              <c:ext xmlns:c16="http://schemas.microsoft.com/office/drawing/2014/chart" uri="{C3380CC4-5D6E-409C-BE32-E72D297353CC}">
                <c16:uniqueId val="{00000003-5743-49B8-ABAB-EC28BBBE772A}"/>
              </c:ext>
            </c:extLst>
          </c:dPt>
          <c:dPt>
            <c:idx val="2"/>
            <c:bubble3D val="0"/>
            <c:spPr>
              <a:noFill/>
            </c:spPr>
            <c:extLst>
              <c:ext xmlns:c16="http://schemas.microsoft.com/office/drawing/2014/chart" uri="{C3380CC4-5D6E-409C-BE32-E72D297353CC}">
                <c16:uniqueId val="{00000005-5743-49B8-ABAB-EC28BBBE772A}"/>
              </c:ext>
            </c:extLst>
          </c:dPt>
          <c:dPt>
            <c:idx val="3"/>
            <c:bubble3D val="0"/>
            <c:spPr>
              <a:solidFill>
                <a:srgbClr val="CBE4EB"/>
              </a:solidFill>
              <a:ln>
                <a:noFill/>
              </a:ln>
            </c:spPr>
            <c:extLst>
              <c:ext xmlns:c16="http://schemas.microsoft.com/office/drawing/2014/chart" uri="{C3380CC4-5D6E-409C-BE32-E72D297353CC}">
                <c16:uniqueId val="{00000007-5743-49B8-ABAB-EC28BBBE772A}"/>
              </c:ext>
            </c:extLst>
          </c:dPt>
          <c:dPt>
            <c:idx val="4"/>
            <c:bubble3D val="0"/>
            <c:spPr>
              <a:solidFill>
                <a:schemeClr val="accent3"/>
              </a:solidFill>
              <a:ln>
                <a:noFill/>
              </a:ln>
            </c:spPr>
            <c:extLst>
              <c:ext xmlns:c16="http://schemas.microsoft.com/office/drawing/2014/chart" uri="{C3380CC4-5D6E-409C-BE32-E72D297353CC}">
                <c16:uniqueId val="{00000009-5743-49B8-ABAB-EC28BBBE772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743-49B8-ABAB-EC28BBBE772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34D-4CBA-8206-1BB1F4FAB7F8}"/>
              </c:ext>
            </c:extLst>
          </c:dPt>
          <c:dPt>
            <c:idx val="1"/>
            <c:bubble3D val="0"/>
            <c:spPr>
              <a:solidFill>
                <a:schemeClr val="tx1"/>
              </a:solidFill>
              <a:ln>
                <a:noFill/>
              </a:ln>
            </c:spPr>
            <c:extLst>
              <c:ext xmlns:c16="http://schemas.microsoft.com/office/drawing/2014/chart" uri="{C3380CC4-5D6E-409C-BE32-E72D297353CC}">
                <c16:uniqueId val="{00000003-034D-4CBA-8206-1BB1F4FAB7F8}"/>
              </c:ext>
            </c:extLst>
          </c:dPt>
          <c:dPt>
            <c:idx val="2"/>
            <c:bubble3D val="0"/>
            <c:spPr>
              <a:noFill/>
            </c:spPr>
            <c:extLst>
              <c:ext xmlns:c16="http://schemas.microsoft.com/office/drawing/2014/chart" uri="{C3380CC4-5D6E-409C-BE32-E72D297353CC}">
                <c16:uniqueId val="{00000005-034D-4CBA-8206-1BB1F4FAB7F8}"/>
              </c:ext>
            </c:extLst>
          </c:dPt>
          <c:dPt>
            <c:idx val="3"/>
            <c:bubble3D val="0"/>
            <c:spPr>
              <a:noFill/>
            </c:spPr>
            <c:extLst>
              <c:ext xmlns:c16="http://schemas.microsoft.com/office/drawing/2014/chart" uri="{C3380CC4-5D6E-409C-BE32-E72D297353CC}">
                <c16:uniqueId val="{00000007-034D-4CBA-8206-1BB1F4FAB7F8}"/>
              </c:ext>
            </c:extLst>
          </c:dPt>
          <c:dPt>
            <c:idx val="4"/>
            <c:bubble3D val="0"/>
            <c:spPr>
              <a:solidFill>
                <a:schemeClr val="tx1"/>
              </a:solidFill>
              <a:ln>
                <a:noFill/>
              </a:ln>
            </c:spPr>
            <c:extLst>
              <c:ext xmlns:c16="http://schemas.microsoft.com/office/drawing/2014/chart" uri="{C3380CC4-5D6E-409C-BE32-E72D297353CC}">
                <c16:uniqueId val="{00000009-034D-4CBA-8206-1BB1F4FAB7F8}"/>
              </c:ext>
            </c:extLst>
          </c:dPt>
          <c:dPt>
            <c:idx val="5"/>
            <c:bubble3D val="0"/>
            <c:spPr>
              <a:noFill/>
            </c:spPr>
            <c:extLst>
              <c:ext xmlns:c16="http://schemas.microsoft.com/office/drawing/2014/chart" uri="{C3380CC4-5D6E-409C-BE32-E72D297353CC}">
                <c16:uniqueId val="{0000000B-034D-4CBA-8206-1BB1F4FAB7F8}"/>
              </c:ext>
            </c:extLst>
          </c:dPt>
          <c:dPt>
            <c:idx val="6"/>
            <c:bubble3D val="0"/>
            <c:spPr>
              <a:noFill/>
            </c:spPr>
            <c:extLst>
              <c:ext xmlns:c16="http://schemas.microsoft.com/office/drawing/2014/chart" uri="{C3380CC4-5D6E-409C-BE32-E72D297353CC}">
                <c16:uniqueId val="{0000000D-034D-4CBA-8206-1BB1F4FAB7F8}"/>
              </c:ext>
            </c:extLst>
          </c:dPt>
          <c:dPt>
            <c:idx val="7"/>
            <c:bubble3D val="0"/>
            <c:spPr>
              <a:solidFill>
                <a:schemeClr val="tx1"/>
              </a:solidFill>
              <a:ln>
                <a:noFill/>
              </a:ln>
            </c:spPr>
            <c:extLst>
              <c:ext xmlns:c16="http://schemas.microsoft.com/office/drawing/2014/chart" uri="{C3380CC4-5D6E-409C-BE32-E72D297353CC}">
                <c16:uniqueId val="{0000000F-034D-4CBA-8206-1BB1F4FAB7F8}"/>
              </c:ext>
            </c:extLst>
          </c:dPt>
          <c:dPt>
            <c:idx val="8"/>
            <c:bubble3D val="0"/>
            <c:spPr>
              <a:noFill/>
            </c:spPr>
            <c:extLst>
              <c:ext xmlns:c16="http://schemas.microsoft.com/office/drawing/2014/chart" uri="{C3380CC4-5D6E-409C-BE32-E72D297353CC}">
                <c16:uniqueId val="{00000011-034D-4CBA-8206-1BB1F4FAB7F8}"/>
              </c:ext>
            </c:extLst>
          </c:dPt>
          <c:dPt>
            <c:idx val="9"/>
            <c:bubble3D val="0"/>
            <c:spPr>
              <a:noFill/>
            </c:spPr>
            <c:extLst>
              <c:ext xmlns:c16="http://schemas.microsoft.com/office/drawing/2014/chart" uri="{C3380CC4-5D6E-409C-BE32-E72D297353CC}">
                <c16:uniqueId val="{00000013-034D-4CBA-8206-1BB1F4FAB7F8}"/>
              </c:ext>
            </c:extLst>
          </c:dPt>
          <c:dPt>
            <c:idx val="10"/>
            <c:bubble3D val="0"/>
            <c:spPr>
              <a:solidFill>
                <a:schemeClr val="tx1"/>
              </a:solidFill>
            </c:spPr>
            <c:extLst>
              <c:ext xmlns:c16="http://schemas.microsoft.com/office/drawing/2014/chart" uri="{C3380CC4-5D6E-409C-BE32-E72D297353CC}">
                <c16:uniqueId val="{00000015-034D-4CBA-8206-1BB1F4FAB7F8}"/>
              </c:ext>
            </c:extLst>
          </c:dPt>
          <c:dPt>
            <c:idx val="11"/>
            <c:bubble3D val="0"/>
            <c:spPr>
              <a:noFill/>
            </c:spPr>
            <c:extLst>
              <c:ext xmlns:c16="http://schemas.microsoft.com/office/drawing/2014/chart" uri="{C3380CC4-5D6E-409C-BE32-E72D297353CC}">
                <c16:uniqueId val="{00000017-034D-4CBA-8206-1BB1F4FAB7F8}"/>
              </c:ext>
            </c:extLst>
          </c:dPt>
          <c:dPt>
            <c:idx val="12"/>
            <c:bubble3D val="0"/>
            <c:spPr>
              <a:noFill/>
            </c:spPr>
            <c:extLst>
              <c:ext xmlns:c16="http://schemas.microsoft.com/office/drawing/2014/chart" uri="{C3380CC4-5D6E-409C-BE32-E72D297353CC}">
                <c16:uniqueId val="{00000019-034D-4CBA-8206-1BB1F4FAB7F8}"/>
              </c:ext>
            </c:extLst>
          </c:dPt>
          <c:dPt>
            <c:idx val="13"/>
            <c:bubble3D val="0"/>
            <c:spPr>
              <a:solidFill>
                <a:schemeClr val="tx1"/>
              </a:solidFill>
            </c:spPr>
            <c:extLst>
              <c:ext xmlns:c16="http://schemas.microsoft.com/office/drawing/2014/chart" uri="{C3380CC4-5D6E-409C-BE32-E72D297353CC}">
                <c16:uniqueId val="{0000001B-034D-4CBA-8206-1BB1F4FAB7F8}"/>
              </c:ext>
            </c:extLst>
          </c:dPt>
          <c:dPt>
            <c:idx val="14"/>
            <c:bubble3D val="0"/>
            <c:spPr>
              <a:noFill/>
            </c:spPr>
            <c:extLst>
              <c:ext xmlns:c16="http://schemas.microsoft.com/office/drawing/2014/chart" uri="{C3380CC4-5D6E-409C-BE32-E72D297353CC}">
                <c16:uniqueId val="{0000001D-034D-4CBA-8206-1BB1F4FAB7F8}"/>
              </c:ext>
            </c:extLst>
          </c:dPt>
          <c:dPt>
            <c:idx val="15"/>
            <c:bubble3D val="0"/>
            <c:spPr>
              <a:noFill/>
            </c:spPr>
            <c:extLst>
              <c:ext xmlns:c16="http://schemas.microsoft.com/office/drawing/2014/chart" uri="{C3380CC4-5D6E-409C-BE32-E72D297353CC}">
                <c16:uniqueId val="{0000001F-034D-4CBA-8206-1BB1F4FAB7F8}"/>
              </c:ext>
            </c:extLst>
          </c:dPt>
          <c:dPt>
            <c:idx val="16"/>
            <c:bubble3D val="0"/>
            <c:spPr>
              <a:solidFill>
                <a:schemeClr val="tx1"/>
              </a:solidFill>
            </c:spPr>
            <c:extLst>
              <c:ext xmlns:c16="http://schemas.microsoft.com/office/drawing/2014/chart" uri="{C3380CC4-5D6E-409C-BE32-E72D297353CC}">
                <c16:uniqueId val="{00000021-034D-4CBA-8206-1BB1F4FAB7F8}"/>
              </c:ext>
            </c:extLst>
          </c:dPt>
          <c:dPt>
            <c:idx val="17"/>
            <c:bubble3D val="0"/>
            <c:spPr>
              <a:noFill/>
            </c:spPr>
            <c:extLst>
              <c:ext xmlns:c16="http://schemas.microsoft.com/office/drawing/2014/chart" uri="{C3380CC4-5D6E-409C-BE32-E72D297353CC}">
                <c16:uniqueId val="{00000023-034D-4CBA-8206-1BB1F4FAB7F8}"/>
              </c:ext>
            </c:extLst>
          </c:dPt>
          <c:dPt>
            <c:idx val="18"/>
            <c:bubble3D val="0"/>
            <c:spPr>
              <a:noFill/>
            </c:spPr>
            <c:extLst>
              <c:ext xmlns:c16="http://schemas.microsoft.com/office/drawing/2014/chart" uri="{C3380CC4-5D6E-409C-BE32-E72D297353CC}">
                <c16:uniqueId val="{00000025-034D-4CBA-8206-1BB1F4FAB7F8}"/>
              </c:ext>
            </c:extLst>
          </c:dPt>
          <c:dPt>
            <c:idx val="19"/>
            <c:bubble3D val="0"/>
            <c:spPr>
              <a:solidFill>
                <a:schemeClr val="tx1"/>
              </a:solidFill>
            </c:spPr>
            <c:extLst>
              <c:ext xmlns:c16="http://schemas.microsoft.com/office/drawing/2014/chart" uri="{C3380CC4-5D6E-409C-BE32-E72D297353CC}">
                <c16:uniqueId val="{00000027-034D-4CBA-8206-1BB1F4FAB7F8}"/>
              </c:ext>
            </c:extLst>
          </c:dPt>
          <c:dPt>
            <c:idx val="20"/>
            <c:bubble3D val="0"/>
            <c:spPr>
              <a:noFill/>
            </c:spPr>
            <c:extLst>
              <c:ext xmlns:c16="http://schemas.microsoft.com/office/drawing/2014/chart" uri="{C3380CC4-5D6E-409C-BE32-E72D297353CC}">
                <c16:uniqueId val="{00000029-034D-4CBA-8206-1BB1F4FAB7F8}"/>
              </c:ext>
            </c:extLst>
          </c:dPt>
          <c:dPt>
            <c:idx val="21"/>
            <c:bubble3D val="0"/>
            <c:spPr>
              <a:noFill/>
            </c:spPr>
            <c:extLst>
              <c:ext xmlns:c16="http://schemas.microsoft.com/office/drawing/2014/chart" uri="{C3380CC4-5D6E-409C-BE32-E72D297353CC}">
                <c16:uniqueId val="{0000002B-034D-4CBA-8206-1BB1F4FAB7F8}"/>
              </c:ext>
            </c:extLst>
          </c:dPt>
          <c:dPt>
            <c:idx val="22"/>
            <c:bubble3D val="0"/>
            <c:spPr>
              <a:solidFill>
                <a:schemeClr val="tx1"/>
              </a:solidFill>
            </c:spPr>
            <c:extLst>
              <c:ext xmlns:c16="http://schemas.microsoft.com/office/drawing/2014/chart" uri="{C3380CC4-5D6E-409C-BE32-E72D297353CC}">
                <c16:uniqueId val="{0000002D-034D-4CBA-8206-1BB1F4FAB7F8}"/>
              </c:ext>
            </c:extLst>
          </c:dPt>
          <c:dPt>
            <c:idx val="23"/>
            <c:bubble3D val="0"/>
            <c:spPr>
              <a:noFill/>
            </c:spPr>
            <c:extLst>
              <c:ext xmlns:c16="http://schemas.microsoft.com/office/drawing/2014/chart" uri="{C3380CC4-5D6E-409C-BE32-E72D297353CC}">
                <c16:uniqueId val="{0000002F-034D-4CBA-8206-1BB1F4FAB7F8}"/>
              </c:ext>
            </c:extLst>
          </c:dPt>
          <c:dPt>
            <c:idx val="24"/>
            <c:bubble3D val="0"/>
            <c:spPr>
              <a:noFill/>
            </c:spPr>
            <c:extLst>
              <c:ext xmlns:c16="http://schemas.microsoft.com/office/drawing/2014/chart" uri="{C3380CC4-5D6E-409C-BE32-E72D297353CC}">
                <c16:uniqueId val="{00000031-034D-4CBA-8206-1BB1F4FAB7F8}"/>
              </c:ext>
            </c:extLst>
          </c:dPt>
          <c:dPt>
            <c:idx val="25"/>
            <c:bubble3D val="0"/>
            <c:spPr>
              <a:solidFill>
                <a:schemeClr val="tx1"/>
              </a:solidFill>
            </c:spPr>
            <c:extLst>
              <c:ext xmlns:c16="http://schemas.microsoft.com/office/drawing/2014/chart" uri="{C3380CC4-5D6E-409C-BE32-E72D297353CC}">
                <c16:uniqueId val="{00000033-034D-4CBA-8206-1BB1F4FAB7F8}"/>
              </c:ext>
            </c:extLst>
          </c:dPt>
          <c:dPt>
            <c:idx val="26"/>
            <c:bubble3D val="0"/>
            <c:spPr>
              <a:noFill/>
            </c:spPr>
            <c:extLst>
              <c:ext xmlns:c16="http://schemas.microsoft.com/office/drawing/2014/chart" uri="{C3380CC4-5D6E-409C-BE32-E72D297353CC}">
                <c16:uniqueId val="{00000035-034D-4CBA-8206-1BB1F4FAB7F8}"/>
              </c:ext>
            </c:extLst>
          </c:dPt>
          <c:dPt>
            <c:idx val="27"/>
            <c:bubble3D val="0"/>
            <c:spPr>
              <a:noFill/>
            </c:spPr>
            <c:extLst>
              <c:ext xmlns:c16="http://schemas.microsoft.com/office/drawing/2014/chart" uri="{C3380CC4-5D6E-409C-BE32-E72D297353CC}">
                <c16:uniqueId val="{00000037-034D-4CBA-8206-1BB1F4FAB7F8}"/>
              </c:ext>
            </c:extLst>
          </c:dPt>
          <c:dPt>
            <c:idx val="28"/>
            <c:bubble3D val="0"/>
            <c:spPr>
              <a:solidFill>
                <a:schemeClr val="tx1"/>
              </a:solidFill>
            </c:spPr>
            <c:extLst>
              <c:ext xmlns:c16="http://schemas.microsoft.com/office/drawing/2014/chart" uri="{C3380CC4-5D6E-409C-BE32-E72D297353CC}">
                <c16:uniqueId val="{00000039-034D-4CBA-8206-1BB1F4FAB7F8}"/>
              </c:ext>
            </c:extLst>
          </c:dPt>
          <c:dPt>
            <c:idx val="29"/>
            <c:bubble3D val="0"/>
            <c:spPr>
              <a:noFill/>
            </c:spPr>
            <c:extLst>
              <c:ext xmlns:c16="http://schemas.microsoft.com/office/drawing/2014/chart" uri="{C3380CC4-5D6E-409C-BE32-E72D297353CC}">
                <c16:uniqueId val="{0000003B-034D-4CBA-8206-1BB1F4FAB7F8}"/>
              </c:ext>
            </c:extLst>
          </c:dPt>
          <c:dPt>
            <c:idx val="30"/>
            <c:bubble3D val="0"/>
            <c:spPr>
              <a:noFill/>
            </c:spPr>
            <c:extLst>
              <c:ext xmlns:c16="http://schemas.microsoft.com/office/drawing/2014/chart" uri="{C3380CC4-5D6E-409C-BE32-E72D297353CC}">
                <c16:uniqueId val="{0000003D-034D-4CBA-8206-1BB1F4FAB7F8}"/>
              </c:ext>
            </c:extLst>
          </c:dPt>
          <c:dPt>
            <c:idx val="31"/>
            <c:bubble3D val="0"/>
            <c:spPr>
              <a:solidFill>
                <a:schemeClr val="tx1"/>
              </a:solidFill>
            </c:spPr>
            <c:extLst>
              <c:ext xmlns:c16="http://schemas.microsoft.com/office/drawing/2014/chart" uri="{C3380CC4-5D6E-409C-BE32-E72D297353CC}">
                <c16:uniqueId val="{0000003F-034D-4CBA-8206-1BB1F4FAB7F8}"/>
              </c:ext>
            </c:extLst>
          </c:dPt>
          <c:dPt>
            <c:idx val="32"/>
            <c:bubble3D val="0"/>
            <c:spPr>
              <a:noFill/>
            </c:spPr>
            <c:extLst>
              <c:ext xmlns:c16="http://schemas.microsoft.com/office/drawing/2014/chart" uri="{C3380CC4-5D6E-409C-BE32-E72D297353CC}">
                <c16:uniqueId val="{00000041-034D-4CBA-8206-1BB1F4FAB7F8}"/>
              </c:ext>
            </c:extLst>
          </c:dPt>
          <c:dPt>
            <c:idx val="33"/>
            <c:bubble3D val="0"/>
            <c:spPr>
              <a:noFill/>
            </c:spPr>
            <c:extLst>
              <c:ext xmlns:c16="http://schemas.microsoft.com/office/drawing/2014/chart" uri="{C3380CC4-5D6E-409C-BE32-E72D297353CC}">
                <c16:uniqueId val="{00000043-034D-4CBA-8206-1BB1F4FAB7F8}"/>
              </c:ext>
            </c:extLst>
          </c:dPt>
          <c:cat>
            <c:strRef>
              <c:f>tlGraphs!$Q$64:$Q$97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tlGraphs!$R$64:$R$97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34D-4CBA-8206-1BB1F4FAB7F8}"/>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0516-4CAC-82EA-379933C8E92E}"/>
              </c:ext>
            </c:extLst>
          </c:dPt>
          <c:dPt>
            <c:idx val="1"/>
            <c:bubble3D val="0"/>
            <c:spPr>
              <a:solidFill>
                <a:srgbClr val="054680"/>
              </a:solidFill>
              <a:ln>
                <a:noFill/>
              </a:ln>
            </c:spPr>
            <c:extLst>
              <c:ext xmlns:c16="http://schemas.microsoft.com/office/drawing/2014/chart" uri="{C3380CC4-5D6E-409C-BE32-E72D297353CC}">
                <c16:uniqueId val="{00000003-0516-4CAC-82EA-379933C8E92E}"/>
              </c:ext>
            </c:extLst>
          </c:dPt>
          <c:dPt>
            <c:idx val="2"/>
            <c:bubble3D val="0"/>
            <c:spPr>
              <a:noFill/>
            </c:spPr>
            <c:extLst>
              <c:ext xmlns:c16="http://schemas.microsoft.com/office/drawing/2014/chart" uri="{C3380CC4-5D6E-409C-BE32-E72D297353CC}">
                <c16:uniqueId val="{00000005-0516-4CAC-82EA-379933C8E92E}"/>
              </c:ext>
            </c:extLst>
          </c:dPt>
          <c:dPt>
            <c:idx val="3"/>
            <c:bubble3D val="0"/>
            <c:spPr>
              <a:solidFill>
                <a:srgbClr val="CBE4EB"/>
              </a:solidFill>
              <a:ln>
                <a:noFill/>
              </a:ln>
            </c:spPr>
            <c:extLst>
              <c:ext xmlns:c16="http://schemas.microsoft.com/office/drawing/2014/chart" uri="{C3380CC4-5D6E-409C-BE32-E72D297353CC}">
                <c16:uniqueId val="{00000007-0516-4CAC-82EA-379933C8E92E}"/>
              </c:ext>
            </c:extLst>
          </c:dPt>
          <c:dPt>
            <c:idx val="4"/>
            <c:bubble3D val="0"/>
            <c:spPr>
              <a:solidFill>
                <a:srgbClr val="007AC5"/>
              </a:solidFill>
              <a:ln>
                <a:noFill/>
              </a:ln>
            </c:spPr>
            <c:extLst>
              <c:ext xmlns:c16="http://schemas.microsoft.com/office/drawing/2014/chart" uri="{C3380CC4-5D6E-409C-BE32-E72D297353CC}">
                <c16:uniqueId val="{00000009-0516-4CAC-82EA-379933C8E92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516-4CAC-82EA-379933C8E92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CE4-4F25-9993-405DD39CBF5B}"/>
              </c:ext>
            </c:extLst>
          </c:dPt>
          <c:dPt>
            <c:idx val="1"/>
            <c:bubble3D val="0"/>
            <c:spPr>
              <a:solidFill>
                <a:schemeClr val="tx1"/>
              </a:solidFill>
              <a:ln>
                <a:noFill/>
              </a:ln>
            </c:spPr>
            <c:extLst>
              <c:ext xmlns:c16="http://schemas.microsoft.com/office/drawing/2014/chart" uri="{C3380CC4-5D6E-409C-BE32-E72D297353CC}">
                <c16:uniqueId val="{00000003-ACE4-4F25-9993-405DD39CBF5B}"/>
              </c:ext>
            </c:extLst>
          </c:dPt>
          <c:dPt>
            <c:idx val="2"/>
            <c:bubble3D val="0"/>
            <c:spPr>
              <a:noFill/>
            </c:spPr>
            <c:extLst>
              <c:ext xmlns:c16="http://schemas.microsoft.com/office/drawing/2014/chart" uri="{C3380CC4-5D6E-409C-BE32-E72D297353CC}">
                <c16:uniqueId val="{00000005-ACE4-4F25-9993-405DD39CBF5B}"/>
              </c:ext>
            </c:extLst>
          </c:dPt>
          <c:dPt>
            <c:idx val="3"/>
            <c:bubble3D val="0"/>
            <c:spPr>
              <a:noFill/>
            </c:spPr>
            <c:extLst>
              <c:ext xmlns:c16="http://schemas.microsoft.com/office/drawing/2014/chart" uri="{C3380CC4-5D6E-409C-BE32-E72D297353CC}">
                <c16:uniqueId val="{00000007-ACE4-4F25-9993-405DD39CBF5B}"/>
              </c:ext>
            </c:extLst>
          </c:dPt>
          <c:dPt>
            <c:idx val="4"/>
            <c:bubble3D val="0"/>
            <c:spPr>
              <a:solidFill>
                <a:schemeClr val="tx1"/>
              </a:solidFill>
              <a:ln>
                <a:noFill/>
              </a:ln>
            </c:spPr>
            <c:extLst>
              <c:ext xmlns:c16="http://schemas.microsoft.com/office/drawing/2014/chart" uri="{C3380CC4-5D6E-409C-BE32-E72D297353CC}">
                <c16:uniqueId val="{00000009-ACE4-4F25-9993-405DD39CBF5B}"/>
              </c:ext>
            </c:extLst>
          </c:dPt>
          <c:dPt>
            <c:idx val="5"/>
            <c:bubble3D val="0"/>
            <c:spPr>
              <a:noFill/>
            </c:spPr>
            <c:extLst>
              <c:ext xmlns:c16="http://schemas.microsoft.com/office/drawing/2014/chart" uri="{C3380CC4-5D6E-409C-BE32-E72D297353CC}">
                <c16:uniqueId val="{0000000B-ACE4-4F25-9993-405DD39CBF5B}"/>
              </c:ext>
            </c:extLst>
          </c:dPt>
          <c:dPt>
            <c:idx val="6"/>
            <c:bubble3D val="0"/>
            <c:spPr>
              <a:noFill/>
            </c:spPr>
            <c:extLst>
              <c:ext xmlns:c16="http://schemas.microsoft.com/office/drawing/2014/chart" uri="{C3380CC4-5D6E-409C-BE32-E72D297353CC}">
                <c16:uniqueId val="{0000000D-ACE4-4F25-9993-405DD39CBF5B}"/>
              </c:ext>
            </c:extLst>
          </c:dPt>
          <c:dPt>
            <c:idx val="7"/>
            <c:bubble3D val="0"/>
            <c:spPr>
              <a:solidFill>
                <a:schemeClr val="tx1"/>
              </a:solidFill>
              <a:ln>
                <a:noFill/>
              </a:ln>
            </c:spPr>
            <c:extLst>
              <c:ext xmlns:c16="http://schemas.microsoft.com/office/drawing/2014/chart" uri="{C3380CC4-5D6E-409C-BE32-E72D297353CC}">
                <c16:uniqueId val="{0000000F-ACE4-4F25-9993-405DD39CBF5B}"/>
              </c:ext>
            </c:extLst>
          </c:dPt>
          <c:dPt>
            <c:idx val="8"/>
            <c:bubble3D val="0"/>
            <c:spPr>
              <a:noFill/>
            </c:spPr>
            <c:extLst>
              <c:ext xmlns:c16="http://schemas.microsoft.com/office/drawing/2014/chart" uri="{C3380CC4-5D6E-409C-BE32-E72D297353CC}">
                <c16:uniqueId val="{00000011-ACE4-4F25-9993-405DD39CBF5B}"/>
              </c:ext>
            </c:extLst>
          </c:dPt>
          <c:dPt>
            <c:idx val="9"/>
            <c:bubble3D val="0"/>
            <c:spPr>
              <a:noFill/>
            </c:spPr>
            <c:extLst>
              <c:ext xmlns:c16="http://schemas.microsoft.com/office/drawing/2014/chart" uri="{C3380CC4-5D6E-409C-BE32-E72D297353CC}">
                <c16:uniqueId val="{00000013-ACE4-4F25-9993-405DD39CBF5B}"/>
              </c:ext>
            </c:extLst>
          </c:dPt>
          <c:dPt>
            <c:idx val="10"/>
            <c:bubble3D val="0"/>
            <c:spPr>
              <a:solidFill>
                <a:schemeClr val="tx1"/>
              </a:solidFill>
            </c:spPr>
            <c:extLst>
              <c:ext xmlns:c16="http://schemas.microsoft.com/office/drawing/2014/chart" uri="{C3380CC4-5D6E-409C-BE32-E72D297353CC}">
                <c16:uniqueId val="{00000015-ACE4-4F25-9993-405DD39CBF5B}"/>
              </c:ext>
            </c:extLst>
          </c:dPt>
          <c:dPt>
            <c:idx val="11"/>
            <c:bubble3D val="0"/>
            <c:spPr>
              <a:noFill/>
            </c:spPr>
            <c:extLst>
              <c:ext xmlns:c16="http://schemas.microsoft.com/office/drawing/2014/chart" uri="{C3380CC4-5D6E-409C-BE32-E72D297353CC}">
                <c16:uniqueId val="{00000017-ACE4-4F25-9993-405DD39CBF5B}"/>
              </c:ext>
            </c:extLst>
          </c:dPt>
          <c:dPt>
            <c:idx val="12"/>
            <c:bubble3D val="0"/>
            <c:spPr>
              <a:noFill/>
            </c:spPr>
            <c:extLst>
              <c:ext xmlns:c16="http://schemas.microsoft.com/office/drawing/2014/chart" uri="{C3380CC4-5D6E-409C-BE32-E72D297353CC}">
                <c16:uniqueId val="{00000019-ACE4-4F25-9993-405DD39CBF5B}"/>
              </c:ext>
            </c:extLst>
          </c:dPt>
          <c:dPt>
            <c:idx val="13"/>
            <c:bubble3D val="0"/>
            <c:spPr>
              <a:solidFill>
                <a:schemeClr val="tx1"/>
              </a:solidFill>
            </c:spPr>
            <c:extLst>
              <c:ext xmlns:c16="http://schemas.microsoft.com/office/drawing/2014/chart" uri="{C3380CC4-5D6E-409C-BE32-E72D297353CC}">
                <c16:uniqueId val="{0000001B-ACE4-4F25-9993-405DD39CBF5B}"/>
              </c:ext>
            </c:extLst>
          </c:dPt>
          <c:dPt>
            <c:idx val="14"/>
            <c:bubble3D val="0"/>
            <c:spPr>
              <a:noFill/>
            </c:spPr>
            <c:extLst>
              <c:ext xmlns:c16="http://schemas.microsoft.com/office/drawing/2014/chart" uri="{C3380CC4-5D6E-409C-BE32-E72D297353CC}">
                <c16:uniqueId val="{0000001D-ACE4-4F25-9993-405DD39CBF5B}"/>
              </c:ext>
            </c:extLst>
          </c:dPt>
          <c:dPt>
            <c:idx val="15"/>
            <c:bubble3D val="0"/>
            <c:spPr>
              <a:noFill/>
            </c:spPr>
            <c:extLst>
              <c:ext xmlns:c16="http://schemas.microsoft.com/office/drawing/2014/chart" uri="{C3380CC4-5D6E-409C-BE32-E72D297353CC}">
                <c16:uniqueId val="{0000001F-ACE4-4F25-9993-405DD39CBF5B}"/>
              </c:ext>
            </c:extLst>
          </c:dPt>
          <c:dPt>
            <c:idx val="16"/>
            <c:bubble3D val="0"/>
            <c:spPr>
              <a:solidFill>
                <a:schemeClr val="tx1"/>
              </a:solidFill>
            </c:spPr>
            <c:extLst>
              <c:ext xmlns:c16="http://schemas.microsoft.com/office/drawing/2014/chart" uri="{C3380CC4-5D6E-409C-BE32-E72D297353CC}">
                <c16:uniqueId val="{00000021-ACE4-4F25-9993-405DD39CBF5B}"/>
              </c:ext>
            </c:extLst>
          </c:dPt>
          <c:dPt>
            <c:idx val="17"/>
            <c:bubble3D val="0"/>
            <c:spPr>
              <a:noFill/>
            </c:spPr>
            <c:extLst>
              <c:ext xmlns:c16="http://schemas.microsoft.com/office/drawing/2014/chart" uri="{C3380CC4-5D6E-409C-BE32-E72D297353CC}">
                <c16:uniqueId val="{00000023-ACE4-4F25-9993-405DD39CBF5B}"/>
              </c:ext>
            </c:extLst>
          </c:dPt>
          <c:dPt>
            <c:idx val="18"/>
            <c:bubble3D val="0"/>
            <c:spPr>
              <a:noFill/>
            </c:spPr>
            <c:extLst>
              <c:ext xmlns:c16="http://schemas.microsoft.com/office/drawing/2014/chart" uri="{C3380CC4-5D6E-409C-BE32-E72D297353CC}">
                <c16:uniqueId val="{00000025-ACE4-4F25-9993-405DD39CBF5B}"/>
              </c:ext>
            </c:extLst>
          </c:dPt>
          <c:dPt>
            <c:idx val="19"/>
            <c:bubble3D val="0"/>
            <c:spPr>
              <a:solidFill>
                <a:schemeClr val="tx1"/>
              </a:solidFill>
            </c:spPr>
            <c:extLst>
              <c:ext xmlns:c16="http://schemas.microsoft.com/office/drawing/2014/chart" uri="{C3380CC4-5D6E-409C-BE32-E72D297353CC}">
                <c16:uniqueId val="{00000027-ACE4-4F25-9993-405DD39CBF5B}"/>
              </c:ext>
            </c:extLst>
          </c:dPt>
          <c:dPt>
            <c:idx val="20"/>
            <c:bubble3D val="0"/>
            <c:spPr>
              <a:noFill/>
            </c:spPr>
            <c:extLst>
              <c:ext xmlns:c16="http://schemas.microsoft.com/office/drawing/2014/chart" uri="{C3380CC4-5D6E-409C-BE32-E72D297353CC}">
                <c16:uniqueId val="{00000029-ACE4-4F25-9993-405DD39CBF5B}"/>
              </c:ext>
            </c:extLst>
          </c:dPt>
          <c:dPt>
            <c:idx val="21"/>
            <c:bubble3D val="0"/>
            <c:spPr>
              <a:noFill/>
            </c:spPr>
            <c:extLst>
              <c:ext xmlns:c16="http://schemas.microsoft.com/office/drawing/2014/chart" uri="{C3380CC4-5D6E-409C-BE32-E72D297353CC}">
                <c16:uniqueId val="{0000002B-ACE4-4F25-9993-405DD39CBF5B}"/>
              </c:ext>
            </c:extLst>
          </c:dPt>
          <c:dPt>
            <c:idx val="22"/>
            <c:bubble3D val="0"/>
            <c:spPr>
              <a:solidFill>
                <a:schemeClr val="tx1"/>
              </a:solidFill>
            </c:spPr>
            <c:extLst>
              <c:ext xmlns:c16="http://schemas.microsoft.com/office/drawing/2014/chart" uri="{C3380CC4-5D6E-409C-BE32-E72D297353CC}">
                <c16:uniqueId val="{0000002D-ACE4-4F25-9993-405DD39CBF5B}"/>
              </c:ext>
            </c:extLst>
          </c:dPt>
          <c:dPt>
            <c:idx val="23"/>
            <c:bubble3D val="0"/>
            <c:spPr>
              <a:noFill/>
            </c:spPr>
            <c:extLst>
              <c:ext xmlns:c16="http://schemas.microsoft.com/office/drawing/2014/chart" uri="{C3380CC4-5D6E-409C-BE32-E72D297353CC}">
                <c16:uniqueId val="{0000002F-ACE4-4F25-9993-405DD39CBF5B}"/>
              </c:ext>
            </c:extLst>
          </c:dPt>
          <c:dPt>
            <c:idx val="24"/>
            <c:bubble3D val="0"/>
            <c:spPr>
              <a:noFill/>
            </c:spPr>
            <c:extLst>
              <c:ext xmlns:c16="http://schemas.microsoft.com/office/drawing/2014/chart" uri="{C3380CC4-5D6E-409C-BE32-E72D297353CC}">
                <c16:uniqueId val="{00000031-ACE4-4F25-9993-405DD39CBF5B}"/>
              </c:ext>
            </c:extLst>
          </c:dPt>
          <c:dPt>
            <c:idx val="25"/>
            <c:bubble3D val="0"/>
            <c:spPr>
              <a:solidFill>
                <a:schemeClr val="tx1"/>
              </a:solidFill>
            </c:spPr>
            <c:extLst>
              <c:ext xmlns:c16="http://schemas.microsoft.com/office/drawing/2014/chart" uri="{C3380CC4-5D6E-409C-BE32-E72D297353CC}">
                <c16:uniqueId val="{00000033-ACE4-4F25-9993-405DD39CBF5B}"/>
              </c:ext>
            </c:extLst>
          </c:dPt>
          <c:dPt>
            <c:idx val="26"/>
            <c:bubble3D val="0"/>
            <c:spPr>
              <a:noFill/>
            </c:spPr>
            <c:extLst>
              <c:ext xmlns:c16="http://schemas.microsoft.com/office/drawing/2014/chart" uri="{C3380CC4-5D6E-409C-BE32-E72D297353CC}">
                <c16:uniqueId val="{00000035-ACE4-4F25-9993-405DD39CBF5B}"/>
              </c:ext>
            </c:extLst>
          </c:dPt>
          <c:dPt>
            <c:idx val="27"/>
            <c:bubble3D val="0"/>
            <c:spPr>
              <a:noFill/>
            </c:spPr>
            <c:extLst>
              <c:ext xmlns:c16="http://schemas.microsoft.com/office/drawing/2014/chart" uri="{C3380CC4-5D6E-409C-BE32-E72D297353CC}">
                <c16:uniqueId val="{00000037-ACE4-4F25-9993-405DD39CBF5B}"/>
              </c:ext>
            </c:extLst>
          </c:dPt>
          <c:dPt>
            <c:idx val="28"/>
            <c:bubble3D val="0"/>
            <c:spPr>
              <a:solidFill>
                <a:schemeClr val="tx1"/>
              </a:solidFill>
            </c:spPr>
            <c:extLst>
              <c:ext xmlns:c16="http://schemas.microsoft.com/office/drawing/2014/chart" uri="{C3380CC4-5D6E-409C-BE32-E72D297353CC}">
                <c16:uniqueId val="{00000039-ACE4-4F25-9993-405DD39CBF5B}"/>
              </c:ext>
            </c:extLst>
          </c:dPt>
          <c:dPt>
            <c:idx val="29"/>
            <c:bubble3D val="0"/>
            <c:spPr>
              <a:noFill/>
            </c:spPr>
            <c:extLst>
              <c:ext xmlns:c16="http://schemas.microsoft.com/office/drawing/2014/chart" uri="{C3380CC4-5D6E-409C-BE32-E72D297353CC}">
                <c16:uniqueId val="{0000003B-ACE4-4F25-9993-405DD39CBF5B}"/>
              </c:ext>
            </c:extLst>
          </c:dPt>
          <c:dPt>
            <c:idx val="30"/>
            <c:bubble3D val="0"/>
            <c:spPr>
              <a:noFill/>
            </c:spPr>
            <c:extLst>
              <c:ext xmlns:c16="http://schemas.microsoft.com/office/drawing/2014/chart" uri="{C3380CC4-5D6E-409C-BE32-E72D297353CC}">
                <c16:uniqueId val="{0000003D-ACE4-4F25-9993-405DD39CBF5B}"/>
              </c:ext>
            </c:extLst>
          </c:dPt>
          <c:dPt>
            <c:idx val="31"/>
            <c:bubble3D val="0"/>
            <c:spPr>
              <a:solidFill>
                <a:schemeClr val="tx1"/>
              </a:solidFill>
            </c:spPr>
            <c:extLst>
              <c:ext xmlns:c16="http://schemas.microsoft.com/office/drawing/2014/chart" uri="{C3380CC4-5D6E-409C-BE32-E72D297353CC}">
                <c16:uniqueId val="{0000003F-ACE4-4F25-9993-405DD39CBF5B}"/>
              </c:ext>
            </c:extLst>
          </c:dPt>
          <c:dPt>
            <c:idx val="32"/>
            <c:bubble3D val="0"/>
            <c:spPr>
              <a:noFill/>
            </c:spPr>
            <c:extLst>
              <c:ext xmlns:c16="http://schemas.microsoft.com/office/drawing/2014/chart" uri="{C3380CC4-5D6E-409C-BE32-E72D297353CC}">
                <c16:uniqueId val="{00000041-ACE4-4F25-9993-405DD39CBF5B}"/>
              </c:ext>
            </c:extLst>
          </c:dPt>
          <c:dPt>
            <c:idx val="33"/>
            <c:bubble3D val="0"/>
            <c:spPr>
              <a:noFill/>
            </c:spPr>
            <c:extLst>
              <c:ext xmlns:c16="http://schemas.microsoft.com/office/drawing/2014/chart" uri="{C3380CC4-5D6E-409C-BE32-E72D297353CC}">
                <c16:uniqueId val="{00000043-ACE4-4F25-9993-405DD39CBF5B}"/>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CE4-4F25-9993-405DD39CBF5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E9C-476E-8022-D01B39620F7F}"/>
              </c:ext>
            </c:extLst>
          </c:dPt>
          <c:dPt>
            <c:idx val="1"/>
            <c:bubble3D val="0"/>
            <c:spPr>
              <a:solidFill>
                <a:srgbClr val="054680"/>
              </a:solidFill>
              <a:ln>
                <a:noFill/>
              </a:ln>
            </c:spPr>
            <c:extLst>
              <c:ext xmlns:c16="http://schemas.microsoft.com/office/drawing/2014/chart" uri="{C3380CC4-5D6E-409C-BE32-E72D297353CC}">
                <c16:uniqueId val="{00000003-AE9C-476E-8022-D01B39620F7F}"/>
              </c:ext>
            </c:extLst>
          </c:dPt>
          <c:dPt>
            <c:idx val="2"/>
            <c:bubble3D val="0"/>
            <c:spPr>
              <a:noFill/>
            </c:spPr>
            <c:extLst>
              <c:ext xmlns:c16="http://schemas.microsoft.com/office/drawing/2014/chart" uri="{C3380CC4-5D6E-409C-BE32-E72D297353CC}">
                <c16:uniqueId val="{00000005-AE9C-476E-8022-D01B39620F7F}"/>
              </c:ext>
            </c:extLst>
          </c:dPt>
          <c:dPt>
            <c:idx val="3"/>
            <c:bubble3D val="0"/>
            <c:spPr>
              <a:solidFill>
                <a:srgbClr val="CBE4EB"/>
              </a:solidFill>
              <a:ln>
                <a:noFill/>
              </a:ln>
            </c:spPr>
            <c:extLst>
              <c:ext xmlns:c16="http://schemas.microsoft.com/office/drawing/2014/chart" uri="{C3380CC4-5D6E-409C-BE32-E72D297353CC}">
                <c16:uniqueId val="{00000007-AE9C-476E-8022-D01B39620F7F}"/>
              </c:ext>
            </c:extLst>
          </c:dPt>
          <c:dPt>
            <c:idx val="4"/>
            <c:bubble3D val="0"/>
            <c:spPr>
              <a:solidFill>
                <a:srgbClr val="007AC5"/>
              </a:solidFill>
              <a:ln>
                <a:noFill/>
              </a:ln>
            </c:spPr>
            <c:extLst>
              <c:ext xmlns:c16="http://schemas.microsoft.com/office/drawing/2014/chart" uri="{C3380CC4-5D6E-409C-BE32-E72D297353CC}">
                <c16:uniqueId val="{00000009-AE9C-476E-8022-D01B39620F7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E9C-476E-8022-D01B39620F7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02A-4333-8777-0FAC092F8E19}"/>
              </c:ext>
            </c:extLst>
          </c:dPt>
          <c:dPt>
            <c:idx val="1"/>
            <c:bubble3D val="0"/>
            <c:spPr>
              <a:solidFill>
                <a:schemeClr val="tx1"/>
              </a:solidFill>
              <a:ln>
                <a:noFill/>
              </a:ln>
            </c:spPr>
            <c:extLst>
              <c:ext xmlns:c16="http://schemas.microsoft.com/office/drawing/2014/chart" uri="{C3380CC4-5D6E-409C-BE32-E72D297353CC}">
                <c16:uniqueId val="{00000003-002A-4333-8777-0FAC092F8E19}"/>
              </c:ext>
            </c:extLst>
          </c:dPt>
          <c:dPt>
            <c:idx val="2"/>
            <c:bubble3D val="0"/>
            <c:spPr>
              <a:noFill/>
            </c:spPr>
            <c:extLst>
              <c:ext xmlns:c16="http://schemas.microsoft.com/office/drawing/2014/chart" uri="{C3380CC4-5D6E-409C-BE32-E72D297353CC}">
                <c16:uniqueId val="{00000005-002A-4333-8777-0FAC092F8E19}"/>
              </c:ext>
            </c:extLst>
          </c:dPt>
          <c:dPt>
            <c:idx val="3"/>
            <c:bubble3D val="0"/>
            <c:spPr>
              <a:noFill/>
            </c:spPr>
            <c:extLst>
              <c:ext xmlns:c16="http://schemas.microsoft.com/office/drawing/2014/chart" uri="{C3380CC4-5D6E-409C-BE32-E72D297353CC}">
                <c16:uniqueId val="{00000007-002A-4333-8777-0FAC092F8E19}"/>
              </c:ext>
            </c:extLst>
          </c:dPt>
          <c:dPt>
            <c:idx val="4"/>
            <c:bubble3D val="0"/>
            <c:spPr>
              <a:solidFill>
                <a:schemeClr val="tx1"/>
              </a:solidFill>
              <a:ln>
                <a:noFill/>
              </a:ln>
            </c:spPr>
            <c:extLst>
              <c:ext xmlns:c16="http://schemas.microsoft.com/office/drawing/2014/chart" uri="{C3380CC4-5D6E-409C-BE32-E72D297353CC}">
                <c16:uniqueId val="{00000009-002A-4333-8777-0FAC092F8E19}"/>
              </c:ext>
            </c:extLst>
          </c:dPt>
          <c:dPt>
            <c:idx val="5"/>
            <c:bubble3D val="0"/>
            <c:spPr>
              <a:noFill/>
            </c:spPr>
            <c:extLst>
              <c:ext xmlns:c16="http://schemas.microsoft.com/office/drawing/2014/chart" uri="{C3380CC4-5D6E-409C-BE32-E72D297353CC}">
                <c16:uniqueId val="{0000000B-002A-4333-8777-0FAC092F8E19}"/>
              </c:ext>
            </c:extLst>
          </c:dPt>
          <c:dPt>
            <c:idx val="6"/>
            <c:bubble3D val="0"/>
            <c:spPr>
              <a:noFill/>
            </c:spPr>
            <c:extLst>
              <c:ext xmlns:c16="http://schemas.microsoft.com/office/drawing/2014/chart" uri="{C3380CC4-5D6E-409C-BE32-E72D297353CC}">
                <c16:uniqueId val="{0000000D-002A-4333-8777-0FAC092F8E19}"/>
              </c:ext>
            </c:extLst>
          </c:dPt>
          <c:dPt>
            <c:idx val="7"/>
            <c:bubble3D val="0"/>
            <c:spPr>
              <a:solidFill>
                <a:schemeClr val="tx1"/>
              </a:solidFill>
              <a:ln>
                <a:noFill/>
              </a:ln>
            </c:spPr>
            <c:extLst>
              <c:ext xmlns:c16="http://schemas.microsoft.com/office/drawing/2014/chart" uri="{C3380CC4-5D6E-409C-BE32-E72D297353CC}">
                <c16:uniqueId val="{0000000F-002A-4333-8777-0FAC092F8E19}"/>
              </c:ext>
            </c:extLst>
          </c:dPt>
          <c:dPt>
            <c:idx val="8"/>
            <c:bubble3D val="0"/>
            <c:spPr>
              <a:noFill/>
            </c:spPr>
            <c:extLst>
              <c:ext xmlns:c16="http://schemas.microsoft.com/office/drawing/2014/chart" uri="{C3380CC4-5D6E-409C-BE32-E72D297353CC}">
                <c16:uniqueId val="{00000011-002A-4333-8777-0FAC092F8E19}"/>
              </c:ext>
            </c:extLst>
          </c:dPt>
          <c:dPt>
            <c:idx val="9"/>
            <c:bubble3D val="0"/>
            <c:spPr>
              <a:noFill/>
            </c:spPr>
            <c:extLst>
              <c:ext xmlns:c16="http://schemas.microsoft.com/office/drawing/2014/chart" uri="{C3380CC4-5D6E-409C-BE32-E72D297353CC}">
                <c16:uniqueId val="{00000013-002A-4333-8777-0FAC092F8E19}"/>
              </c:ext>
            </c:extLst>
          </c:dPt>
          <c:dPt>
            <c:idx val="10"/>
            <c:bubble3D val="0"/>
            <c:spPr>
              <a:solidFill>
                <a:schemeClr val="tx1"/>
              </a:solidFill>
            </c:spPr>
            <c:extLst>
              <c:ext xmlns:c16="http://schemas.microsoft.com/office/drawing/2014/chart" uri="{C3380CC4-5D6E-409C-BE32-E72D297353CC}">
                <c16:uniqueId val="{00000015-002A-4333-8777-0FAC092F8E19}"/>
              </c:ext>
            </c:extLst>
          </c:dPt>
          <c:dPt>
            <c:idx val="11"/>
            <c:bubble3D val="0"/>
            <c:spPr>
              <a:noFill/>
            </c:spPr>
            <c:extLst>
              <c:ext xmlns:c16="http://schemas.microsoft.com/office/drawing/2014/chart" uri="{C3380CC4-5D6E-409C-BE32-E72D297353CC}">
                <c16:uniqueId val="{00000017-002A-4333-8777-0FAC092F8E19}"/>
              </c:ext>
            </c:extLst>
          </c:dPt>
          <c:dPt>
            <c:idx val="12"/>
            <c:bubble3D val="0"/>
            <c:spPr>
              <a:noFill/>
            </c:spPr>
            <c:extLst>
              <c:ext xmlns:c16="http://schemas.microsoft.com/office/drawing/2014/chart" uri="{C3380CC4-5D6E-409C-BE32-E72D297353CC}">
                <c16:uniqueId val="{00000019-002A-4333-8777-0FAC092F8E19}"/>
              </c:ext>
            </c:extLst>
          </c:dPt>
          <c:dPt>
            <c:idx val="13"/>
            <c:bubble3D val="0"/>
            <c:spPr>
              <a:solidFill>
                <a:schemeClr val="tx1"/>
              </a:solidFill>
            </c:spPr>
            <c:extLst>
              <c:ext xmlns:c16="http://schemas.microsoft.com/office/drawing/2014/chart" uri="{C3380CC4-5D6E-409C-BE32-E72D297353CC}">
                <c16:uniqueId val="{0000001B-002A-4333-8777-0FAC092F8E19}"/>
              </c:ext>
            </c:extLst>
          </c:dPt>
          <c:dPt>
            <c:idx val="14"/>
            <c:bubble3D val="0"/>
            <c:spPr>
              <a:noFill/>
            </c:spPr>
            <c:extLst>
              <c:ext xmlns:c16="http://schemas.microsoft.com/office/drawing/2014/chart" uri="{C3380CC4-5D6E-409C-BE32-E72D297353CC}">
                <c16:uniqueId val="{0000001D-002A-4333-8777-0FAC092F8E19}"/>
              </c:ext>
            </c:extLst>
          </c:dPt>
          <c:dPt>
            <c:idx val="15"/>
            <c:bubble3D val="0"/>
            <c:spPr>
              <a:noFill/>
            </c:spPr>
            <c:extLst>
              <c:ext xmlns:c16="http://schemas.microsoft.com/office/drawing/2014/chart" uri="{C3380CC4-5D6E-409C-BE32-E72D297353CC}">
                <c16:uniqueId val="{0000001F-002A-4333-8777-0FAC092F8E19}"/>
              </c:ext>
            </c:extLst>
          </c:dPt>
          <c:dPt>
            <c:idx val="16"/>
            <c:bubble3D val="0"/>
            <c:spPr>
              <a:solidFill>
                <a:schemeClr val="tx1"/>
              </a:solidFill>
            </c:spPr>
            <c:extLst>
              <c:ext xmlns:c16="http://schemas.microsoft.com/office/drawing/2014/chart" uri="{C3380CC4-5D6E-409C-BE32-E72D297353CC}">
                <c16:uniqueId val="{00000021-002A-4333-8777-0FAC092F8E19}"/>
              </c:ext>
            </c:extLst>
          </c:dPt>
          <c:dPt>
            <c:idx val="17"/>
            <c:bubble3D val="0"/>
            <c:spPr>
              <a:noFill/>
            </c:spPr>
            <c:extLst>
              <c:ext xmlns:c16="http://schemas.microsoft.com/office/drawing/2014/chart" uri="{C3380CC4-5D6E-409C-BE32-E72D297353CC}">
                <c16:uniqueId val="{00000023-002A-4333-8777-0FAC092F8E19}"/>
              </c:ext>
            </c:extLst>
          </c:dPt>
          <c:dPt>
            <c:idx val="18"/>
            <c:bubble3D val="0"/>
            <c:spPr>
              <a:noFill/>
            </c:spPr>
            <c:extLst>
              <c:ext xmlns:c16="http://schemas.microsoft.com/office/drawing/2014/chart" uri="{C3380CC4-5D6E-409C-BE32-E72D297353CC}">
                <c16:uniqueId val="{00000025-002A-4333-8777-0FAC092F8E19}"/>
              </c:ext>
            </c:extLst>
          </c:dPt>
          <c:dPt>
            <c:idx val="19"/>
            <c:bubble3D val="0"/>
            <c:spPr>
              <a:solidFill>
                <a:schemeClr val="tx1"/>
              </a:solidFill>
            </c:spPr>
            <c:extLst>
              <c:ext xmlns:c16="http://schemas.microsoft.com/office/drawing/2014/chart" uri="{C3380CC4-5D6E-409C-BE32-E72D297353CC}">
                <c16:uniqueId val="{00000027-002A-4333-8777-0FAC092F8E19}"/>
              </c:ext>
            </c:extLst>
          </c:dPt>
          <c:dPt>
            <c:idx val="20"/>
            <c:bubble3D val="0"/>
            <c:spPr>
              <a:noFill/>
            </c:spPr>
            <c:extLst>
              <c:ext xmlns:c16="http://schemas.microsoft.com/office/drawing/2014/chart" uri="{C3380CC4-5D6E-409C-BE32-E72D297353CC}">
                <c16:uniqueId val="{00000029-002A-4333-8777-0FAC092F8E19}"/>
              </c:ext>
            </c:extLst>
          </c:dPt>
          <c:dPt>
            <c:idx val="21"/>
            <c:bubble3D val="0"/>
            <c:spPr>
              <a:noFill/>
            </c:spPr>
            <c:extLst>
              <c:ext xmlns:c16="http://schemas.microsoft.com/office/drawing/2014/chart" uri="{C3380CC4-5D6E-409C-BE32-E72D297353CC}">
                <c16:uniqueId val="{0000002B-002A-4333-8777-0FAC092F8E19}"/>
              </c:ext>
            </c:extLst>
          </c:dPt>
          <c:dPt>
            <c:idx val="22"/>
            <c:bubble3D val="0"/>
            <c:spPr>
              <a:solidFill>
                <a:schemeClr val="tx1"/>
              </a:solidFill>
            </c:spPr>
            <c:extLst>
              <c:ext xmlns:c16="http://schemas.microsoft.com/office/drawing/2014/chart" uri="{C3380CC4-5D6E-409C-BE32-E72D297353CC}">
                <c16:uniqueId val="{0000002D-002A-4333-8777-0FAC092F8E19}"/>
              </c:ext>
            </c:extLst>
          </c:dPt>
          <c:dPt>
            <c:idx val="23"/>
            <c:bubble3D val="0"/>
            <c:spPr>
              <a:noFill/>
            </c:spPr>
            <c:extLst>
              <c:ext xmlns:c16="http://schemas.microsoft.com/office/drawing/2014/chart" uri="{C3380CC4-5D6E-409C-BE32-E72D297353CC}">
                <c16:uniqueId val="{0000002F-002A-4333-8777-0FAC092F8E19}"/>
              </c:ext>
            </c:extLst>
          </c:dPt>
          <c:dPt>
            <c:idx val="24"/>
            <c:bubble3D val="0"/>
            <c:spPr>
              <a:noFill/>
            </c:spPr>
            <c:extLst>
              <c:ext xmlns:c16="http://schemas.microsoft.com/office/drawing/2014/chart" uri="{C3380CC4-5D6E-409C-BE32-E72D297353CC}">
                <c16:uniqueId val="{00000031-002A-4333-8777-0FAC092F8E19}"/>
              </c:ext>
            </c:extLst>
          </c:dPt>
          <c:dPt>
            <c:idx val="25"/>
            <c:bubble3D val="0"/>
            <c:spPr>
              <a:solidFill>
                <a:schemeClr val="tx1"/>
              </a:solidFill>
            </c:spPr>
            <c:extLst>
              <c:ext xmlns:c16="http://schemas.microsoft.com/office/drawing/2014/chart" uri="{C3380CC4-5D6E-409C-BE32-E72D297353CC}">
                <c16:uniqueId val="{00000033-002A-4333-8777-0FAC092F8E19}"/>
              </c:ext>
            </c:extLst>
          </c:dPt>
          <c:dPt>
            <c:idx val="26"/>
            <c:bubble3D val="0"/>
            <c:spPr>
              <a:noFill/>
            </c:spPr>
            <c:extLst>
              <c:ext xmlns:c16="http://schemas.microsoft.com/office/drawing/2014/chart" uri="{C3380CC4-5D6E-409C-BE32-E72D297353CC}">
                <c16:uniqueId val="{00000035-002A-4333-8777-0FAC092F8E19}"/>
              </c:ext>
            </c:extLst>
          </c:dPt>
          <c:dPt>
            <c:idx val="27"/>
            <c:bubble3D val="0"/>
            <c:spPr>
              <a:noFill/>
            </c:spPr>
            <c:extLst>
              <c:ext xmlns:c16="http://schemas.microsoft.com/office/drawing/2014/chart" uri="{C3380CC4-5D6E-409C-BE32-E72D297353CC}">
                <c16:uniqueId val="{00000037-002A-4333-8777-0FAC092F8E19}"/>
              </c:ext>
            </c:extLst>
          </c:dPt>
          <c:dPt>
            <c:idx val="28"/>
            <c:bubble3D val="0"/>
            <c:spPr>
              <a:solidFill>
                <a:schemeClr val="tx1"/>
              </a:solidFill>
            </c:spPr>
            <c:extLst>
              <c:ext xmlns:c16="http://schemas.microsoft.com/office/drawing/2014/chart" uri="{C3380CC4-5D6E-409C-BE32-E72D297353CC}">
                <c16:uniqueId val="{00000039-002A-4333-8777-0FAC092F8E19}"/>
              </c:ext>
            </c:extLst>
          </c:dPt>
          <c:dPt>
            <c:idx val="29"/>
            <c:bubble3D val="0"/>
            <c:spPr>
              <a:noFill/>
            </c:spPr>
            <c:extLst>
              <c:ext xmlns:c16="http://schemas.microsoft.com/office/drawing/2014/chart" uri="{C3380CC4-5D6E-409C-BE32-E72D297353CC}">
                <c16:uniqueId val="{0000003B-002A-4333-8777-0FAC092F8E19}"/>
              </c:ext>
            </c:extLst>
          </c:dPt>
          <c:dPt>
            <c:idx val="30"/>
            <c:bubble3D val="0"/>
            <c:spPr>
              <a:noFill/>
            </c:spPr>
            <c:extLst>
              <c:ext xmlns:c16="http://schemas.microsoft.com/office/drawing/2014/chart" uri="{C3380CC4-5D6E-409C-BE32-E72D297353CC}">
                <c16:uniqueId val="{0000003D-002A-4333-8777-0FAC092F8E19}"/>
              </c:ext>
            </c:extLst>
          </c:dPt>
          <c:dPt>
            <c:idx val="31"/>
            <c:bubble3D val="0"/>
            <c:spPr>
              <a:solidFill>
                <a:schemeClr val="tx1"/>
              </a:solidFill>
            </c:spPr>
            <c:extLst>
              <c:ext xmlns:c16="http://schemas.microsoft.com/office/drawing/2014/chart" uri="{C3380CC4-5D6E-409C-BE32-E72D297353CC}">
                <c16:uniqueId val="{0000003F-002A-4333-8777-0FAC092F8E19}"/>
              </c:ext>
            </c:extLst>
          </c:dPt>
          <c:dPt>
            <c:idx val="32"/>
            <c:bubble3D val="0"/>
            <c:spPr>
              <a:noFill/>
            </c:spPr>
            <c:extLst>
              <c:ext xmlns:c16="http://schemas.microsoft.com/office/drawing/2014/chart" uri="{C3380CC4-5D6E-409C-BE32-E72D297353CC}">
                <c16:uniqueId val="{00000041-002A-4333-8777-0FAC092F8E19}"/>
              </c:ext>
            </c:extLst>
          </c:dPt>
          <c:dPt>
            <c:idx val="33"/>
            <c:bubble3D val="0"/>
            <c:spPr>
              <a:noFill/>
            </c:spPr>
            <c:extLst>
              <c:ext xmlns:c16="http://schemas.microsoft.com/office/drawing/2014/chart" uri="{C3380CC4-5D6E-409C-BE32-E72D297353CC}">
                <c16:uniqueId val="{00000043-002A-4333-8777-0FAC092F8E19}"/>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02A-4333-8777-0FAC092F8E1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F56-4463-AE2A-29124DE8C5B7}"/>
              </c:ext>
            </c:extLst>
          </c:dPt>
          <c:dPt>
            <c:idx val="1"/>
            <c:bubble3D val="0"/>
            <c:spPr>
              <a:solidFill>
                <a:srgbClr val="054680"/>
              </a:solidFill>
              <a:ln>
                <a:noFill/>
              </a:ln>
            </c:spPr>
            <c:extLst>
              <c:ext xmlns:c16="http://schemas.microsoft.com/office/drawing/2014/chart" uri="{C3380CC4-5D6E-409C-BE32-E72D297353CC}">
                <c16:uniqueId val="{00000003-1F56-4463-AE2A-29124DE8C5B7}"/>
              </c:ext>
            </c:extLst>
          </c:dPt>
          <c:dPt>
            <c:idx val="2"/>
            <c:bubble3D val="0"/>
            <c:spPr>
              <a:noFill/>
            </c:spPr>
            <c:extLst>
              <c:ext xmlns:c16="http://schemas.microsoft.com/office/drawing/2014/chart" uri="{C3380CC4-5D6E-409C-BE32-E72D297353CC}">
                <c16:uniqueId val="{00000005-1F56-4463-AE2A-29124DE8C5B7}"/>
              </c:ext>
            </c:extLst>
          </c:dPt>
          <c:dPt>
            <c:idx val="3"/>
            <c:bubble3D val="0"/>
            <c:spPr>
              <a:solidFill>
                <a:srgbClr val="CBE4EB"/>
              </a:solidFill>
              <a:ln>
                <a:noFill/>
              </a:ln>
            </c:spPr>
            <c:extLst>
              <c:ext xmlns:c16="http://schemas.microsoft.com/office/drawing/2014/chart" uri="{C3380CC4-5D6E-409C-BE32-E72D297353CC}">
                <c16:uniqueId val="{00000007-1F56-4463-AE2A-29124DE8C5B7}"/>
              </c:ext>
            </c:extLst>
          </c:dPt>
          <c:dPt>
            <c:idx val="4"/>
            <c:bubble3D val="0"/>
            <c:spPr>
              <a:solidFill>
                <a:srgbClr val="007AC5"/>
              </a:solidFill>
              <a:ln>
                <a:noFill/>
              </a:ln>
            </c:spPr>
            <c:extLst>
              <c:ext xmlns:c16="http://schemas.microsoft.com/office/drawing/2014/chart" uri="{C3380CC4-5D6E-409C-BE32-E72D297353CC}">
                <c16:uniqueId val="{00000009-1F56-4463-AE2A-29124DE8C5B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F56-4463-AE2A-29124DE8C5B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77E-49C8-83F8-D4BAD1B163A5}"/>
              </c:ext>
            </c:extLst>
          </c:dPt>
          <c:dPt>
            <c:idx val="1"/>
            <c:bubble3D val="0"/>
            <c:spPr>
              <a:solidFill>
                <a:schemeClr val="tx1"/>
              </a:solidFill>
              <a:ln>
                <a:noFill/>
              </a:ln>
            </c:spPr>
            <c:extLst>
              <c:ext xmlns:c16="http://schemas.microsoft.com/office/drawing/2014/chart" uri="{C3380CC4-5D6E-409C-BE32-E72D297353CC}">
                <c16:uniqueId val="{00000003-C77E-49C8-83F8-D4BAD1B163A5}"/>
              </c:ext>
            </c:extLst>
          </c:dPt>
          <c:dPt>
            <c:idx val="2"/>
            <c:bubble3D val="0"/>
            <c:spPr>
              <a:noFill/>
            </c:spPr>
            <c:extLst>
              <c:ext xmlns:c16="http://schemas.microsoft.com/office/drawing/2014/chart" uri="{C3380CC4-5D6E-409C-BE32-E72D297353CC}">
                <c16:uniqueId val="{00000005-C77E-49C8-83F8-D4BAD1B163A5}"/>
              </c:ext>
            </c:extLst>
          </c:dPt>
          <c:dPt>
            <c:idx val="3"/>
            <c:bubble3D val="0"/>
            <c:spPr>
              <a:noFill/>
            </c:spPr>
            <c:extLst>
              <c:ext xmlns:c16="http://schemas.microsoft.com/office/drawing/2014/chart" uri="{C3380CC4-5D6E-409C-BE32-E72D297353CC}">
                <c16:uniqueId val="{00000007-C77E-49C8-83F8-D4BAD1B163A5}"/>
              </c:ext>
            </c:extLst>
          </c:dPt>
          <c:dPt>
            <c:idx val="4"/>
            <c:bubble3D val="0"/>
            <c:spPr>
              <a:solidFill>
                <a:schemeClr val="tx1"/>
              </a:solidFill>
              <a:ln>
                <a:noFill/>
              </a:ln>
            </c:spPr>
            <c:extLst>
              <c:ext xmlns:c16="http://schemas.microsoft.com/office/drawing/2014/chart" uri="{C3380CC4-5D6E-409C-BE32-E72D297353CC}">
                <c16:uniqueId val="{00000009-C77E-49C8-83F8-D4BAD1B163A5}"/>
              </c:ext>
            </c:extLst>
          </c:dPt>
          <c:dPt>
            <c:idx val="5"/>
            <c:bubble3D val="0"/>
            <c:spPr>
              <a:noFill/>
            </c:spPr>
            <c:extLst>
              <c:ext xmlns:c16="http://schemas.microsoft.com/office/drawing/2014/chart" uri="{C3380CC4-5D6E-409C-BE32-E72D297353CC}">
                <c16:uniqueId val="{0000000B-C77E-49C8-83F8-D4BAD1B163A5}"/>
              </c:ext>
            </c:extLst>
          </c:dPt>
          <c:dPt>
            <c:idx val="6"/>
            <c:bubble3D val="0"/>
            <c:spPr>
              <a:noFill/>
            </c:spPr>
            <c:extLst>
              <c:ext xmlns:c16="http://schemas.microsoft.com/office/drawing/2014/chart" uri="{C3380CC4-5D6E-409C-BE32-E72D297353CC}">
                <c16:uniqueId val="{0000000D-C77E-49C8-83F8-D4BAD1B163A5}"/>
              </c:ext>
            </c:extLst>
          </c:dPt>
          <c:dPt>
            <c:idx val="7"/>
            <c:bubble3D val="0"/>
            <c:spPr>
              <a:solidFill>
                <a:schemeClr val="tx1"/>
              </a:solidFill>
              <a:ln>
                <a:noFill/>
              </a:ln>
            </c:spPr>
            <c:extLst>
              <c:ext xmlns:c16="http://schemas.microsoft.com/office/drawing/2014/chart" uri="{C3380CC4-5D6E-409C-BE32-E72D297353CC}">
                <c16:uniqueId val="{0000000F-C77E-49C8-83F8-D4BAD1B163A5}"/>
              </c:ext>
            </c:extLst>
          </c:dPt>
          <c:dPt>
            <c:idx val="8"/>
            <c:bubble3D val="0"/>
            <c:spPr>
              <a:noFill/>
            </c:spPr>
            <c:extLst>
              <c:ext xmlns:c16="http://schemas.microsoft.com/office/drawing/2014/chart" uri="{C3380CC4-5D6E-409C-BE32-E72D297353CC}">
                <c16:uniqueId val="{00000011-C77E-49C8-83F8-D4BAD1B163A5}"/>
              </c:ext>
            </c:extLst>
          </c:dPt>
          <c:dPt>
            <c:idx val="9"/>
            <c:bubble3D val="0"/>
            <c:spPr>
              <a:noFill/>
            </c:spPr>
            <c:extLst>
              <c:ext xmlns:c16="http://schemas.microsoft.com/office/drawing/2014/chart" uri="{C3380CC4-5D6E-409C-BE32-E72D297353CC}">
                <c16:uniqueId val="{00000013-C77E-49C8-83F8-D4BAD1B163A5}"/>
              </c:ext>
            </c:extLst>
          </c:dPt>
          <c:dPt>
            <c:idx val="10"/>
            <c:bubble3D val="0"/>
            <c:spPr>
              <a:solidFill>
                <a:schemeClr val="tx1"/>
              </a:solidFill>
            </c:spPr>
            <c:extLst>
              <c:ext xmlns:c16="http://schemas.microsoft.com/office/drawing/2014/chart" uri="{C3380CC4-5D6E-409C-BE32-E72D297353CC}">
                <c16:uniqueId val="{00000015-C77E-49C8-83F8-D4BAD1B163A5}"/>
              </c:ext>
            </c:extLst>
          </c:dPt>
          <c:dPt>
            <c:idx val="11"/>
            <c:bubble3D val="0"/>
            <c:spPr>
              <a:noFill/>
            </c:spPr>
            <c:extLst>
              <c:ext xmlns:c16="http://schemas.microsoft.com/office/drawing/2014/chart" uri="{C3380CC4-5D6E-409C-BE32-E72D297353CC}">
                <c16:uniqueId val="{00000017-C77E-49C8-83F8-D4BAD1B163A5}"/>
              </c:ext>
            </c:extLst>
          </c:dPt>
          <c:dPt>
            <c:idx val="12"/>
            <c:bubble3D val="0"/>
            <c:spPr>
              <a:noFill/>
            </c:spPr>
            <c:extLst>
              <c:ext xmlns:c16="http://schemas.microsoft.com/office/drawing/2014/chart" uri="{C3380CC4-5D6E-409C-BE32-E72D297353CC}">
                <c16:uniqueId val="{00000019-C77E-49C8-83F8-D4BAD1B163A5}"/>
              </c:ext>
            </c:extLst>
          </c:dPt>
          <c:dPt>
            <c:idx val="13"/>
            <c:bubble3D val="0"/>
            <c:spPr>
              <a:solidFill>
                <a:schemeClr val="tx1"/>
              </a:solidFill>
            </c:spPr>
            <c:extLst>
              <c:ext xmlns:c16="http://schemas.microsoft.com/office/drawing/2014/chart" uri="{C3380CC4-5D6E-409C-BE32-E72D297353CC}">
                <c16:uniqueId val="{0000001B-C77E-49C8-83F8-D4BAD1B163A5}"/>
              </c:ext>
            </c:extLst>
          </c:dPt>
          <c:dPt>
            <c:idx val="14"/>
            <c:bubble3D val="0"/>
            <c:spPr>
              <a:noFill/>
            </c:spPr>
            <c:extLst>
              <c:ext xmlns:c16="http://schemas.microsoft.com/office/drawing/2014/chart" uri="{C3380CC4-5D6E-409C-BE32-E72D297353CC}">
                <c16:uniqueId val="{0000001D-C77E-49C8-83F8-D4BAD1B163A5}"/>
              </c:ext>
            </c:extLst>
          </c:dPt>
          <c:dPt>
            <c:idx val="15"/>
            <c:bubble3D val="0"/>
            <c:spPr>
              <a:noFill/>
            </c:spPr>
            <c:extLst>
              <c:ext xmlns:c16="http://schemas.microsoft.com/office/drawing/2014/chart" uri="{C3380CC4-5D6E-409C-BE32-E72D297353CC}">
                <c16:uniqueId val="{0000001F-C77E-49C8-83F8-D4BAD1B163A5}"/>
              </c:ext>
            </c:extLst>
          </c:dPt>
          <c:dPt>
            <c:idx val="16"/>
            <c:bubble3D val="0"/>
            <c:spPr>
              <a:solidFill>
                <a:schemeClr val="tx1"/>
              </a:solidFill>
            </c:spPr>
            <c:extLst>
              <c:ext xmlns:c16="http://schemas.microsoft.com/office/drawing/2014/chart" uri="{C3380CC4-5D6E-409C-BE32-E72D297353CC}">
                <c16:uniqueId val="{00000021-C77E-49C8-83F8-D4BAD1B163A5}"/>
              </c:ext>
            </c:extLst>
          </c:dPt>
          <c:dPt>
            <c:idx val="17"/>
            <c:bubble3D val="0"/>
            <c:spPr>
              <a:noFill/>
            </c:spPr>
            <c:extLst>
              <c:ext xmlns:c16="http://schemas.microsoft.com/office/drawing/2014/chart" uri="{C3380CC4-5D6E-409C-BE32-E72D297353CC}">
                <c16:uniqueId val="{00000023-C77E-49C8-83F8-D4BAD1B163A5}"/>
              </c:ext>
            </c:extLst>
          </c:dPt>
          <c:dPt>
            <c:idx val="18"/>
            <c:bubble3D val="0"/>
            <c:spPr>
              <a:noFill/>
            </c:spPr>
            <c:extLst>
              <c:ext xmlns:c16="http://schemas.microsoft.com/office/drawing/2014/chart" uri="{C3380CC4-5D6E-409C-BE32-E72D297353CC}">
                <c16:uniqueId val="{00000025-C77E-49C8-83F8-D4BAD1B163A5}"/>
              </c:ext>
            </c:extLst>
          </c:dPt>
          <c:dPt>
            <c:idx val="19"/>
            <c:bubble3D val="0"/>
            <c:spPr>
              <a:solidFill>
                <a:schemeClr val="tx1"/>
              </a:solidFill>
            </c:spPr>
            <c:extLst>
              <c:ext xmlns:c16="http://schemas.microsoft.com/office/drawing/2014/chart" uri="{C3380CC4-5D6E-409C-BE32-E72D297353CC}">
                <c16:uniqueId val="{00000027-C77E-49C8-83F8-D4BAD1B163A5}"/>
              </c:ext>
            </c:extLst>
          </c:dPt>
          <c:dPt>
            <c:idx val="20"/>
            <c:bubble3D val="0"/>
            <c:spPr>
              <a:noFill/>
            </c:spPr>
            <c:extLst>
              <c:ext xmlns:c16="http://schemas.microsoft.com/office/drawing/2014/chart" uri="{C3380CC4-5D6E-409C-BE32-E72D297353CC}">
                <c16:uniqueId val="{00000029-C77E-49C8-83F8-D4BAD1B163A5}"/>
              </c:ext>
            </c:extLst>
          </c:dPt>
          <c:dPt>
            <c:idx val="21"/>
            <c:bubble3D val="0"/>
            <c:spPr>
              <a:noFill/>
            </c:spPr>
            <c:extLst>
              <c:ext xmlns:c16="http://schemas.microsoft.com/office/drawing/2014/chart" uri="{C3380CC4-5D6E-409C-BE32-E72D297353CC}">
                <c16:uniqueId val="{0000002B-C77E-49C8-83F8-D4BAD1B163A5}"/>
              </c:ext>
            </c:extLst>
          </c:dPt>
          <c:dPt>
            <c:idx val="22"/>
            <c:bubble3D val="0"/>
            <c:spPr>
              <a:solidFill>
                <a:schemeClr val="tx1"/>
              </a:solidFill>
            </c:spPr>
            <c:extLst>
              <c:ext xmlns:c16="http://schemas.microsoft.com/office/drawing/2014/chart" uri="{C3380CC4-5D6E-409C-BE32-E72D297353CC}">
                <c16:uniqueId val="{0000002D-C77E-49C8-83F8-D4BAD1B163A5}"/>
              </c:ext>
            </c:extLst>
          </c:dPt>
          <c:dPt>
            <c:idx val="23"/>
            <c:bubble3D val="0"/>
            <c:spPr>
              <a:noFill/>
            </c:spPr>
            <c:extLst>
              <c:ext xmlns:c16="http://schemas.microsoft.com/office/drawing/2014/chart" uri="{C3380CC4-5D6E-409C-BE32-E72D297353CC}">
                <c16:uniqueId val="{0000002F-C77E-49C8-83F8-D4BAD1B163A5}"/>
              </c:ext>
            </c:extLst>
          </c:dPt>
          <c:dPt>
            <c:idx val="24"/>
            <c:bubble3D val="0"/>
            <c:spPr>
              <a:noFill/>
            </c:spPr>
            <c:extLst>
              <c:ext xmlns:c16="http://schemas.microsoft.com/office/drawing/2014/chart" uri="{C3380CC4-5D6E-409C-BE32-E72D297353CC}">
                <c16:uniqueId val="{00000031-C77E-49C8-83F8-D4BAD1B163A5}"/>
              </c:ext>
            </c:extLst>
          </c:dPt>
          <c:dPt>
            <c:idx val="25"/>
            <c:bubble3D val="0"/>
            <c:spPr>
              <a:solidFill>
                <a:schemeClr val="tx1"/>
              </a:solidFill>
            </c:spPr>
            <c:extLst>
              <c:ext xmlns:c16="http://schemas.microsoft.com/office/drawing/2014/chart" uri="{C3380CC4-5D6E-409C-BE32-E72D297353CC}">
                <c16:uniqueId val="{00000033-C77E-49C8-83F8-D4BAD1B163A5}"/>
              </c:ext>
            </c:extLst>
          </c:dPt>
          <c:dPt>
            <c:idx val="26"/>
            <c:bubble3D val="0"/>
            <c:spPr>
              <a:noFill/>
            </c:spPr>
            <c:extLst>
              <c:ext xmlns:c16="http://schemas.microsoft.com/office/drawing/2014/chart" uri="{C3380CC4-5D6E-409C-BE32-E72D297353CC}">
                <c16:uniqueId val="{00000035-C77E-49C8-83F8-D4BAD1B163A5}"/>
              </c:ext>
            </c:extLst>
          </c:dPt>
          <c:dPt>
            <c:idx val="27"/>
            <c:bubble3D val="0"/>
            <c:spPr>
              <a:noFill/>
            </c:spPr>
            <c:extLst>
              <c:ext xmlns:c16="http://schemas.microsoft.com/office/drawing/2014/chart" uri="{C3380CC4-5D6E-409C-BE32-E72D297353CC}">
                <c16:uniqueId val="{00000037-C77E-49C8-83F8-D4BAD1B163A5}"/>
              </c:ext>
            </c:extLst>
          </c:dPt>
          <c:dPt>
            <c:idx val="28"/>
            <c:bubble3D val="0"/>
            <c:spPr>
              <a:solidFill>
                <a:schemeClr val="tx1"/>
              </a:solidFill>
            </c:spPr>
            <c:extLst>
              <c:ext xmlns:c16="http://schemas.microsoft.com/office/drawing/2014/chart" uri="{C3380CC4-5D6E-409C-BE32-E72D297353CC}">
                <c16:uniqueId val="{00000039-C77E-49C8-83F8-D4BAD1B163A5}"/>
              </c:ext>
            </c:extLst>
          </c:dPt>
          <c:dPt>
            <c:idx val="29"/>
            <c:bubble3D val="0"/>
            <c:spPr>
              <a:noFill/>
            </c:spPr>
            <c:extLst>
              <c:ext xmlns:c16="http://schemas.microsoft.com/office/drawing/2014/chart" uri="{C3380CC4-5D6E-409C-BE32-E72D297353CC}">
                <c16:uniqueId val="{0000003B-C77E-49C8-83F8-D4BAD1B163A5}"/>
              </c:ext>
            </c:extLst>
          </c:dPt>
          <c:dPt>
            <c:idx val="30"/>
            <c:bubble3D val="0"/>
            <c:spPr>
              <a:noFill/>
            </c:spPr>
            <c:extLst>
              <c:ext xmlns:c16="http://schemas.microsoft.com/office/drawing/2014/chart" uri="{C3380CC4-5D6E-409C-BE32-E72D297353CC}">
                <c16:uniqueId val="{0000003D-C77E-49C8-83F8-D4BAD1B163A5}"/>
              </c:ext>
            </c:extLst>
          </c:dPt>
          <c:dPt>
            <c:idx val="31"/>
            <c:bubble3D val="0"/>
            <c:spPr>
              <a:solidFill>
                <a:schemeClr val="tx1"/>
              </a:solidFill>
            </c:spPr>
            <c:extLst>
              <c:ext xmlns:c16="http://schemas.microsoft.com/office/drawing/2014/chart" uri="{C3380CC4-5D6E-409C-BE32-E72D297353CC}">
                <c16:uniqueId val="{0000003F-C77E-49C8-83F8-D4BAD1B163A5}"/>
              </c:ext>
            </c:extLst>
          </c:dPt>
          <c:dPt>
            <c:idx val="32"/>
            <c:bubble3D val="0"/>
            <c:spPr>
              <a:noFill/>
            </c:spPr>
            <c:extLst>
              <c:ext xmlns:c16="http://schemas.microsoft.com/office/drawing/2014/chart" uri="{C3380CC4-5D6E-409C-BE32-E72D297353CC}">
                <c16:uniqueId val="{00000041-C77E-49C8-83F8-D4BAD1B163A5}"/>
              </c:ext>
            </c:extLst>
          </c:dPt>
          <c:dPt>
            <c:idx val="33"/>
            <c:bubble3D val="0"/>
            <c:spPr>
              <a:noFill/>
            </c:spPr>
            <c:extLst>
              <c:ext xmlns:c16="http://schemas.microsoft.com/office/drawing/2014/chart" uri="{C3380CC4-5D6E-409C-BE32-E72D297353CC}">
                <c16:uniqueId val="{00000043-C77E-49C8-83F8-D4BAD1B163A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77E-49C8-83F8-D4BAD1B163A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4370-4A92-A741-C7F5E3A675CD}"/>
              </c:ext>
            </c:extLst>
          </c:dPt>
          <c:dPt>
            <c:idx val="1"/>
            <c:bubble3D val="0"/>
            <c:spPr>
              <a:solidFill>
                <a:schemeClr val="accent3">
                  <a:lumMod val="50000"/>
                </a:schemeClr>
              </a:solidFill>
              <a:ln>
                <a:noFill/>
              </a:ln>
            </c:spPr>
            <c:extLst>
              <c:ext xmlns:c16="http://schemas.microsoft.com/office/drawing/2014/chart" uri="{C3380CC4-5D6E-409C-BE32-E72D297353CC}">
                <c16:uniqueId val="{00000003-4370-4A92-A741-C7F5E3A675CD}"/>
              </c:ext>
            </c:extLst>
          </c:dPt>
          <c:dPt>
            <c:idx val="2"/>
            <c:bubble3D val="0"/>
            <c:spPr>
              <a:noFill/>
            </c:spPr>
            <c:extLst>
              <c:ext xmlns:c16="http://schemas.microsoft.com/office/drawing/2014/chart" uri="{C3380CC4-5D6E-409C-BE32-E72D297353CC}">
                <c16:uniqueId val="{00000005-4370-4A92-A741-C7F5E3A675CD}"/>
              </c:ext>
            </c:extLst>
          </c:dPt>
          <c:dPt>
            <c:idx val="3"/>
            <c:bubble3D val="0"/>
            <c:spPr>
              <a:solidFill>
                <a:srgbClr val="CBE4EB"/>
              </a:solidFill>
              <a:ln>
                <a:noFill/>
              </a:ln>
            </c:spPr>
            <c:extLst>
              <c:ext xmlns:c16="http://schemas.microsoft.com/office/drawing/2014/chart" uri="{C3380CC4-5D6E-409C-BE32-E72D297353CC}">
                <c16:uniqueId val="{00000007-4370-4A92-A741-C7F5E3A675CD}"/>
              </c:ext>
            </c:extLst>
          </c:dPt>
          <c:dPt>
            <c:idx val="4"/>
            <c:bubble3D val="0"/>
            <c:spPr>
              <a:solidFill>
                <a:schemeClr val="accent3"/>
              </a:solidFill>
              <a:ln>
                <a:noFill/>
              </a:ln>
            </c:spPr>
            <c:extLst>
              <c:ext xmlns:c16="http://schemas.microsoft.com/office/drawing/2014/chart" uri="{C3380CC4-5D6E-409C-BE32-E72D297353CC}">
                <c16:uniqueId val="{00000009-4370-4A92-A741-C7F5E3A675C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4370-4A92-A741-C7F5E3A675C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FCE-470E-B7C3-93CD4A4A559C}"/>
              </c:ext>
            </c:extLst>
          </c:dPt>
          <c:dPt>
            <c:idx val="1"/>
            <c:bubble3D val="0"/>
            <c:spPr>
              <a:solidFill>
                <a:schemeClr val="tx1"/>
              </a:solidFill>
              <a:ln>
                <a:noFill/>
              </a:ln>
            </c:spPr>
            <c:extLst>
              <c:ext xmlns:c16="http://schemas.microsoft.com/office/drawing/2014/chart" uri="{C3380CC4-5D6E-409C-BE32-E72D297353CC}">
                <c16:uniqueId val="{00000003-0FCE-470E-B7C3-93CD4A4A559C}"/>
              </c:ext>
            </c:extLst>
          </c:dPt>
          <c:dPt>
            <c:idx val="2"/>
            <c:bubble3D val="0"/>
            <c:spPr>
              <a:noFill/>
            </c:spPr>
            <c:extLst>
              <c:ext xmlns:c16="http://schemas.microsoft.com/office/drawing/2014/chart" uri="{C3380CC4-5D6E-409C-BE32-E72D297353CC}">
                <c16:uniqueId val="{00000005-0FCE-470E-B7C3-93CD4A4A559C}"/>
              </c:ext>
            </c:extLst>
          </c:dPt>
          <c:dPt>
            <c:idx val="3"/>
            <c:bubble3D val="0"/>
            <c:spPr>
              <a:noFill/>
            </c:spPr>
            <c:extLst>
              <c:ext xmlns:c16="http://schemas.microsoft.com/office/drawing/2014/chart" uri="{C3380CC4-5D6E-409C-BE32-E72D297353CC}">
                <c16:uniqueId val="{00000007-0FCE-470E-B7C3-93CD4A4A559C}"/>
              </c:ext>
            </c:extLst>
          </c:dPt>
          <c:dPt>
            <c:idx val="4"/>
            <c:bubble3D val="0"/>
            <c:spPr>
              <a:solidFill>
                <a:schemeClr val="tx1"/>
              </a:solidFill>
              <a:ln>
                <a:noFill/>
              </a:ln>
            </c:spPr>
            <c:extLst>
              <c:ext xmlns:c16="http://schemas.microsoft.com/office/drawing/2014/chart" uri="{C3380CC4-5D6E-409C-BE32-E72D297353CC}">
                <c16:uniqueId val="{00000009-0FCE-470E-B7C3-93CD4A4A559C}"/>
              </c:ext>
            </c:extLst>
          </c:dPt>
          <c:dPt>
            <c:idx val="5"/>
            <c:bubble3D val="0"/>
            <c:spPr>
              <a:noFill/>
            </c:spPr>
            <c:extLst>
              <c:ext xmlns:c16="http://schemas.microsoft.com/office/drawing/2014/chart" uri="{C3380CC4-5D6E-409C-BE32-E72D297353CC}">
                <c16:uniqueId val="{0000000B-0FCE-470E-B7C3-93CD4A4A559C}"/>
              </c:ext>
            </c:extLst>
          </c:dPt>
          <c:dPt>
            <c:idx val="6"/>
            <c:bubble3D val="0"/>
            <c:spPr>
              <a:noFill/>
            </c:spPr>
            <c:extLst>
              <c:ext xmlns:c16="http://schemas.microsoft.com/office/drawing/2014/chart" uri="{C3380CC4-5D6E-409C-BE32-E72D297353CC}">
                <c16:uniqueId val="{0000000D-0FCE-470E-B7C3-93CD4A4A559C}"/>
              </c:ext>
            </c:extLst>
          </c:dPt>
          <c:dPt>
            <c:idx val="7"/>
            <c:bubble3D val="0"/>
            <c:spPr>
              <a:solidFill>
                <a:schemeClr val="tx1"/>
              </a:solidFill>
              <a:ln>
                <a:noFill/>
              </a:ln>
            </c:spPr>
            <c:extLst>
              <c:ext xmlns:c16="http://schemas.microsoft.com/office/drawing/2014/chart" uri="{C3380CC4-5D6E-409C-BE32-E72D297353CC}">
                <c16:uniqueId val="{0000000F-0FCE-470E-B7C3-93CD4A4A559C}"/>
              </c:ext>
            </c:extLst>
          </c:dPt>
          <c:dPt>
            <c:idx val="8"/>
            <c:bubble3D val="0"/>
            <c:spPr>
              <a:noFill/>
            </c:spPr>
            <c:extLst>
              <c:ext xmlns:c16="http://schemas.microsoft.com/office/drawing/2014/chart" uri="{C3380CC4-5D6E-409C-BE32-E72D297353CC}">
                <c16:uniqueId val="{00000011-0FCE-470E-B7C3-93CD4A4A559C}"/>
              </c:ext>
            </c:extLst>
          </c:dPt>
          <c:dPt>
            <c:idx val="9"/>
            <c:bubble3D val="0"/>
            <c:spPr>
              <a:noFill/>
            </c:spPr>
            <c:extLst>
              <c:ext xmlns:c16="http://schemas.microsoft.com/office/drawing/2014/chart" uri="{C3380CC4-5D6E-409C-BE32-E72D297353CC}">
                <c16:uniqueId val="{00000013-0FCE-470E-B7C3-93CD4A4A559C}"/>
              </c:ext>
            </c:extLst>
          </c:dPt>
          <c:dPt>
            <c:idx val="10"/>
            <c:bubble3D val="0"/>
            <c:spPr>
              <a:solidFill>
                <a:schemeClr val="tx1"/>
              </a:solidFill>
            </c:spPr>
            <c:extLst>
              <c:ext xmlns:c16="http://schemas.microsoft.com/office/drawing/2014/chart" uri="{C3380CC4-5D6E-409C-BE32-E72D297353CC}">
                <c16:uniqueId val="{00000015-0FCE-470E-B7C3-93CD4A4A559C}"/>
              </c:ext>
            </c:extLst>
          </c:dPt>
          <c:dPt>
            <c:idx val="11"/>
            <c:bubble3D val="0"/>
            <c:spPr>
              <a:noFill/>
            </c:spPr>
            <c:extLst>
              <c:ext xmlns:c16="http://schemas.microsoft.com/office/drawing/2014/chart" uri="{C3380CC4-5D6E-409C-BE32-E72D297353CC}">
                <c16:uniqueId val="{00000017-0FCE-470E-B7C3-93CD4A4A559C}"/>
              </c:ext>
            </c:extLst>
          </c:dPt>
          <c:dPt>
            <c:idx val="12"/>
            <c:bubble3D val="0"/>
            <c:spPr>
              <a:noFill/>
            </c:spPr>
            <c:extLst>
              <c:ext xmlns:c16="http://schemas.microsoft.com/office/drawing/2014/chart" uri="{C3380CC4-5D6E-409C-BE32-E72D297353CC}">
                <c16:uniqueId val="{00000019-0FCE-470E-B7C3-93CD4A4A559C}"/>
              </c:ext>
            </c:extLst>
          </c:dPt>
          <c:dPt>
            <c:idx val="13"/>
            <c:bubble3D val="0"/>
            <c:spPr>
              <a:solidFill>
                <a:schemeClr val="tx1"/>
              </a:solidFill>
            </c:spPr>
            <c:extLst>
              <c:ext xmlns:c16="http://schemas.microsoft.com/office/drawing/2014/chart" uri="{C3380CC4-5D6E-409C-BE32-E72D297353CC}">
                <c16:uniqueId val="{0000001B-0FCE-470E-B7C3-93CD4A4A559C}"/>
              </c:ext>
            </c:extLst>
          </c:dPt>
          <c:dPt>
            <c:idx val="14"/>
            <c:bubble3D val="0"/>
            <c:spPr>
              <a:noFill/>
            </c:spPr>
            <c:extLst>
              <c:ext xmlns:c16="http://schemas.microsoft.com/office/drawing/2014/chart" uri="{C3380CC4-5D6E-409C-BE32-E72D297353CC}">
                <c16:uniqueId val="{0000001D-0FCE-470E-B7C3-93CD4A4A559C}"/>
              </c:ext>
            </c:extLst>
          </c:dPt>
          <c:dPt>
            <c:idx val="15"/>
            <c:bubble3D val="0"/>
            <c:spPr>
              <a:noFill/>
            </c:spPr>
            <c:extLst>
              <c:ext xmlns:c16="http://schemas.microsoft.com/office/drawing/2014/chart" uri="{C3380CC4-5D6E-409C-BE32-E72D297353CC}">
                <c16:uniqueId val="{0000001F-0FCE-470E-B7C3-93CD4A4A559C}"/>
              </c:ext>
            </c:extLst>
          </c:dPt>
          <c:dPt>
            <c:idx val="16"/>
            <c:bubble3D val="0"/>
            <c:spPr>
              <a:solidFill>
                <a:schemeClr val="tx1"/>
              </a:solidFill>
            </c:spPr>
            <c:extLst>
              <c:ext xmlns:c16="http://schemas.microsoft.com/office/drawing/2014/chart" uri="{C3380CC4-5D6E-409C-BE32-E72D297353CC}">
                <c16:uniqueId val="{00000021-0FCE-470E-B7C3-93CD4A4A559C}"/>
              </c:ext>
            </c:extLst>
          </c:dPt>
          <c:dPt>
            <c:idx val="17"/>
            <c:bubble3D val="0"/>
            <c:spPr>
              <a:noFill/>
            </c:spPr>
            <c:extLst>
              <c:ext xmlns:c16="http://schemas.microsoft.com/office/drawing/2014/chart" uri="{C3380CC4-5D6E-409C-BE32-E72D297353CC}">
                <c16:uniqueId val="{00000023-0FCE-470E-B7C3-93CD4A4A559C}"/>
              </c:ext>
            </c:extLst>
          </c:dPt>
          <c:dPt>
            <c:idx val="18"/>
            <c:bubble3D val="0"/>
            <c:spPr>
              <a:noFill/>
            </c:spPr>
            <c:extLst>
              <c:ext xmlns:c16="http://schemas.microsoft.com/office/drawing/2014/chart" uri="{C3380CC4-5D6E-409C-BE32-E72D297353CC}">
                <c16:uniqueId val="{00000025-0FCE-470E-B7C3-93CD4A4A559C}"/>
              </c:ext>
            </c:extLst>
          </c:dPt>
          <c:dPt>
            <c:idx val="19"/>
            <c:bubble3D val="0"/>
            <c:spPr>
              <a:solidFill>
                <a:schemeClr val="tx1"/>
              </a:solidFill>
            </c:spPr>
            <c:extLst>
              <c:ext xmlns:c16="http://schemas.microsoft.com/office/drawing/2014/chart" uri="{C3380CC4-5D6E-409C-BE32-E72D297353CC}">
                <c16:uniqueId val="{00000027-0FCE-470E-B7C3-93CD4A4A559C}"/>
              </c:ext>
            </c:extLst>
          </c:dPt>
          <c:dPt>
            <c:idx val="20"/>
            <c:bubble3D val="0"/>
            <c:spPr>
              <a:noFill/>
            </c:spPr>
            <c:extLst>
              <c:ext xmlns:c16="http://schemas.microsoft.com/office/drawing/2014/chart" uri="{C3380CC4-5D6E-409C-BE32-E72D297353CC}">
                <c16:uniqueId val="{00000029-0FCE-470E-B7C3-93CD4A4A559C}"/>
              </c:ext>
            </c:extLst>
          </c:dPt>
          <c:dPt>
            <c:idx val="21"/>
            <c:bubble3D val="0"/>
            <c:spPr>
              <a:noFill/>
            </c:spPr>
            <c:extLst>
              <c:ext xmlns:c16="http://schemas.microsoft.com/office/drawing/2014/chart" uri="{C3380CC4-5D6E-409C-BE32-E72D297353CC}">
                <c16:uniqueId val="{0000002B-0FCE-470E-B7C3-93CD4A4A559C}"/>
              </c:ext>
            </c:extLst>
          </c:dPt>
          <c:dPt>
            <c:idx val="22"/>
            <c:bubble3D val="0"/>
            <c:spPr>
              <a:solidFill>
                <a:schemeClr val="tx1"/>
              </a:solidFill>
            </c:spPr>
            <c:extLst>
              <c:ext xmlns:c16="http://schemas.microsoft.com/office/drawing/2014/chart" uri="{C3380CC4-5D6E-409C-BE32-E72D297353CC}">
                <c16:uniqueId val="{0000002D-0FCE-470E-B7C3-93CD4A4A559C}"/>
              </c:ext>
            </c:extLst>
          </c:dPt>
          <c:dPt>
            <c:idx val="23"/>
            <c:bubble3D val="0"/>
            <c:spPr>
              <a:noFill/>
            </c:spPr>
            <c:extLst>
              <c:ext xmlns:c16="http://schemas.microsoft.com/office/drawing/2014/chart" uri="{C3380CC4-5D6E-409C-BE32-E72D297353CC}">
                <c16:uniqueId val="{0000002F-0FCE-470E-B7C3-93CD4A4A559C}"/>
              </c:ext>
            </c:extLst>
          </c:dPt>
          <c:dPt>
            <c:idx val="24"/>
            <c:bubble3D val="0"/>
            <c:spPr>
              <a:noFill/>
            </c:spPr>
            <c:extLst>
              <c:ext xmlns:c16="http://schemas.microsoft.com/office/drawing/2014/chart" uri="{C3380CC4-5D6E-409C-BE32-E72D297353CC}">
                <c16:uniqueId val="{00000031-0FCE-470E-B7C3-93CD4A4A559C}"/>
              </c:ext>
            </c:extLst>
          </c:dPt>
          <c:dPt>
            <c:idx val="25"/>
            <c:bubble3D val="0"/>
            <c:spPr>
              <a:solidFill>
                <a:schemeClr val="tx1"/>
              </a:solidFill>
            </c:spPr>
            <c:extLst>
              <c:ext xmlns:c16="http://schemas.microsoft.com/office/drawing/2014/chart" uri="{C3380CC4-5D6E-409C-BE32-E72D297353CC}">
                <c16:uniqueId val="{00000033-0FCE-470E-B7C3-93CD4A4A559C}"/>
              </c:ext>
            </c:extLst>
          </c:dPt>
          <c:dPt>
            <c:idx val="26"/>
            <c:bubble3D val="0"/>
            <c:spPr>
              <a:noFill/>
            </c:spPr>
            <c:extLst>
              <c:ext xmlns:c16="http://schemas.microsoft.com/office/drawing/2014/chart" uri="{C3380CC4-5D6E-409C-BE32-E72D297353CC}">
                <c16:uniqueId val="{00000035-0FCE-470E-B7C3-93CD4A4A559C}"/>
              </c:ext>
            </c:extLst>
          </c:dPt>
          <c:dPt>
            <c:idx val="27"/>
            <c:bubble3D val="0"/>
            <c:spPr>
              <a:noFill/>
            </c:spPr>
            <c:extLst>
              <c:ext xmlns:c16="http://schemas.microsoft.com/office/drawing/2014/chart" uri="{C3380CC4-5D6E-409C-BE32-E72D297353CC}">
                <c16:uniqueId val="{00000037-0FCE-470E-B7C3-93CD4A4A559C}"/>
              </c:ext>
            </c:extLst>
          </c:dPt>
          <c:dPt>
            <c:idx val="28"/>
            <c:bubble3D val="0"/>
            <c:spPr>
              <a:solidFill>
                <a:schemeClr val="tx1"/>
              </a:solidFill>
            </c:spPr>
            <c:extLst>
              <c:ext xmlns:c16="http://schemas.microsoft.com/office/drawing/2014/chart" uri="{C3380CC4-5D6E-409C-BE32-E72D297353CC}">
                <c16:uniqueId val="{00000039-0FCE-470E-B7C3-93CD4A4A559C}"/>
              </c:ext>
            </c:extLst>
          </c:dPt>
          <c:dPt>
            <c:idx val="29"/>
            <c:bubble3D val="0"/>
            <c:spPr>
              <a:noFill/>
            </c:spPr>
            <c:extLst>
              <c:ext xmlns:c16="http://schemas.microsoft.com/office/drawing/2014/chart" uri="{C3380CC4-5D6E-409C-BE32-E72D297353CC}">
                <c16:uniqueId val="{0000003B-0FCE-470E-B7C3-93CD4A4A559C}"/>
              </c:ext>
            </c:extLst>
          </c:dPt>
          <c:dPt>
            <c:idx val="30"/>
            <c:bubble3D val="0"/>
            <c:spPr>
              <a:noFill/>
            </c:spPr>
            <c:extLst>
              <c:ext xmlns:c16="http://schemas.microsoft.com/office/drawing/2014/chart" uri="{C3380CC4-5D6E-409C-BE32-E72D297353CC}">
                <c16:uniqueId val="{0000003D-0FCE-470E-B7C3-93CD4A4A559C}"/>
              </c:ext>
            </c:extLst>
          </c:dPt>
          <c:dPt>
            <c:idx val="31"/>
            <c:bubble3D val="0"/>
            <c:spPr>
              <a:solidFill>
                <a:schemeClr val="tx1"/>
              </a:solidFill>
            </c:spPr>
            <c:extLst>
              <c:ext xmlns:c16="http://schemas.microsoft.com/office/drawing/2014/chart" uri="{C3380CC4-5D6E-409C-BE32-E72D297353CC}">
                <c16:uniqueId val="{0000003F-0FCE-470E-B7C3-93CD4A4A559C}"/>
              </c:ext>
            </c:extLst>
          </c:dPt>
          <c:dPt>
            <c:idx val="32"/>
            <c:bubble3D val="0"/>
            <c:spPr>
              <a:noFill/>
            </c:spPr>
            <c:extLst>
              <c:ext xmlns:c16="http://schemas.microsoft.com/office/drawing/2014/chart" uri="{C3380CC4-5D6E-409C-BE32-E72D297353CC}">
                <c16:uniqueId val="{00000041-0FCE-470E-B7C3-93CD4A4A559C}"/>
              </c:ext>
            </c:extLst>
          </c:dPt>
          <c:dPt>
            <c:idx val="33"/>
            <c:bubble3D val="0"/>
            <c:spPr>
              <a:noFill/>
            </c:spPr>
            <c:extLst>
              <c:ext xmlns:c16="http://schemas.microsoft.com/office/drawing/2014/chart" uri="{C3380CC4-5D6E-409C-BE32-E72D297353CC}">
                <c16:uniqueId val="{00000043-0FCE-470E-B7C3-93CD4A4A559C}"/>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FCE-470E-B7C3-93CD4A4A559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43985964353481"/>
          <c:y val="8.7966973477467765E-4"/>
          <c:w val="0.46222698829385317"/>
          <c:h val="0.99912033026522529"/>
        </c:manualLayout>
      </c:layout>
      <c:pieChart>
        <c:varyColors val="1"/>
        <c:ser>
          <c:idx val="0"/>
          <c:order val="0"/>
          <c:dPt>
            <c:idx val="0"/>
            <c:bubble3D val="0"/>
            <c:spPr>
              <a:gradFill>
                <a:gsLst>
                  <a:gs pos="0">
                    <a:schemeClr val="accent3">
                      <a:lumMod val="75000"/>
                    </a:schemeClr>
                  </a:gs>
                  <a:gs pos="100000">
                    <a:srgbClr val="00BCAA"/>
                  </a:gs>
                </a:gsLst>
                <a:lin ang="16200000" scaled="0"/>
              </a:gradFill>
            </c:spPr>
            <c:extLst>
              <c:ext xmlns:c16="http://schemas.microsoft.com/office/drawing/2014/chart" uri="{C3380CC4-5D6E-409C-BE32-E72D297353CC}">
                <c16:uniqueId val="{00000001-7629-419D-B990-530F21252683}"/>
              </c:ext>
            </c:extLst>
          </c:dPt>
          <c:dPt>
            <c:idx val="1"/>
            <c:bubble3D val="0"/>
            <c:spPr>
              <a:gradFill>
                <a:gsLst>
                  <a:gs pos="0">
                    <a:schemeClr val="accent3">
                      <a:lumMod val="50000"/>
                    </a:schemeClr>
                  </a:gs>
                  <a:gs pos="100000">
                    <a:srgbClr val="009284"/>
                  </a:gs>
                </a:gsLst>
                <a:lin ang="16200000" scaled="0"/>
              </a:gradFill>
            </c:spPr>
            <c:extLst>
              <c:ext xmlns:c16="http://schemas.microsoft.com/office/drawing/2014/chart" uri="{C3380CC4-5D6E-409C-BE32-E72D297353CC}">
                <c16:uniqueId val="{00000003-7629-419D-B990-530F21252683}"/>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7629-419D-B990-530F21252683}"/>
              </c:ext>
            </c:extLst>
          </c:dPt>
          <c:dPt>
            <c:idx val="3"/>
            <c:bubble3D val="0"/>
            <c:spPr>
              <a:gradFill>
                <a:gsLst>
                  <a:gs pos="0">
                    <a:schemeClr val="bg2">
                      <a:lumMod val="50000"/>
                    </a:schemeClr>
                  </a:gs>
                  <a:gs pos="100000">
                    <a:schemeClr val="tx2">
                      <a:lumMod val="50000"/>
                    </a:schemeClr>
                  </a:gs>
                </a:gsLst>
                <a:lin ang="16200000" scaled="0"/>
              </a:gradFill>
            </c:spPr>
            <c:extLst>
              <c:ext xmlns:c16="http://schemas.microsoft.com/office/drawing/2014/chart" uri="{C3380CC4-5D6E-409C-BE32-E72D297353CC}">
                <c16:uniqueId val="{00000007-7629-419D-B990-530F21252683}"/>
              </c:ext>
            </c:extLst>
          </c:dPt>
          <c:dPt>
            <c:idx val="4"/>
            <c:bubble3D val="0"/>
            <c:spPr>
              <a:gradFill>
                <a:gsLst>
                  <a:gs pos="0">
                    <a:schemeClr val="accent3"/>
                  </a:gs>
                  <a:gs pos="100000">
                    <a:srgbClr val="00CCB9"/>
                  </a:gs>
                </a:gsLst>
                <a:lin ang="16200000" scaled="0"/>
              </a:gradFill>
            </c:spPr>
            <c:extLst>
              <c:ext xmlns:c16="http://schemas.microsoft.com/office/drawing/2014/chart" uri="{C3380CC4-5D6E-409C-BE32-E72D297353CC}">
                <c16:uniqueId val="{00000009-7629-419D-B990-530F21252683}"/>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tlGraphs!$C$282:$H$282</c:f>
              <c:strCache>
                <c:ptCount val="6"/>
                <c:pt idx="0">
                  <c:v>Offshore</c:v>
                </c:pt>
                <c:pt idx="1">
                  <c:v>Global Delivery Centers</c:v>
                </c:pt>
                <c:pt idx="2">
                  <c:v>Technical</c:v>
                </c:pt>
                <c:pt idx="3">
                  <c:v>PM / Analyst</c:v>
                </c:pt>
                <c:pt idx="4">
                  <c:v>Director / EM</c:v>
                </c:pt>
                <c:pt idx="5">
                  <c:v>Unallocated</c:v>
                </c:pt>
              </c:strCache>
            </c:strRef>
          </c:cat>
          <c:val>
            <c:numRef>
              <c:f>tlGraphs!$C$283:$H$283</c:f>
              <c:numCache>
                <c:formatCode>0%</c:formatCode>
                <c:ptCount val="6"/>
                <c:pt idx="0">
                  <c:v>4.9737250268451792E-2</c:v>
                </c:pt>
                <c:pt idx="1">
                  <c:v>3.0021510412210347E-2</c:v>
                </c:pt>
                <c:pt idx="2">
                  <c:v>0.24473939173308085</c:v>
                </c:pt>
                <c:pt idx="3">
                  <c:v>0.17811116849648997</c:v>
                </c:pt>
                <c:pt idx="4">
                  <c:v>6.7432353742995318E-2</c:v>
                </c:pt>
                <c:pt idx="5">
                  <c:v>0.42995832534677181</c:v>
                </c:pt>
              </c:numCache>
            </c:numRef>
          </c:val>
          <c:extLst>
            <c:ext xmlns:c16="http://schemas.microsoft.com/office/drawing/2014/chart" uri="{C3380CC4-5D6E-409C-BE32-E72D297353CC}">
              <c16:uniqueId val="{0000000A-7629-419D-B990-530F21252683}"/>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67382102273748279"/>
          <c:y val="3.0650164616345971E-2"/>
          <c:w val="0.30875694620647814"/>
          <c:h val="0.88718529365131182"/>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3319-444F-9EDB-981F4CB5B85E}"/>
              </c:ext>
            </c:extLst>
          </c:dPt>
          <c:dPt>
            <c:idx val="1"/>
            <c:bubble3D val="0"/>
            <c:spPr>
              <a:solidFill>
                <a:srgbClr val="054680"/>
              </a:solidFill>
              <a:ln>
                <a:noFill/>
              </a:ln>
            </c:spPr>
            <c:extLst>
              <c:ext xmlns:c16="http://schemas.microsoft.com/office/drawing/2014/chart" uri="{C3380CC4-5D6E-409C-BE32-E72D297353CC}">
                <c16:uniqueId val="{00000003-3319-444F-9EDB-981F4CB5B85E}"/>
              </c:ext>
            </c:extLst>
          </c:dPt>
          <c:dPt>
            <c:idx val="2"/>
            <c:bubble3D val="0"/>
            <c:spPr>
              <a:noFill/>
            </c:spPr>
            <c:extLst>
              <c:ext xmlns:c16="http://schemas.microsoft.com/office/drawing/2014/chart" uri="{C3380CC4-5D6E-409C-BE32-E72D297353CC}">
                <c16:uniqueId val="{00000005-3319-444F-9EDB-981F4CB5B85E}"/>
              </c:ext>
            </c:extLst>
          </c:dPt>
          <c:dPt>
            <c:idx val="3"/>
            <c:bubble3D val="0"/>
            <c:spPr>
              <a:solidFill>
                <a:srgbClr val="CBE4EB"/>
              </a:solidFill>
              <a:ln>
                <a:noFill/>
              </a:ln>
            </c:spPr>
            <c:extLst>
              <c:ext xmlns:c16="http://schemas.microsoft.com/office/drawing/2014/chart" uri="{C3380CC4-5D6E-409C-BE32-E72D297353CC}">
                <c16:uniqueId val="{00000007-3319-444F-9EDB-981F4CB5B85E}"/>
              </c:ext>
            </c:extLst>
          </c:dPt>
          <c:dPt>
            <c:idx val="4"/>
            <c:bubble3D val="0"/>
            <c:spPr>
              <a:solidFill>
                <a:srgbClr val="007AC5"/>
              </a:solidFill>
              <a:ln>
                <a:noFill/>
              </a:ln>
            </c:spPr>
            <c:extLst>
              <c:ext xmlns:c16="http://schemas.microsoft.com/office/drawing/2014/chart" uri="{C3380CC4-5D6E-409C-BE32-E72D297353CC}">
                <c16:uniqueId val="{00000009-3319-444F-9EDB-981F4CB5B85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3319-444F-9EDB-981F4CB5B85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855-4574-B6BB-52024947111F}"/>
              </c:ext>
            </c:extLst>
          </c:dPt>
          <c:dPt>
            <c:idx val="1"/>
            <c:bubble3D val="0"/>
            <c:spPr>
              <a:solidFill>
                <a:schemeClr val="tx1"/>
              </a:solidFill>
              <a:ln>
                <a:noFill/>
              </a:ln>
            </c:spPr>
            <c:extLst>
              <c:ext xmlns:c16="http://schemas.microsoft.com/office/drawing/2014/chart" uri="{C3380CC4-5D6E-409C-BE32-E72D297353CC}">
                <c16:uniqueId val="{00000003-7855-4574-B6BB-52024947111F}"/>
              </c:ext>
            </c:extLst>
          </c:dPt>
          <c:dPt>
            <c:idx val="2"/>
            <c:bubble3D val="0"/>
            <c:spPr>
              <a:noFill/>
            </c:spPr>
            <c:extLst>
              <c:ext xmlns:c16="http://schemas.microsoft.com/office/drawing/2014/chart" uri="{C3380CC4-5D6E-409C-BE32-E72D297353CC}">
                <c16:uniqueId val="{00000005-7855-4574-B6BB-52024947111F}"/>
              </c:ext>
            </c:extLst>
          </c:dPt>
          <c:dPt>
            <c:idx val="3"/>
            <c:bubble3D val="0"/>
            <c:spPr>
              <a:noFill/>
            </c:spPr>
            <c:extLst>
              <c:ext xmlns:c16="http://schemas.microsoft.com/office/drawing/2014/chart" uri="{C3380CC4-5D6E-409C-BE32-E72D297353CC}">
                <c16:uniqueId val="{00000007-7855-4574-B6BB-52024947111F}"/>
              </c:ext>
            </c:extLst>
          </c:dPt>
          <c:dPt>
            <c:idx val="4"/>
            <c:bubble3D val="0"/>
            <c:spPr>
              <a:solidFill>
                <a:schemeClr val="tx1"/>
              </a:solidFill>
              <a:ln>
                <a:noFill/>
              </a:ln>
            </c:spPr>
            <c:extLst>
              <c:ext xmlns:c16="http://schemas.microsoft.com/office/drawing/2014/chart" uri="{C3380CC4-5D6E-409C-BE32-E72D297353CC}">
                <c16:uniqueId val="{00000009-7855-4574-B6BB-52024947111F}"/>
              </c:ext>
            </c:extLst>
          </c:dPt>
          <c:dPt>
            <c:idx val="5"/>
            <c:bubble3D val="0"/>
            <c:spPr>
              <a:noFill/>
            </c:spPr>
            <c:extLst>
              <c:ext xmlns:c16="http://schemas.microsoft.com/office/drawing/2014/chart" uri="{C3380CC4-5D6E-409C-BE32-E72D297353CC}">
                <c16:uniqueId val="{0000000B-7855-4574-B6BB-52024947111F}"/>
              </c:ext>
            </c:extLst>
          </c:dPt>
          <c:dPt>
            <c:idx val="6"/>
            <c:bubble3D val="0"/>
            <c:spPr>
              <a:noFill/>
            </c:spPr>
            <c:extLst>
              <c:ext xmlns:c16="http://schemas.microsoft.com/office/drawing/2014/chart" uri="{C3380CC4-5D6E-409C-BE32-E72D297353CC}">
                <c16:uniqueId val="{0000000D-7855-4574-B6BB-52024947111F}"/>
              </c:ext>
            </c:extLst>
          </c:dPt>
          <c:dPt>
            <c:idx val="7"/>
            <c:bubble3D val="0"/>
            <c:spPr>
              <a:solidFill>
                <a:schemeClr val="tx1"/>
              </a:solidFill>
              <a:ln>
                <a:noFill/>
              </a:ln>
            </c:spPr>
            <c:extLst>
              <c:ext xmlns:c16="http://schemas.microsoft.com/office/drawing/2014/chart" uri="{C3380CC4-5D6E-409C-BE32-E72D297353CC}">
                <c16:uniqueId val="{0000000F-7855-4574-B6BB-52024947111F}"/>
              </c:ext>
            </c:extLst>
          </c:dPt>
          <c:dPt>
            <c:idx val="8"/>
            <c:bubble3D val="0"/>
            <c:spPr>
              <a:noFill/>
            </c:spPr>
            <c:extLst>
              <c:ext xmlns:c16="http://schemas.microsoft.com/office/drawing/2014/chart" uri="{C3380CC4-5D6E-409C-BE32-E72D297353CC}">
                <c16:uniqueId val="{00000011-7855-4574-B6BB-52024947111F}"/>
              </c:ext>
            </c:extLst>
          </c:dPt>
          <c:dPt>
            <c:idx val="9"/>
            <c:bubble3D val="0"/>
            <c:spPr>
              <a:noFill/>
            </c:spPr>
            <c:extLst>
              <c:ext xmlns:c16="http://schemas.microsoft.com/office/drawing/2014/chart" uri="{C3380CC4-5D6E-409C-BE32-E72D297353CC}">
                <c16:uniqueId val="{00000013-7855-4574-B6BB-52024947111F}"/>
              </c:ext>
            </c:extLst>
          </c:dPt>
          <c:dPt>
            <c:idx val="10"/>
            <c:bubble3D val="0"/>
            <c:spPr>
              <a:solidFill>
                <a:schemeClr val="tx1"/>
              </a:solidFill>
            </c:spPr>
            <c:extLst>
              <c:ext xmlns:c16="http://schemas.microsoft.com/office/drawing/2014/chart" uri="{C3380CC4-5D6E-409C-BE32-E72D297353CC}">
                <c16:uniqueId val="{00000015-7855-4574-B6BB-52024947111F}"/>
              </c:ext>
            </c:extLst>
          </c:dPt>
          <c:dPt>
            <c:idx val="11"/>
            <c:bubble3D val="0"/>
            <c:spPr>
              <a:noFill/>
            </c:spPr>
            <c:extLst>
              <c:ext xmlns:c16="http://schemas.microsoft.com/office/drawing/2014/chart" uri="{C3380CC4-5D6E-409C-BE32-E72D297353CC}">
                <c16:uniqueId val="{00000017-7855-4574-B6BB-52024947111F}"/>
              </c:ext>
            </c:extLst>
          </c:dPt>
          <c:dPt>
            <c:idx val="12"/>
            <c:bubble3D val="0"/>
            <c:spPr>
              <a:noFill/>
            </c:spPr>
            <c:extLst>
              <c:ext xmlns:c16="http://schemas.microsoft.com/office/drawing/2014/chart" uri="{C3380CC4-5D6E-409C-BE32-E72D297353CC}">
                <c16:uniqueId val="{00000019-7855-4574-B6BB-52024947111F}"/>
              </c:ext>
            </c:extLst>
          </c:dPt>
          <c:dPt>
            <c:idx val="13"/>
            <c:bubble3D val="0"/>
            <c:spPr>
              <a:solidFill>
                <a:schemeClr val="tx1"/>
              </a:solidFill>
            </c:spPr>
            <c:extLst>
              <c:ext xmlns:c16="http://schemas.microsoft.com/office/drawing/2014/chart" uri="{C3380CC4-5D6E-409C-BE32-E72D297353CC}">
                <c16:uniqueId val="{0000001B-7855-4574-B6BB-52024947111F}"/>
              </c:ext>
            </c:extLst>
          </c:dPt>
          <c:dPt>
            <c:idx val="14"/>
            <c:bubble3D val="0"/>
            <c:spPr>
              <a:noFill/>
            </c:spPr>
            <c:extLst>
              <c:ext xmlns:c16="http://schemas.microsoft.com/office/drawing/2014/chart" uri="{C3380CC4-5D6E-409C-BE32-E72D297353CC}">
                <c16:uniqueId val="{0000001D-7855-4574-B6BB-52024947111F}"/>
              </c:ext>
            </c:extLst>
          </c:dPt>
          <c:dPt>
            <c:idx val="15"/>
            <c:bubble3D val="0"/>
            <c:spPr>
              <a:noFill/>
            </c:spPr>
            <c:extLst>
              <c:ext xmlns:c16="http://schemas.microsoft.com/office/drawing/2014/chart" uri="{C3380CC4-5D6E-409C-BE32-E72D297353CC}">
                <c16:uniqueId val="{0000001F-7855-4574-B6BB-52024947111F}"/>
              </c:ext>
            </c:extLst>
          </c:dPt>
          <c:dPt>
            <c:idx val="16"/>
            <c:bubble3D val="0"/>
            <c:spPr>
              <a:solidFill>
                <a:schemeClr val="tx1"/>
              </a:solidFill>
            </c:spPr>
            <c:extLst>
              <c:ext xmlns:c16="http://schemas.microsoft.com/office/drawing/2014/chart" uri="{C3380CC4-5D6E-409C-BE32-E72D297353CC}">
                <c16:uniqueId val="{00000021-7855-4574-B6BB-52024947111F}"/>
              </c:ext>
            </c:extLst>
          </c:dPt>
          <c:dPt>
            <c:idx val="17"/>
            <c:bubble3D val="0"/>
            <c:spPr>
              <a:noFill/>
            </c:spPr>
            <c:extLst>
              <c:ext xmlns:c16="http://schemas.microsoft.com/office/drawing/2014/chart" uri="{C3380CC4-5D6E-409C-BE32-E72D297353CC}">
                <c16:uniqueId val="{00000023-7855-4574-B6BB-52024947111F}"/>
              </c:ext>
            </c:extLst>
          </c:dPt>
          <c:dPt>
            <c:idx val="18"/>
            <c:bubble3D val="0"/>
            <c:spPr>
              <a:noFill/>
            </c:spPr>
            <c:extLst>
              <c:ext xmlns:c16="http://schemas.microsoft.com/office/drawing/2014/chart" uri="{C3380CC4-5D6E-409C-BE32-E72D297353CC}">
                <c16:uniqueId val="{00000025-7855-4574-B6BB-52024947111F}"/>
              </c:ext>
            </c:extLst>
          </c:dPt>
          <c:dPt>
            <c:idx val="19"/>
            <c:bubble3D val="0"/>
            <c:spPr>
              <a:solidFill>
                <a:schemeClr val="tx1"/>
              </a:solidFill>
            </c:spPr>
            <c:extLst>
              <c:ext xmlns:c16="http://schemas.microsoft.com/office/drawing/2014/chart" uri="{C3380CC4-5D6E-409C-BE32-E72D297353CC}">
                <c16:uniqueId val="{00000027-7855-4574-B6BB-52024947111F}"/>
              </c:ext>
            </c:extLst>
          </c:dPt>
          <c:dPt>
            <c:idx val="20"/>
            <c:bubble3D val="0"/>
            <c:spPr>
              <a:noFill/>
            </c:spPr>
            <c:extLst>
              <c:ext xmlns:c16="http://schemas.microsoft.com/office/drawing/2014/chart" uri="{C3380CC4-5D6E-409C-BE32-E72D297353CC}">
                <c16:uniqueId val="{00000029-7855-4574-B6BB-52024947111F}"/>
              </c:ext>
            </c:extLst>
          </c:dPt>
          <c:dPt>
            <c:idx val="21"/>
            <c:bubble3D val="0"/>
            <c:spPr>
              <a:noFill/>
            </c:spPr>
            <c:extLst>
              <c:ext xmlns:c16="http://schemas.microsoft.com/office/drawing/2014/chart" uri="{C3380CC4-5D6E-409C-BE32-E72D297353CC}">
                <c16:uniqueId val="{0000002B-7855-4574-B6BB-52024947111F}"/>
              </c:ext>
            </c:extLst>
          </c:dPt>
          <c:dPt>
            <c:idx val="22"/>
            <c:bubble3D val="0"/>
            <c:spPr>
              <a:solidFill>
                <a:schemeClr val="tx1"/>
              </a:solidFill>
            </c:spPr>
            <c:extLst>
              <c:ext xmlns:c16="http://schemas.microsoft.com/office/drawing/2014/chart" uri="{C3380CC4-5D6E-409C-BE32-E72D297353CC}">
                <c16:uniqueId val="{0000002D-7855-4574-B6BB-52024947111F}"/>
              </c:ext>
            </c:extLst>
          </c:dPt>
          <c:dPt>
            <c:idx val="23"/>
            <c:bubble3D val="0"/>
            <c:spPr>
              <a:noFill/>
            </c:spPr>
            <c:extLst>
              <c:ext xmlns:c16="http://schemas.microsoft.com/office/drawing/2014/chart" uri="{C3380CC4-5D6E-409C-BE32-E72D297353CC}">
                <c16:uniqueId val="{0000002F-7855-4574-B6BB-52024947111F}"/>
              </c:ext>
            </c:extLst>
          </c:dPt>
          <c:dPt>
            <c:idx val="24"/>
            <c:bubble3D val="0"/>
            <c:spPr>
              <a:noFill/>
            </c:spPr>
            <c:extLst>
              <c:ext xmlns:c16="http://schemas.microsoft.com/office/drawing/2014/chart" uri="{C3380CC4-5D6E-409C-BE32-E72D297353CC}">
                <c16:uniqueId val="{00000031-7855-4574-B6BB-52024947111F}"/>
              </c:ext>
            </c:extLst>
          </c:dPt>
          <c:dPt>
            <c:idx val="25"/>
            <c:bubble3D val="0"/>
            <c:spPr>
              <a:solidFill>
                <a:schemeClr val="tx1"/>
              </a:solidFill>
            </c:spPr>
            <c:extLst>
              <c:ext xmlns:c16="http://schemas.microsoft.com/office/drawing/2014/chart" uri="{C3380CC4-5D6E-409C-BE32-E72D297353CC}">
                <c16:uniqueId val="{00000033-7855-4574-B6BB-52024947111F}"/>
              </c:ext>
            </c:extLst>
          </c:dPt>
          <c:dPt>
            <c:idx val="26"/>
            <c:bubble3D val="0"/>
            <c:spPr>
              <a:noFill/>
            </c:spPr>
            <c:extLst>
              <c:ext xmlns:c16="http://schemas.microsoft.com/office/drawing/2014/chart" uri="{C3380CC4-5D6E-409C-BE32-E72D297353CC}">
                <c16:uniqueId val="{00000035-7855-4574-B6BB-52024947111F}"/>
              </c:ext>
            </c:extLst>
          </c:dPt>
          <c:dPt>
            <c:idx val="27"/>
            <c:bubble3D val="0"/>
            <c:spPr>
              <a:noFill/>
            </c:spPr>
            <c:extLst>
              <c:ext xmlns:c16="http://schemas.microsoft.com/office/drawing/2014/chart" uri="{C3380CC4-5D6E-409C-BE32-E72D297353CC}">
                <c16:uniqueId val="{00000037-7855-4574-B6BB-52024947111F}"/>
              </c:ext>
            </c:extLst>
          </c:dPt>
          <c:dPt>
            <c:idx val="28"/>
            <c:bubble3D val="0"/>
            <c:spPr>
              <a:solidFill>
                <a:schemeClr val="tx1"/>
              </a:solidFill>
            </c:spPr>
            <c:extLst>
              <c:ext xmlns:c16="http://schemas.microsoft.com/office/drawing/2014/chart" uri="{C3380CC4-5D6E-409C-BE32-E72D297353CC}">
                <c16:uniqueId val="{00000039-7855-4574-B6BB-52024947111F}"/>
              </c:ext>
            </c:extLst>
          </c:dPt>
          <c:dPt>
            <c:idx val="29"/>
            <c:bubble3D val="0"/>
            <c:spPr>
              <a:noFill/>
            </c:spPr>
            <c:extLst>
              <c:ext xmlns:c16="http://schemas.microsoft.com/office/drawing/2014/chart" uri="{C3380CC4-5D6E-409C-BE32-E72D297353CC}">
                <c16:uniqueId val="{0000003B-7855-4574-B6BB-52024947111F}"/>
              </c:ext>
            </c:extLst>
          </c:dPt>
          <c:dPt>
            <c:idx val="30"/>
            <c:bubble3D val="0"/>
            <c:spPr>
              <a:noFill/>
            </c:spPr>
            <c:extLst>
              <c:ext xmlns:c16="http://schemas.microsoft.com/office/drawing/2014/chart" uri="{C3380CC4-5D6E-409C-BE32-E72D297353CC}">
                <c16:uniqueId val="{0000003D-7855-4574-B6BB-52024947111F}"/>
              </c:ext>
            </c:extLst>
          </c:dPt>
          <c:dPt>
            <c:idx val="31"/>
            <c:bubble3D val="0"/>
            <c:spPr>
              <a:solidFill>
                <a:schemeClr val="tx1"/>
              </a:solidFill>
            </c:spPr>
            <c:extLst>
              <c:ext xmlns:c16="http://schemas.microsoft.com/office/drawing/2014/chart" uri="{C3380CC4-5D6E-409C-BE32-E72D297353CC}">
                <c16:uniqueId val="{0000003F-7855-4574-B6BB-52024947111F}"/>
              </c:ext>
            </c:extLst>
          </c:dPt>
          <c:dPt>
            <c:idx val="32"/>
            <c:bubble3D val="0"/>
            <c:spPr>
              <a:noFill/>
            </c:spPr>
            <c:extLst>
              <c:ext xmlns:c16="http://schemas.microsoft.com/office/drawing/2014/chart" uri="{C3380CC4-5D6E-409C-BE32-E72D297353CC}">
                <c16:uniqueId val="{00000041-7855-4574-B6BB-52024947111F}"/>
              </c:ext>
            </c:extLst>
          </c:dPt>
          <c:dPt>
            <c:idx val="33"/>
            <c:bubble3D val="0"/>
            <c:spPr>
              <a:noFill/>
            </c:spPr>
            <c:extLst>
              <c:ext xmlns:c16="http://schemas.microsoft.com/office/drawing/2014/chart" uri="{C3380CC4-5D6E-409C-BE32-E72D297353CC}">
                <c16:uniqueId val="{00000043-7855-4574-B6BB-52024947111F}"/>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855-4574-B6BB-52024947111F}"/>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A49-4681-9847-B4DF77B9D663}"/>
              </c:ext>
            </c:extLst>
          </c:dPt>
          <c:dPt>
            <c:idx val="1"/>
            <c:bubble3D val="0"/>
            <c:spPr>
              <a:solidFill>
                <a:schemeClr val="accent3">
                  <a:lumMod val="50000"/>
                </a:schemeClr>
              </a:solidFill>
              <a:ln>
                <a:noFill/>
              </a:ln>
            </c:spPr>
            <c:extLst>
              <c:ext xmlns:c16="http://schemas.microsoft.com/office/drawing/2014/chart" uri="{C3380CC4-5D6E-409C-BE32-E72D297353CC}">
                <c16:uniqueId val="{00000003-6A49-4681-9847-B4DF77B9D663}"/>
              </c:ext>
            </c:extLst>
          </c:dPt>
          <c:dPt>
            <c:idx val="2"/>
            <c:bubble3D val="0"/>
            <c:spPr>
              <a:noFill/>
            </c:spPr>
            <c:extLst>
              <c:ext xmlns:c16="http://schemas.microsoft.com/office/drawing/2014/chart" uri="{C3380CC4-5D6E-409C-BE32-E72D297353CC}">
                <c16:uniqueId val="{00000005-6A49-4681-9847-B4DF77B9D663}"/>
              </c:ext>
            </c:extLst>
          </c:dPt>
          <c:dPt>
            <c:idx val="3"/>
            <c:bubble3D val="0"/>
            <c:spPr>
              <a:solidFill>
                <a:srgbClr val="CBE4EB"/>
              </a:solidFill>
              <a:ln>
                <a:noFill/>
              </a:ln>
            </c:spPr>
            <c:extLst>
              <c:ext xmlns:c16="http://schemas.microsoft.com/office/drawing/2014/chart" uri="{C3380CC4-5D6E-409C-BE32-E72D297353CC}">
                <c16:uniqueId val="{00000007-6A49-4681-9847-B4DF77B9D663}"/>
              </c:ext>
            </c:extLst>
          </c:dPt>
          <c:dPt>
            <c:idx val="4"/>
            <c:bubble3D val="0"/>
            <c:spPr>
              <a:solidFill>
                <a:schemeClr val="accent3"/>
              </a:solidFill>
              <a:ln>
                <a:noFill/>
              </a:ln>
            </c:spPr>
            <c:extLst>
              <c:ext xmlns:c16="http://schemas.microsoft.com/office/drawing/2014/chart" uri="{C3380CC4-5D6E-409C-BE32-E72D297353CC}">
                <c16:uniqueId val="{00000009-6A49-4681-9847-B4DF77B9D663}"/>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A49-4681-9847-B4DF77B9D663}"/>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37C1-4BB6-91EC-2A11F07B4E97}"/>
              </c:ext>
            </c:extLst>
          </c:dPt>
          <c:dPt>
            <c:idx val="1"/>
            <c:bubble3D val="0"/>
            <c:spPr>
              <a:solidFill>
                <a:schemeClr val="tx1"/>
              </a:solidFill>
              <a:ln>
                <a:noFill/>
              </a:ln>
            </c:spPr>
            <c:extLst>
              <c:ext xmlns:c16="http://schemas.microsoft.com/office/drawing/2014/chart" uri="{C3380CC4-5D6E-409C-BE32-E72D297353CC}">
                <c16:uniqueId val="{00000003-37C1-4BB6-91EC-2A11F07B4E97}"/>
              </c:ext>
            </c:extLst>
          </c:dPt>
          <c:dPt>
            <c:idx val="2"/>
            <c:bubble3D val="0"/>
            <c:spPr>
              <a:noFill/>
            </c:spPr>
            <c:extLst>
              <c:ext xmlns:c16="http://schemas.microsoft.com/office/drawing/2014/chart" uri="{C3380CC4-5D6E-409C-BE32-E72D297353CC}">
                <c16:uniqueId val="{00000005-37C1-4BB6-91EC-2A11F07B4E97}"/>
              </c:ext>
            </c:extLst>
          </c:dPt>
          <c:dPt>
            <c:idx val="3"/>
            <c:bubble3D val="0"/>
            <c:spPr>
              <a:noFill/>
            </c:spPr>
            <c:extLst>
              <c:ext xmlns:c16="http://schemas.microsoft.com/office/drawing/2014/chart" uri="{C3380CC4-5D6E-409C-BE32-E72D297353CC}">
                <c16:uniqueId val="{00000007-37C1-4BB6-91EC-2A11F07B4E97}"/>
              </c:ext>
            </c:extLst>
          </c:dPt>
          <c:dPt>
            <c:idx val="4"/>
            <c:bubble3D val="0"/>
            <c:spPr>
              <a:solidFill>
                <a:schemeClr val="tx1"/>
              </a:solidFill>
              <a:ln>
                <a:noFill/>
              </a:ln>
            </c:spPr>
            <c:extLst>
              <c:ext xmlns:c16="http://schemas.microsoft.com/office/drawing/2014/chart" uri="{C3380CC4-5D6E-409C-BE32-E72D297353CC}">
                <c16:uniqueId val="{00000009-37C1-4BB6-91EC-2A11F07B4E97}"/>
              </c:ext>
            </c:extLst>
          </c:dPt>
          <c:dPt>
            <c:idx val="5"/>
            <c:bubble3D val="0"/>
            <c:spPr>
              <a:noFill/>
            </c:spPr>
            <c:extLst>
              <c:ext xmlns:c16="http://schemas.microsoft.com/office/drawing/2014/chart" uri="{C3380CC4-5D6E-409C-BE32-E72D297353CC}">
                <c16:uniqueId val="{0000000B-37C1-4BB6-91EC-2A11F07B4E97}"/>
              </c:ext>
            </c:extLst>
          </c:dPt>
          <c:dPt>
            <c:idx val="6"/>
            <c:bubble3D val="0"/>
            <c:spPr>
              <a:noFill/>
            </c:spPr>
            <c:extLst>
              <c:ext xmlns:c16="http://schemas.microsoft.com/office/drawing/2014/chart" uri="{C3380CC4-5D6E-409C-BE32-E72D297353CC}">
                <c16:uniqueId val="{0000000D-37C1-4BB6-91EC-2A11F07B4E97}"/>
              </c:ext>
            </c:extLst>
          </c:dPt>
          <c:dPt>
            <c:idx val="7"/>
            <c:bubble3D val="0"/>
            <c:spPr>
              <a:solidFill>
                <a:schemeClr val="tx1"/>
              </a:solidFill>
              <a:ln>
                <a:noFill/>
              </a:ln>
            </c:spPr>
            <c:extLst>
              <c:ext xmlns:c16="http://schemas.microsoft.com/office/drawing/2014/chart" uri="{C3380CC4-5D6E-409C-BE32-E72D297353CC}">
                <c16:uniqueId val="{0000000F-37C1-4BB6-91EC-2A11F07B4E97}"/>
              </c:ext>
            </c:extLst>
          </c:dPt>
          <c:dPt>
            <c:idx val="8"/>
            <c:bubble3D val="0"/>
            <c:spPr>
              <a:noFill/>
            </c:spPr>
            <c:extLst>
              <c:ext xmlns:c16="http://schemas.microsoft.com/office/drawing/2014/chart" uri="{C3380CC4-5D6E-409C-BE32-E72D297353CC}">
                <c16:uniqueId val="{00000011-37C1-4BB6-91EC-2A11F07B4E97}"/>
              </c:ext>
            </c:extLst>
          </c:dPt>
          <c:dPt>
            <c:idx val="9"/>
            <c:bubble3D val="0"/>
            <c:spPr>
              <a:noFill/>
            </c:spPr>
            <c:extLst>
              <c:ext xmlns:c16="http://schemas.microsoft.com/office/drawing/2014/chart" uri="{C3380CC4-5D6E-409C-BE32-E72D297353CC}">
                <c16:uniqueId val="{00000013-37C1-4BB6-91EC-2A11F07B4E97}"/>
              </c:ext>
            </c:extLst>
          </c:dPt>
          <c:dPt>
            <c:idx val="10"/>
            <c:bubble3D val="0"/>
            <c:spPr>
              <a:solidFill>
                <a:schemeClr val="tx1"/>
              </a:solidFill>
            </c:spPr>
            <c:extLst>
              <c:ext xmlns:c16="http://schemas.microsoft.com/office/drawing/2014/chart" uri="{C3380CC4-5D6E-409C-BE32-E72D297353CC}">
                <c16:uniqueId val="{00000015-37C1-4BB6-91EC-2A11F07B4E97}"/>
              </c:ext>
            </c:extLst>
          </c:dPt>
          <c:dPt>
            <c:idx val="11"/>
            <c:bubble3D val="0"/>
            <c:spPr>
              <a:noFill/>
            </c:spPr>
            <c:extLst>
              <c:ext xmlns:c16="http://schemas.microsoft.com/office/drawing/2014/chart" uri="{C3380CC4-5D6E-409C-BE32-E72D297353CC}">
                <c16:uniqueId val="{00000017-37C1-4BB6-91EC-2A11F07B4E97}"/>
              </c:ext>
            </c:extLst>
          </c:dPt>
          <c:dPt>
            <c:idx val="12"/>
            <c:bubble3D val="0"/>
            <c:spPr>
              <a:noFill/>
            </c:spPr>
            <c:extLst>
              <c:ext xmlns:c16="http://schemas.microsoft.com/office/drawing/2014/chart" uri="{C3380CC4-5D6E-409C-BE32-E72D297353CC}">
                <c16:uniqueId val="{00000019-37C1-4BB6-91EC-2A11F07B4E97}"/>
              </c:ext>
            </c:extLst>
          </c:dPt>
          <c:dPt>
            <c:idx val="13"/>
            <c:bubble3D val="0"/>
            <c:spPr>
              <a:solidFill>
                <a:schemeClr val="tx1"/>
              </a:solidFill>
            </c:spPr>
            <c:extLst>
              <c:ext xmlns:c16="http://schemas.microsoft.com/office/drawing/2014/chart" uri="{C3380CC4-5D6E-409C-BE32-E72D297353CC}">
                <c16:uniqueId val="{0000001B-37C1-4BB6-91EC-2A11F07B4E97}"/>
              </c:ext>
            </c:extLst>
          </c:dPt>
          <c:dPt>
            <c:idx val="14"/>
            <c:bubble3D val="0"/>
            <c:spPr>
              <a:noFill/>
            </c:spPr>
            <c:extLst>
              <c:ext xmlns:c16="http://schemas.microsoft.com/office/drawing/2014/chart" uri="{C3380CC4-5D6E-409C-BE32-E72D297353CC}">
                <c16:uniqueId val="{0000001D-37C1-4BB6-91EC-2A11F07B4E97}"/>
              </c:ext>
            </c:extLst>
          </c:dPt>
          <c:dPt>
            <c:idx val="15"/>
            <c:bubble3D val="0"/>
            <c:spPr>
              <a:noFill/>
            </c:spPr>
            <c:extLst>
              <c:ext xmlns:c16="http://schemas.microsoft.com/office/drawing/2014/chart" uri="{C3380CC4-5D6E-409C-BE32-E72D297353CC}">
                <c16:uniqueId val="{0000001F-37C1-4BB6-91EC-2A11F07B4E97}"/>
              </c:ext>
            </c:extLst>
          </c:dPt>
          <c:dPt>
            <c:idx val="16"/>
            <c:bubble3D val="0"/>
            <c:spPr>
              <a:solidFill>
                <a:schemeClr val="tx1"/>
              </a:solidFill>
            </c:spPr>
            <c:extLst>
              <c:ext xmlns:c16="http://schemas.microsoft.com/office/drawing/2014/chart" uri="{C3380CC4-5D6E-409C-BE32-E72D297353CC}">
                <c16:uniqueId val="{00000021-37C1-4BB6-91EC-2A11F07B4E97}"/>
              </c:ext>
            </c:extLst>
          </c:dPt>
          <c:dPt>
            <c:idx val="17"/>
            <c:bubble3D val="0"/>
            <c:spPr>
              <a:noFill/>
            </c:spPr>
            <c:extLst>
              <c:ext xmlns:c16="http://schemas.microsoft.com/office/drawing/2014/chart" uri="{C3380CC4-5D6E-409C-BE32-E72D297353CC}">
                <c16:uniqueId val="{00000023-37C1-4BB6-91EC-2A11F07B4E97}"/>
              </c:ext>
            </c:extLst>
          </c:dPt>
          <c:dPt>
            <c:idx val="18"/>
            <c:bubble3D val="0"/>
            <c:spPr>
              <a:noFill/>
            </c:spPr>
            <c:extLst>
              <c:ext xmlns:c16="http://schemas.microsoft.com/office/drawing/2014/chart" uri="{C3380CC4-5D6E-409C-BE32-E72D297353CC}">
                <c16:uniqueId val="{00000025-37C1-4BB6-91EC-2A11F07B4E97}"/>
              </c:ext>
            </c:extLst>
          </c:dPt>
          <c:dPt>
            <c:idx val="19"/>
            <c:bubble3D val="0"/>
            <c:spPr>
              <a:solidFill>
                <a:schemeClr val="tx1"/>
              </a:solidFill>
            </c:spPr>
            <c:extLst>
              <c:ext xmlns:c16="http://schemas.microsoft.com/office/drawing/2014/chart" uri="{C3380CC4-5D6E-409C-BE32-E72D297353CC}">
                <c16:uniqueId val="{00000027-37C1-4BB6-91EC-2A11F07B4E97}"/>
              </c:ext>
            </c:extLst>
          </c:dPt>
          <c:dPt>
            <c:idx val="20"/>
            <c:bubble3D val="0"/>
            <c:spPr>
              <a:noFill/>
            </c:spPr>
            <c:extLst>
              <c:ext xmlns:c16="http://schemas.microsoft.com/office/drawing/2014/chart" uri="{C3380CC4-5D6E-409C-BE32-E72D297353CC}">
                <c16:uniqueId val="{00000029-37C1-4BB6-91EC-2A11F07B4E97}"/>
              </c:ext>
            </c:extLst>
          </c:dPt>
          <c:dPt>
            <c:idx val="21"/>
            <c:bubble3D val="0"/>
            <c:spPr>
              <a:noFill/>
            </c:spPr>
            <c:extLst>
              <c:ext xmlns:c16="http://schemas.microsoft.com/office/drawing/2014/chart" uri="{C3380CC4-5D6E-409C-BE32-E72D297353CC}">
                <c16:uniqueId val="{0000002B-37C1-4BB6-91EC-2A11F07B4E97}"/>
              </c:ext>
            </c:extLst>
          </c:dPt>
          <c:dPt>
            <c:idx val="22"/>
            <c:bubble3D val="0"/>
            <c:spPr>
              <a:solidFill>
                <a:schemeClr val="tx1"/>
              </a:solidFill>
            </c:spPr>
            <c:extLst>
              <c:ext xmlns:c16="http://schemas.microsoft.com/office/drawing/2014/chart" uri="{C3380CC4-5D6E-409C-BE32-E72D297353CC}">
                <c16:uniqueId val="{0000002D-37C1-4BB6-91EC-2A11F07B4E97}"/>
              </c:ext>
            </c:extLst>
          </c:dPt>
          <c:dPt>
            <c:idx val="23"/>
            <c:bubble3D val="0"/>
            <c:spPr>
              <a:noFill/>
            </c:spPr>
            <c:extLst>
              <c:ext xmlns:c16="http://schemas.microsoft.com/office/drawing/2014/chart" uri="{C3380CC4-5D6E-409C-BE32-E72D297353CC}">
                <c16:uniqueId val="{0000002F-37C1-4BB6-91EC-2A11F07B4E97}"/>
              </c:ext>
            </c:extLst>
          </c:dPt>
          <c:dPt>
            <c:idx val="24"/>
            <c:bubble3D val="0"/>
            <c:spPr>
              <a:noFill/>
            </c:spPr>
            <c:extLst>
              <c:ext xmlns:c16="http://schemas.microsoft.com/office/drawing/2014/chart" uri="{C3380CC4-5D6E-409C-BE32-E72D297353CC}">
                <c16:uniqueId val="{00000031-37C1-4BB6-91EC-2A11F07B4E97}"/>
              </c:ext>
            </c:extLst>
          </c:dPt>
          <c:dPt>
            <c:idx val="25"/>
            <c:bubble3D val="0"/>
            <c:spPr>
              <a:solidFill>
                <a:schemeClr val="tx1"/>
              </a:solidFill>
            </c:spPr>
            <c:extLst>
              <c:ext xmlns:c16="http://schemas.microsoft.com/office/drawing/2014/chart" uri="{C3380CC4-5D6E-409C-BE32-E72D297353CC}">
                <c16:uniqueId val="{00000033-37C1-4BB6-91EC-2A11F07B4E97}"/>
              </c:ext>
            </c:extLst>
          </c:dPt>
          <c:dPt>
            <c:idx val="26"/>
            <c:bubble3D val="0"/>
            <c:spPr>
              <a:noFill/>
            </c:spPr>
            <c:extLst>
              <c:ext xmlns:c16="http://schemas.microsoft.com/office/drawing/2014/chart" uri="{C3380CC4-5D6E-409C-BE32-E72D297353CC}">
                <c16:uniqueId val="{00000035-37C1-4BB6-91EC-2A11F07B4E97}"/>
              </c:ext>
            </c:extLst>
          </c:dPt>
          <c:dPt>
            <c:idx val="27"/>
            <c:bubble3D val="0"/>
            <c:spPr>
              <a:noFill/>
            </c:spPr>
            <c:extLst>
              <c:ext xmlns:c16="http://schemas.microsoft.com/office/drawing/2014/chart" uri="{C3380CC4-5D6E-409C-BE32-E72D297353CC}">
                <c16:uniqueId val="{00000037-37C1-4BB6-91EC-2A11F07B4E97}"/>
              </c:ext>
            </c:extLst>
          </c:dPt>
          <c:dPt>
            <c:idx val="28"/>
            <c:bubble3D val="0"/>
            <c:spPr>
              <a:solidFill>
                <a:schemeClr val="tx1"/>
              </a:solidFill>
            </c:spPr>
            <c:extLst>
              <c:ext xmlns:c16="http://schemas.microsoft.com/office/drawing/2014/chart" uri="{C3380CC4-5D6E-409C-BE32-E72D297353CC}">
                <c16:uniqueId val="{00000039-37C1-4BB6-91EC-2A11F07B4E97}"/>
              </c:ext>
            </c:extLst>
          </c:dPt>
          <c:dPt>
            <c:idx val="29"/>
            <c:bubble3D val="0"/>
            <c:spPr>
              <a:noFill/>
            </c:spPr>
            <c:extLst>
              <c:ext xmlns:c16="http://schemas.microsoft.com/office/drawing/2014/chart" uri="{C3380CC4-5D6E-409C-BE32-E72D297353CC}">
                <c16:uniqueId val="{0000003B-37C1-4BB6-91EC-2A11F07B4E97}"/>
              </c:ext>
            </c:extLst>
          </c:dPt>
          <c:dPt>
            <c:idx val="30"/>
            <c:bubble3D val="0"/>
            <c:spPr>
              <a:noFill/>
            </c:spPr>
            <c:extLst>
              <c:ext xmlns:c16="http://schemas.microsoft.com/office/drawing/2014/chart" uri="{C3380CC4-5D6E-409C-BE32-E72D297353CC}">
                <c16:uniqueId val="{0000003D-37C1-4BB6-91EC-2A11F07B4E97}"/>
              </c:ext>
            </c:extLst>
          </c:dPt>
          <c:dPt>
            <c:idx val="31"/>
            <c:bubble3D val="0"/>
            <c:spPr>
              <a:solidFill>
                <a:schemeClr val="tx1"/>
              </a:solidFill>
            </c:spPr>
            <c:extLst>
              <c:ext xmlns:c16="http://schemas.microsoft.com/office/drawing/2014/chart" uri="{C3380CC4-5D6E-409C-BE32-E72D297353CC}">
                <c16:uniqueId val="{0000003F-37C1-4BB6-91EC-2A11F07B4E97}"/>
              </c:ext>
            </c:extLst>
          </c:dPt>
          <c:dPt>
            <c:idx val="32"/>
            <c:bubble3D val="0"/>
            <c:spPr>
              <a:noFill/>
            </c:spPr>
            <c:extLst>
              <c:ext xmlns:c16="http://schemas.microsoft.com/office/drawing/2014/chart" uri="{C3380CC4-5D6E-409C-BE32-E72D297353CC}">
                <c16:uniqueId val="{00000041-37C1-4BB6-91EC-2A11F07B4E97}"/>
              </c:ext>
            </c:extLst>
          </c:dPt>
          <c:dPt>
            <c:idx val="33"/>
            <c:bubble3D val="0"/>
            <c:spPr>
              <a:noFill/>
            </c:spPr>
            <c:extLst>
              <c:ext xmlns:c16="http://schemas.microsoft.com/office/drawing/2014/chart" uri="{C3380CC4-5D6E-409C-BE32-E72D297353CC}">
                <c16:uniqueId val="{00000043-37C1-4BB6-91EC-2A11F07B4E97}"/>
              </c:ext>
            </c:extLst>
          </c:dPt>
          <c:cat>
            <c:strRef>
              <c:f>tlGraphs!$E$64:$E$97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tlGraphs!$F$64:$F$97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2.5000000000000001E-2</c:v>
                </c:pt>
                <c:pt idx="22">
                  <c:v>5.0000000000000001E-3</c:v>
                </c:pt>
                <c:pt idx="23">
                  <c:v>2.5000000000000001E-2</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37C1-4BB6-91EC-2A11F07B4E97}"/>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8F6-4B1E-B1BA-1C6C213701DC}"/>
              </c:ext>
            </c:extLst>
          </c:dPt>
          <c:dPt>
            <c:idx val="1"/>
            <c:bubble3D val="0"/>
            <c:spPr>
              <a:solidFill>
                <a:srgbClr val="054680"/>
              </a:solidFill>
              <a:ln>
                <a:noFill/>
              </a:ln>
            </c:spPr>
            <c:extLst>
              <c:ext xmlns:c16="http://schemas.microsoft.com/office/drawing/2014/chart" uri="{C3380CC4-5D6E-409C-BE32-E72D297353CC}">
                <c16:uniqueId val="{00000003-98F6-4B1E-B1BA-1C6C213701DC}"/>
              </c:ext>
            </c:extLst>
          </c:dPt>
          <c:dPt>
            <c:idx val="2"/>
            <c:bubble3D val="0"/>
            <c:spPr>
              <a:noFill/>
            </c:spPr>
            <c:extLst>
              <c:ext xmlns:c16="http://schemas.microsoft.com/office/drawing/2014/chart" uri="{C3380CC4-5D6E-409C-BE32-E72D297353CC}">
                <c16:uniqueId val="{00000005-98F6-4B1E-B1BA-1C6C213701DC}"/>
              </c:ext>
            </c:extLst>
          </c:dPt>
          <c:dPt>
            <c:idx val="3"/>
            <c:bubble3D val="0"/>
            <c:spPr>
              <a:solidFill>
                <a:srgbClr val="CBE4EB"/>
              </a:solidFill>
              <a:ln>
                <a:noFill/>
              </a:ln>
            </c:spPr>
            <c:extLst>
              <c:ext xmlns:c16="http://schemas.microsoft.com/office/drawing/2014/chart" uri="{C3380CC4-5D6E-409C-BE32-E72D297353CC}">
                <c16:uniqueId val="{00000007-98F6-4B1E-B1BA-1C6C213701DC}"/>
              </c:ext>
            </c:extLst>
          </c:dPt>
          <c:dPt>
            <c:idx val="4"/>
            <c:bubble3D val="0"/>
            <c:spPr>
              <a:solidFill>
                <a:srgbClr val="007AC5"/>
              </a:solidFill>
              <a:ln>
                <a:noFill/>
              </a:ln>
            </c:spPr>
            <c:extLst>
              <c:ext xmlns:c16="http://schemas.microsoft.com/office/drawing/2014/chart" uri="{C3380CC4-5D6E-409C-BE32-E72D297353CC}">
                <c16:uniqueId val="{00000009-98F6-4B1E-B1BA-1C6C213701DC}"/>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8F6-4B1E-B1BA-1C6C213701DC}"/>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626-47FA-A365-44EFB407BF25}"/>
              </c:ext>
            </c:extLst>
          </c:dPt>
          <c:dPt>
            <c:idx val="1"/>
            <c:bubble3D val="0"/>
            <c:spPr>
              <a:solidFill>
                <a:schemeClr val="tx1"/>
              </a:solidFill>
              <a:ln>
                <a:noFill/>
              </a:ln>
            </c:spPr>
            <c:extLst>
              <c:ext xmlns:c16="http://schemas.microsoft.com/office/drawing/2014/chart" uri="{C3380CC4-5D6E-409C-BE32-E72D297353CC}">
                <c16:uniqueId val="{00000003-2626-47FA-A365-44EFB407BF25}"/>
              </c:ext>
            </c:extLst>
          </c:dPt>
          <c:dPt>
            <c:idx val="2"/>
            <c:bubble3D val="0"/>
            <c:spPr>
              <a:noFill/>
            </c:spPr>
            <c:extLst>
              <c:ext xmlns:c16="http://schemas.microsoft.com/office/drawing/2014/chart" uri="{C3380CC4-5D6E-409C-BE32-E72D297353CC}">
                <c16:uniqueId val="{00000005-2626-47FA-A365-44EFB407BF25}"/>
              </c:ext>
            </c:extLst>
          </c:dPt>
          <c:dPt>
            <c:idx val="3"/>
            <c:bubble3D val="0"/>
            <c:spPr>
              <a:noFill/>
            </c:spPr>
            <c:extLst>
              <c:ext xmlns:c16="http://schemas.microsoft.com/office/drawing/2014/chart" uri="{C3380CC4-5D6E-409C-BE32-E72D297353CC}">
                <c16:uniqueId val="{00000007-2626-47FA-A365-44EFB407BF25}"/>
              </c:ext>
            </c:extLst>
          </c:dPt>
          <c:dPt>
            <c:idx val="4"/>
            <c:bubble3D val="0"/>
            <c:spPr>
              <a:solidFill>
                <a:schemeClr val="tx1"/>
              </a:solidFill>
              <a:ln>
                <a:noFill/>
              </a:ln>
            </c:spPr>
            <c:extLst>
              <c:ext xmlns:c16="http://schemas.microsoft.com/office/drawing/2014/chart" uri="{C3380CC4-5D6E-409C-BE32-E72D297353CC}">
                <c16:uniqueId val="{00000009-2626-47FA-A365-44EFB407BF25}"/>
              </c:ext>
            </c:extLst>
          </c:dPt>
          <c:dPt>
            <c:idx val="5"/>
            <c:bubble3D val="0"/>
            <c:spPr>
              <a:noFill/>
            </c:spPr>
            <c:extLst>
              <c:ext xmlns:c16="http://schemas.microsoft.com/office/drawing/2014/chart" uri="{C3380CC4-5D6E-409C-BE32-E72D297353CC}">
                <c16:uniqueId val="{0000000B-2626-47FA-A365-44EFB407BF25}"/>
              </c:ext>
            </c:extLst>
          </c:dPt>
          <c:dPt>
            <c:idx val="6"/>
            <c:bubble3D val="0"/>
            <c:spPr>
              <a:noFill/>
            </c:spPr>
            <c:extLst>
              <c:ext xmlns:c16="http://schemas.microsoft.com/office/drawing/2014/chart" uri="{C3380CC4-5D6E-409C-BE32-E72D297353CC}">
                <c16:uniqueId val="{0000000D-2626-47FA-A365-44EFB407BF25}"/>
              </c:ext>
            </c:extLst>
          </c:dPt>
          <c:dPt>
            <c:idx val="7"/>
            <c:bubble3D val="0"/>
            <c:spPr>
              <a:solidFill>
                <a:schemeClr val="tx1"/>
              </a:solidFill>
              <a:ln>
                <a:noFill/>
              </a:ln>
            </c:spPr>
            <c:extLst>
              <c:ext xmlns:c16="http://schemas.microsoft.com/office/drawing/2014/chart" uri="{C3380CC4-5D6E-409C-BE32-E72D297353CC}">
                <c16:uniqueId val="{0000000F-2626-47FA-A365-44EFB407BF25}"/>
              </c:ext>
            </c:extLst>
          </c:dPt>
          <c:dPt>
            <c:idx val="8"/>
            <c:bubble3D val="0"/>
            <c:spPr>
              <a:noFill/>
            </c:spPr>
            <c:extLst>
              <c:ext xmlns:c16="http://schemas.microsoft.com/office/drawing/2014/chart" uri="{C3380CC4-5D6E-409C-BE32-E72D297353CC}">
                <c16:uniqueId val="{00000011-2626-47FA-A365-44EFB407BF25}"/>
              </c:ext>
            </c:extLst>
          </c:dPt>
          <c:dPt>
            <c:idx val="9"/>
            <c:bubble3D val="0"/>
            <c:spPr>
              <a:noFill/>
            </c:spPr>
            <c:extLst>
              <c:ext xmlns:c16="http://schemas.microsoft.com/office/drawing/2014/chart" uri="{C3380CC4-5D6E-409C-BE32-E72D297353CC}">
                <c16:uniqueId val="{00000013-2626-47FA-A365-44EFB407BF25}"/>
              </c:ext>
            </c:extLst>
          </c:dPt>
          <c:dPt>
            <c:idx val="10"/>
            <c:bubble3D val="0"/>
            <c:spPr>
              <a:solidFill>
                <a:schemeClr val="tx1"/>
              </a:solidFill>
            </c:spPr>
            <c:extLst>
              <c:ext xmlns:c16="http://schemas.microsoft.com/office/drawing/2014/chart" uri="{C3380CC4-5D6E-409C-BE32-E72D297353CC}">
                <c16:uniqueId val="{00000015-2626-47FA-A365-44EFB407BF25}"/>
              </c:ext>
            </c:extLst>
          </c:dPt>
          <c:dPt>
            <c:idx val="11"/>
            <c:bubble3D val="0"/>
            <c:spPr>
              <a:noFill/>
            </c:spPr>
            <c:extLst>
              <c:ext xmlns:c16="http://schemas.microsoft.com/office/drawing/2014/chart" uri="{C3380CC4-5D6E-409C-BE32-E72D297353CC}">
                <c16:uniqueId val="{00000017-2626-47FA-A365-44EFB407BF25}"/>
              </c:ext>
            </c:extLst>
          </c:dPt>
          <c:dPt>
            <c:idx val="12"/>
            <c:bubble3D val="0"/>
            <c:spPr>
              <a:noFill/>
            </c:spPr>
            <c:extLst>
              <c:ext xmlns:c16="http://schemas.microsoft.com/office/drawing/2014/chart" uri="{C3380CC4-5D6E-409C-BE32-E72D297353CC}">
                <c16:uniqueId val="{00000019-2626-47FA-A365-44EFB407BF25}"/>
              </c:ext>
            </c:extLst>
          </c:dPt>
          <c:dPt>
            <c:idx val="13"/>
            <c:bubble3D val="0"/>
            <c:spPr>
              <a:solidFill>
                <a:schemeClr val="tx1"/>
              </a:solidFill>
            </c:spPr>
            <c:extLst>
              <c:ext xmlns:c16="http://schemas.microsoft.com/office/drawing/2014/chart" uri="{C3380CC4-5D6E-409C-BE32-E72D297353CC}">
                <c16:uniqueId val="{0000001B-2626-47FA-A365-44EFB407BF25}"/>
              </c:ext>
            </c:extLst>
          </c:dPt>
          <c:dPt>
            <c:idx val="14"/>
            <c:bubble3D val="0"/>
            <c:spPr>
              <a:noFill/>
            </c:spPr>
            <c:extLst>
              <c:ext xmlns:c16="http://schemas.microsoft.com/office/drawing/2014/chart" uri="{C3380CC4-5D6E-409C-BE32-E72D297353CC}">
                <c16:uniqueId val="{0000001D-2626-47FA-A365-44EFB407BF25}"/>
              </c:ext>
            </c:extLst>
          </c:dPt>
          <c:dPt>
            <c:idx val="15"/>
            <c:bubble3D val="0"/>
            <c:spPr>
              <a:noFill/>
            </c:spPr>
            <c:extLst>
              <c:ext xmlns:c16="http://schemas.microsoft.com/office/drawing/2014/chart" uri="{C3380CC4-5D6E-409C-BE32-E72D297353CC}">
                <c16:uniqueId val="{0000001F-2626-47FA-A365-44EFB407BF25}"/>
              </c:ext>
            </c:extLst>
          </c:dPt>
          <c:dPt>
            <c:idx val="16"/>
            <c:bubble3D val="0"/>
            <c:spPr>
              <a:solidFill>
                <a:schemeClr val="tx1"/>
              </a:solidFill>
            </c:spPr>
            <c:extLst>
              <c:ext xmlns:c16="http://schemas.microsoft.com/office/drawing/2014/chart" uri="{C3380CC4-5D6E-409C-BE32-E72D297353CC}">
                <c16:uniqueId val="{00000021-2626-47FA-A365-44EFB407BF25}"/>
              </c:ext>
            </c:extLst>
          </c:dPt>
          <c:dPt>
            <c:idx val="17"/>
            <c:bubble3D val="0"/>
            <c:spPr>
              <a:noFill/>
            </c:spPr>
            <c:extLst>
              <c:ext xmlns:c16="http://schemas.microsoft.com/office/drawing/2014/chart" uri="{C3380CC4-5D6E-409C-BE32-E72D297353CC}">
                <c16:uniqueId val="{00000023-2626-47FA-A365-44EFB407BF25}"/>
              </c:ext>
            </c:extLst>
          </c:dPt>
          <c:dPt>
            <c:idx val="18"/>
            <c:bubble3D val="0"/>
            <c:spPr>
              <a:noFill/>
            </c:spPr>
            <c:extLst>
              <c:ext xmlns:c16="http://schemas.microsoft.com/office/drawing/2014/chart" uri="{C3380CC4-5D6E-409C-BE32-E72D297353CC}">
                <c16:uniqueId val="{00000025-2626-47FA-A365-44EFB407BF25}"/>
              </c:ext>
            </c:extLst>
          </c:dPt>
          <c:dPt>
            <c:idx val="19"/>
            <c:bubble3D val="0"/>
            <c:spPr>
              <a:solidFill>
                <a:schemeClr val="tx1"/>
              </a:solidFill>
            </c:spPr>
            <c:extLst>
              <c:ext xmlns:c16="http://schemas.microsoft.com/office/drawing/2014/chart" uri="{C3380CC4-5D6E-409C-BE32-E72D297353CC}">
                <c16:uniqueId val="{00000027-2626-47FA-A365-44EFB407BF25}"/>
              </c:ext>
            </c:extLst>
          </c:dPt>
          <c:dPt>
            <c:idx val="20"/>
            <c:bubble3D val="0"/>
            <c:spPr>
              <a:noFill/>
            </c:spPr>
            <c:extLst>
              <c:ext xmlns:c16="http://schemas.microsoft.com/office/drawing/2014/chart" uri="{C3380CC4-5D6E-409C-BE32-E72D297353CC}">
                <c16:uniqueId val="{00000029-2626-47FA-A365-44EFB407BF25}"/>
              </c:ext>
            </c:extLst>
          </c:dPt>
          <c:dPt>
            <c:idx val="21"/>
            <c:bubble3D val="0"/>
            <c:spPr>
              <a:noFill/>
            </c:spPr>
            <c:extLst>
              <c:ext xmlns:c16="http://schemas.microsoft.com/office/drawing/2014/chart" uri="{C3380CC4-5D6E-409C-BE32-E72D297353CC}">
                <c16:uniqueId val="{0000002B-2626-47FA-A365-44EFB407BF25}"/>
              </c:ext>
            </c:extLst>
          </c:dPt>
          <c:dPt>
            <c:idx val="22"/>
            <c:bubble3D val="0"/>
            <c:spPr>
              <a:solidFill>
                <a:schemeClr val="tx1"/>
              </a:solidFill>
            </c:spPr>
            <c:extLst>
              <c:ext xmlns:c16="http://schemas.microsoft.com/office/drawing/2014/chart" uri="{C3380CC4-5D6E-409C-BE32-E72D297353CC}">
                <c16:uniqueId val="{0000002D-2626-47FA-A365-44EFB407BF25}"/>
              </c:ext>
            </c:extLst>
          </c:dPt>
          <c:dPt>
            <c:idx val="23"/>
            <c:bubble3D val="0"/>
            <c:spPr>
              <a:noFill/>
            </c:spPr>
            <c:extLst>
              <c:ext xmlns:c16="http://schemas.microsoft.com/office/drawing/2014/chart" uri="{C3380CC4-5D6E-409C-BE32-E72D297353CC}">
                <c16:uniqueId val="{0000002F-2626-47FA-A365-44EFB407BF25}"/>
              </c:ext>
            </c:extLst>
          </c:dPt>
          <c:dPt>
            <c:idx val="24"/>
            <c:bubble3D val="0"/>
            <c:spPr>
              <a:noFill/>
            </c:spPr>
            <c:extLst>
              <c:ext xmlns:c16="http://schemas.microsoft.com/office/drawing/2014/chart" uri="{C3380CC4-5D6E-409C-BE32-E72D297353CC}">
                <c16:uniqueId val="{00000031-2626-47FA-A365-44EFB407BF25}"/>
              </c:ext>
            </c:extLst>
          </c:dPt>
          <c:dPt>
            <c:idx val="25"/>
            <c:bubble3D val="0"/>
            <c:spPr>
              <a:solidFill>
                <a:schemeClr val="tx1"/>
              </a:solidFill>
            </c:spPr>
            <c:extLst>
              <c:ext xmlns:c16="http://schemas.microsoft.com/office/drawing/2014/chart" uri="{C3380CC4-5D6E-409C-BE32-E72D297353CC}">
                <c16:uniqueId val="{00000033-2626-47FA-A365-44EFB407BF25}"/>
              </c:ext>
            </c:extLst>
          </c:dPt>
          <c:dPt>
            <c:idx val="26"/>
            <c:bubble3D val="0"/>
            <c:spPr>
              <a:noFill/>
            </c:spPr>
            <c:extLst>
              <c:ext xmlns:c16="http://schemas.microsoft.com/office/drawing/2014/chart" uri="{C3380CC4-5D6E-409C-BE32-E72D297353CC}">
                <c16:uniqueId val="{00000035-2626-47FA-A365-44EFB407BF25}"/>
              </c:ext>
            </c:extLst>
          </c:dPt>
          <c:dPt>
            <c:idx val="27"/>
            <c:bubble3D val="0"/>
            <c:spPr>
              <a:noFill/>
            </c:spPr>
            <c:extLst>
              <c:ext xmlns:c16="http://schemas.microsoft.com/office/drawing/2014/chart" uri="{C3380CC4-5D6E-409C-BE32-E72D297353CC}">
                <c16:uniqueId val="{00000037-2626-47FA-A365-44EFB407BF25}"/>
              </c:ext>
            </c:extLst>
          </c:dPt>
          <c:dPt>
            <c:idx val="28"/>
            <c:bubble3D val="0"/>
            <c:spPr>
              <a:solidFill>
                <a:schemeClr val="tx1"/>
              </a:solidFill>
            </c:spPr>
            <c:extLst>
              <c:ext xmlns:c16="http://schemas.microsoft.com/office/drawing/2014/chart" uri="{C3380CC4-5D6E-409C-BE32-E72D297353CC}">
                <c16:uniqueId val="{00000039-2626-47FA-A365-44EFB407BF25}"/>
              </c:ext>
            </c:extLst>
          </c:dPt>
          <c:dPt>
            <c:idx val="29"/>
            <c:bubble3D val="0"/>
            <c:spPr>
              <a:noFill/>
            </c:spPr>
            <c:extLst>
              <c:ext xmlns:c16="http://schemas.microsoft.com/office/drawing/2014/chart" uri="{C3380CC4-5D6E-409C-BE32-E72D297353CC}">
                <c16:uniqueId val="{0000003B-2626-47FA-A365-44EFB407BF25}"/>
              </c:ext>
            </c:extLst>
          </c:dPt>
          <c:dPt>
            <c:idx val="30"/>
            <c:bubble3D val="0"/>
            <c:spPr>
              <a:noFill/>
            </c:spPr>
            <c:extLst>
              <c:ext xmlns:c16="http://schemas.microsoft.com/office/drawing/2014/chart" uri="{C3380CC4-5D6E-409C-BE32-E72D297353CC}">
                <c16:uniqueId val="{0000003D-2626-47FA-A365-44EFB407BF25}"/>
              </c:ext>
            </c:extLst>
          </c:dPt>
          <c:dPt>
            <c:idx val="31"/>
            <c:bubble3D val="0"/>
            <c:spPr>
              <a:solidFill>
                <a:schemeClr val="tx1"/>
              </a:solidFill>
            </c:spPr>
            <c:extLst>
              <c:ext xmlns:c16="http://schemas.microsoft.com/office/drawing/2014/chart" uri="{C3380CC4-5D6E-409C-BE32-E72D297353CC}">
                <c16:uniqueId val="{0000003F-2626-47FA-A365-44EFB407BF25}"/>
              </c:ext>
            </c:extLst>
          </c:dPt>
          <c:dPt>
            <c:idx val="32"/>
            <c:bubble3D val="0"/>
            <c:spPr>
              <a:noFill/>
            </c:spPr>
            <c:extLst>
              <c:ext xmlns:c16="http://schemas.microsoft.com/office/drawing/2014/chart" uri="{C3380CC4-5D6E-409C-BE32-E72D297353CC}">
                <c16:uniqueId val="{00000041-2626-47FA-A365-44EFB407BF25}"/>
              </c:ext>
            </c:extLst>
          </c:dPt>
          <c:dPt>
            <c:idx val="33"/>
            <c:bubble3D val="0"/>
            <c:spPr>
              <a:noFill/>
            </c:spPr>
            <c:extLst>
              <c:ext xmlns:c16="http://schemas.microsoft.com/office/drawing/2014/chart" uri="{C3380CC4-5D6E-409C-BE32-E72D297353CC}">
                <c16:uniqueId val="{00000043-2626-47FA-A365-44EFB407BF25}"/>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626-47FA-A365-44EFB407BF2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5267-4391-AE20-4C963F3442F6}"/>
              </c:ext>
            </c:extLst>
          </c:dPt>
          <c:dPt>
            <c:idx val="1"/>
            <c:bubble3D val="0"/>
            <c:spPr>
              <a:solidFill>
                <a:srgbClr val="054680"/>
              </a:solidFill>
              <a:ln>
                <a:noFill/>
              </a:ln>
            </c:spPr>
            <c:extLst>
              <c:ext xmlns:c16="http://schemas.microsoft.com/office/drawing/2014/chart" uri="{C3380CC4-5D6E-409C-BE32-E72D297353CC}">
                <c16:uniqueId val="{00000003-5267-4391-AE20-4C963F3442F6}"/>
              </c:ext>
            </c:extLst>
          </c:dPt>
          <c:dPt>
            <c:idx val="2"/>
            <c:bubble3D val="0"/>
            <c:spPr>
              <a:noFill/>
            </c:spPr>
            <c:extLst>
              <c:ext xmlns:c16="http://schemas.microsoft.com/office/drawing/2014/chart" uri="{C3380CC4-5D6E-409C-BE32-E72D297353CC}">
                <c16:uniqueId val="{00000005-5267-4391-AE20-4C963F3442F6}"/>
              </c:ext>
            </c:extLst>
          </c:dPt>
          <c:dPt>
            <c:idx val="3"/>
            <c:bubble3D val="0"/>
            <c:spPr>
              <a:solidFill>
                <a:srgbClr val="CBE4EB"/>
              </a:solidFill>
              <a:ln>
                <a:noFill/>
              </a:ln>
            </c:spPr>
            <c:extLst>
              <c:ext xmlns:c16="http://schemas.microsoft.com/office/drawing/2014/chart" uri="{C3380CC4-5D6E-409C-BE32-E72D297353CC}">
                <c16:uniqueId val="{00000007-5267-4391-AE20-4C963F3442F6}"/>
              </c:ext>
            </c:extLst>
          </c:dPt>
          <c:dPt>
            <c:idx val="4"/>
            <c:bubble3D val="0"/>
            <c:spPr>
              <a:solidFill>
                <a:srgbClr val="007AC5"/>
              </a:solidFill>
              <a:ln>
                <a:noFill/>
              </a:ln>
            </c:spPr>
            <c:extLst>
              <c:ext xmlns:c16="http://schemas.microsoft.com/office/drawing/2014/chart" uri="{C3380CC4-5D6E-409C-BE32-E72D297353CC}">
                <c16:uniqueId val="{00000009-5267-4391-AE20-4C963F3442F6}"/>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267-4391-AE20-4C963F3442F6}"/>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6579-46C1-A3A9-03EDEBA37236}"/>
              </c:ext>
            </c:extLst>
          </c:dPt>
          <c:dPt>
            <c:idx val="1"/>
            <c:bubble3D val="0"/>
            <c:spPr>
              <a:solidFill>
                <a:schemeClr val="tx1"/>
              </a:solidFill>
              <a:ln>
                <a:noFill/>
              </a:ln>
            </c:spPr>
            <c:extLst>
              <c:ext xmlns:c16="http://schemas.microsoft.com/office/drawing/2014/chart" uri="{C3380CC4-5D6E-409C-BE32-E72D297353CC}">
                <c16:uniqueId val="{00000003-6579-46C1-A3A9-03EDEBA37236}"/>
              </c:ext>
            </c:extLst>
          </c:dPt>
          <c:dPt>
            <c:idx val="2"/>
            <c:bubble3D val="0"/>
            <c:spPr>
              <a:noFill/>
            </c:spPr>
            <c:extLst>
              <c:ext xmlns:c16="http://schemas.microsoft.com/office/drawing/2014/chart" uri="{C3380CC4-5D6E-409C-BE32-E72D297353CC}">
                <c16:uniqueId val="{00000005-6579-46C1-A3A9-03EDEBA37236}"/>
              </c:ext>
            </c:extLst>
          </c:dPt>
          <c:dPt>
            <c:idx val="3"/>
            <c:bubble3D val="0"/>
            <c:spPr>
              <a:noFill/>
            </c:spPr>
            <c:extLst>
              <c:ext xmlns:c16="http://schemas.microsoft.com/office/drawing/2014/chart" uri="{C3380CC4-5D6E-409C-BE32-E72D297353CC}">
                <c16:uniqueId val="{00000007-6579-46C1-A3A9-03EDEBA37236}"/>
              </c:ext>
            </c:extLst>
          </c:dPt>
          <c:dPt>
            <c:idx val="4"/>
            <c:bubble3D val="0"/>
            <c:spPr>
              <a:solidFill>
                <a:schemeClr val="tx1"/>
              </a:solidFill>
              <a:ln>
                <a:noFill/>
              </a:ln>
            </c:spPr>
            <c:extLst>
              <c:ext xmlns:c16="http://schemas.microsoft.com/office/drawing/2014/chart" uri="{C3380CC4-5D6E-409C-BE32-E72D297353CC}">
                <c16:uniqueId val="{00000009-6579-46C1-A3A9-03EDEBA37236}"/>
              </c:ext>
            </c:extLst>
          </c:dPt>
          <c:dPt>
            <c:idx val="5"/>
            <c:bubble3D val="0"/>
            <c:spPr>
              <a:noFill/>
            </c:spPr>
            <c:extLst>
              <c:ext xmlns:c16="http://schemas.microsoft.com/office/drawing/2014/chart" uri="{C3380CC4-5D6E-409C-BE32-E72D297353CC}">
                <c16:uniqueId val="{0000000B-6579-46C1-A3A9-03EDEBA37236}"/>
              </c:ext>
            </c:extLst>
          </c:dPt>
          <c:dPt>
            <c:idx val="6"/>
            <c:bubble3D val="0"/>
            <c:spPr>
              <a:noFill/>
            </c:spPr>
            <c:extLst>
              <c:ext xmlns:c16="http://schemas.microsoft.com/office/drawing/2014/chart" uri="{C3380CC4-5D6E-409C-BE32-E72D297353CC}">
                <c16:uniqueId val="{0000000D-6579-46C1-A3A9-03EDEBA37236}"/>
              </c:ext>
            </c:extLst>
          </c:dPt>
          <c:dPt>
            <c:idx val="7"/>
            <c:bubble3D val="0"/>
            <c:spPr>
              <a:solidFill>
                <a:schemeClr val="tx1"/>
              </a:solidFill>
              <a:ln>
                <a:noFill/>
              </a:ln>
            </c:spPr>
            <c:extLst>
              <c:ext xmlns:c16="http://schemas.microsoft.com/office/drawing/2014/chart" uri="{C3380CC4-5D6E-409C-BE32-E72D297353CC}">
                <c16:uniqueId val="{0000000F-6579-46C1-A3A9-03EDEBA37236}"/>
              </c:ext>
            </c:extLst>
          </c:dPt>
          <c:dPt>
            <c:idx val="8"/>
            <c:bubble3D val="0"/>
            <c:spPr>
              <a:noFill/>
            </c:spPr>
            <c:extLst>
              <c:ext xmlns:c16="http://schemas.microsoft.com/office/drawing/2014/chart" uri="{C3380CC4-5D6E-409C-BE32-E72D297353CC}">
                <c16:uniqueId val="{00000011-6579-46C1-A3A9-03EDEBA37236}"/>
              </c:ext>
            </c:extLst>
          </c:dPt>
          <c:dPt>
            <c:idx val="9"/>
            <c:bubble3D val="0"/>
            <c:spPr>
              <a:noFill/>
            </c:spPr>
            <c:extLst>
              <c:ext xmlns:c16="http://schemas.microsoft.com/office/drawing/2014/chart" uri="{C3380CC4-5D6E-409C-BE32-E72D297353CC}">
                <c16:uniqueId val="{00000013-6579-46C1-A3A9-03EDEBA37236}"/>
              </c:ext>
            </c:extLst>
          </c:dPt>
          <c:dPt>
            <c:idx val="10"/>
            <c:bubble3D val="0"/>
            <c:spPr>
              <a:solidFill>
                <a:schemeClr val="tx1"/>
              </a:solidFill>
            </c:spPr>
            <c:extLst>
              <c:ext xmlns:c16="http://schemas.microsoft.com/office/drawing/2014/chart" uri="{C3380CC4-5D6E-409C-BE32-E72D297353CC}">
                <c16:uniqueId val="{00000015-6579-46C1-A3A9-03EDEBA37236}"/>
              </c:ext>
            </c:extLst>
          </c:dPt>
          <c:dPt>
            <c:idx val="11"/>
            <c:bubble3D val="0"/>
            <c:spPr>
              <a:noFill/>
            </c:spPr>
            <c:extLst>
              <c:ext xmlns:c16="http://schemas.microsoft.com/office/drawing/2014/chart" uri="{C3380CC4-5D6E-409C-BE32-E72D297353CC}">
                <c16:uniqueId val="{00000017-6579-46C1-A3A9-03EDEBA37236}"/>
              </c:ext>
            </c:extLst>
          </c:dPt>
          <c:dPt>
            <c:idx val="12"/>
            <c:bubble3D val="0"/>
            <c:spPr>
              <a:noFill/>
            </c:spPr>
            <c:extLst>
              <c:ext xmlns:c16="http://schemas.microsoft.com/office/drawing/2014/chart" uri="{C3380CC4-5D6E-409C-BE32-E72D297353CC}">
                <c16:uniqueId val="{00000019-6579-46C1-A3A9-03EDEBA37236}"/>
              </c:ext>
            </c:extLst>
          </c:dPt>
          <c:dPt>
            <c:idx val="13"/>
            <c:bubble3D val="0"/>
            <c:spPr>
              <a:solidFill>
                <a:schemeClr val="tx1"/>
              </a:solidFill>
            </c:spPr>
            <c:extLst>
              <c:ext xmlns:c16="http://schemas.microsoft.com/office/drawing/2014/chart" uri="{C3380CC4-5D6E-409C-BE32-E72D297353CC}">
                <c16:uniqueId val="{0000001B-6579-46C1-A3A9-03EDEBA37236}"/>
              </c:ext>
            </c:extLst>
          </c:dPt>
          <c:dPt>
            <c:idx val="14"/>
            <c:bubble3D val="0"/>
            <c:spPr>
              <a:noFill/>
            </c:spPr>
            <c:extLst>
              <c:ext xmlns:c16="http://schemas.microsoft.com/office/drawing/2014/chart" uri="{C3380CC4-5D6E-409C-BE32-E72D297353CC}">
                <c16:uniqueId val="{0000001D-6579-46C1-A3A9-03EDEBA37236}"/>
              </c:ext>
            </c:extLst>
          </c:dPt>
          <c:dPt>
            <c:idx val="15"/>
            <c:bubble3D val="0"/>
            <c:spPr>
              <a:noFill/>
            </c:spPr>
            <c:extLst>
              <c:ext xmlns:c16="http://schemas.microsoft.com/office/drawing/2014/chart" uri="{C3380CC4-5D6E-409C-BE32-E72D297353CC}">
                <c16:uniqueId val="{0000001F-6579-46C1-A3A9-03EDEBA37236}"/>
              </c:ext>
            </c:extLst>
          </c:dPt>
          <c:dPt>
            <c:idx val="16"/>
            <c:bubble3D val="0"/>
            <c:spPr>
              <a:solidFill>
                <a:schemeClr val="tx1"/>
              </a:solidFill>
            </c:spPr>
            <c:extLst>
              <c:ext xmlns:c16="http://schemas.microsoft.com/office/drawing/2014/chart" uri="{C3380CC4-5D6E-409C-BE32-E72D297353CC}">
                <c16:uniqueId val="{00000021-6579-46C1-A3A9-03EDEBA37236}"/>
              </c:ext>
            </c:extLst>
          </c:dPt>
          <c:dPt>
            <c:idx val="17"/>
            <c:bubble3D val="0"/>
            <c:spPr>
              <a:noFill/>
            </c:spPr>
            <c:extLst>
              <c:ext xmlns:c16="http://schemas.microsoft.com/office/drawing/2014/chart" uri="{C3380CC4-5D6E-409C-BE32-E72D297353CC}">
                <c16:uniqueId val="{00000023-6579-46C1-A3A9-03EDEBA37236}"/>
              </c:ext>
            </c:extLst>
          </c:dPt>
          <c:dPt>
            <c:idx val="18"/>
            <c:bubble3D val="0"/>
            <c:spPr>
              <a:noFill/>
            </c:spPr>
            <c:extLst>
              <c:ext xmlns:c16="http://schemas.microsoft.com/office/drawing/2014/chart" uri="{C3380CC4-5D6E-409C-BE32-E72D297353CC}">
                <c16:uniqueId val="{00000025-6579-46C1-A3A9-03EDEBA37236}"/>
              </c:ext>
            </c:extLst>
          </c:dPt>
          <c:dPt>
            <c:idx val="19"/>
            <c:bubble3D val="0"/>
            <c:spPr>
              <a:solidFill>
                <a:schemeClr val="tx1"/>
              </a:solidFill>
            </c:spPr>
            <c:extLst>
              <c:ext xmlns:c16="http://schemas.microsoft.com/office/drawing/2014/chart" uri="{C3380CC4-5D6E-409C-BE32-E72D297353CC}">
                <c16:uniqueId val="{00000027-6579-46C1-A3A9-03EDEBA37236}"/>
              </c:ext>
            </c:extLst>
          </c:dPt>
          <c:dPt>
            <c:idx val="20"/>
            <c:bubble3D val="0"/>
            <c:spPr>
              <a:noFill/>
            </c:spPr>
            <c:extLst>
              <c:ext xmlns:c16="http://schemas.microsoft.com/office/drawing/2014/chart" uri="{C3380CC4-5D6E-409C-BE32-E72D297353CC}">
                <c16:uniqueId val="{00000029-6579-46C1-A3A9-03EDEBA37236}"/>
              </c:ext>
            </c:extLst>
          </c:dPt>
          <c:dPt>
            <c:idx val="21"/>
            <c:bubble3D val="0"/>
            <c:spPr>
              <a:noFill/>
            </c:spPr>
            <c:extLst>
              <c:ext xmlns:c16="http://schemas.microsoft.com/office/drawing/2014/chart" uri="{C3380CC4-5D6E-409C-BE32-E72D297353CC}">
                <c16:uniqueId val="{0000002B-6579-46C1-A3A9-03EDEBA37236}"/>
              </c:ext>
            </c:extLst>
          </c:dPt>
          <c:dPt>
            <c:idx val="22"/>
            <c:bubble3D val="0"/>
            <c:spPr>
              <a:solidFill>
                <a:schemeClr val="tx1"/>
              </a:solidFill>
            </c:spPr>
            <c:extLst>
              <c:ext xmlns:c16="http://schemas.microsoft.com/office/drawing/2014/chart" uri="{C3380CC4-5D6E-409C-BE32-E72D297353CC}">
                <c16:uniqueId val="{0000002D-6579-46C1-A3A9-03EDEBA37236}"/>
              </c:ext>
            </c:extLst>
          </c:dPt>
          <c:dPt>
            <c:idx val="23"/>
            <c:bubble3D val="0"/>
            <c:spPr>
              <a:noFill/>
            </c:spPr>
            <c:extLst>
              <c:ext xmlns:c16="http://schemas.microsoft.com/office/drawing/2014/chart" uri="{C3380CC4-5D6E-409C-BE32-E72D297353CC}">
                <c16:uniqueId val="{0000002F-6579-46C1-A3A9-03EDEBA37236}"/>
              </c:ext>
            </c:extLst>
          </c:dPt>
          <c:dPt>
            <c:idx val="24"/>
            <c:bubble3D val="0"/>
            <c:spPr>
              <a:noFill/>
            </c:spPr>
            <c:extLst>
              <c:ext xmlns:c16="http://schemas.microsoft.com/office/drawing/2014/chart" uri="{C3380CC4-5D6E-409C-BE32-E72D297353CC}">
                <c16:uniqueId val="{00000031-6579-46C1-A3A9-03EDEBA37236}"/>
              </c:ext>
            </c:extLst>
          </c:dPt>
          <c:dPt>
            <c:idx val="25"/>
            <c:bubble3D val="0"/>
            <c:spPr>
              <a:solidFill>
                <a:schemeClr val="tx1"/>
              </a:solidFill>
            </c:spPr>
            <c:extLst>
              <c:ext xmlns:c16="http://schemas.microsoft.com/office/drawing/2014/chart" uri="{C3380CC4-5D6E-409C-BE32-E72D297353CC}">
                <c16:uniqueId val="{00000033-6579-46C1-A3A9-03EDEBA37236}"/>
              </c:ext>
            </c:extLst>
          </c:dPt>
          <c:dPt>
            <c:idx val="26"/>
            <c:bubble3D val="0"/>
            <c:spPr>
              <a:noFill/>
            </c:spPr>
            <c:extLst>
              <c:ext xmlns:c16="http://schemas.microsoft.com/office/drawing/2014/chart" uri="{C3380CC4-5D6E-409C-BE32-E72D297353CC}">
                <c16:uniqueId val="{00000035-6579-46C1-A3A9-03EDEBA37236}"/>
              </c:ext>
            </c:extLst>
          </c:dPt>
          <c:dPt>
            <c:idx val="27"/>
            <c:bubble3D val="0"/>
            <c:spPr>
              <a:noFill/>
            </c:spPr>
            <c:extLst>
              <c:ext xmlns:c16="http://schemas.microsoft.com/office/drawing/2014/chart" uri="{C3380CC4-5D6E-409C-BE32-E72D297353CC}">
                <c16:uniqueId val="{00000037-6579-46C1-A3A9-03EDEBA37236}"/>
              </c:ext>
            </c:extLst>
          </c:dPt>
          <c:dPt>
            <c:idx val="28"/>
            <c:bubble3D val="0"/>
            <c:spPr>
              <a:solidFill>
                <a:schemeClr val="tx1"/>
              </a:solidFill>
            </c:spPr>
            <c:extLst>
              <c:ext xmlns:c16="http://schemas.microsoft.com/office/drawing/2014/chart" uri="{C3380CC4-5D6E-409C-BE32-E72D297353CC}">
                <c16:uniqueId val="{00000039-6579-46C1-A3A9-03EDEBA37236}"/>
              </c:ext>
            </c:extLst>
          </c:dPt>
          <c:dPt>
            <c:idx val="29"/>
            <c:bubble3D val="0"/>
            <c:spPr>
              <a:noFill/>
            </c:spPr>
            <c:extLst>
              <c:ext xmlns:c16="http://schemas.microsoft.com/office/drawing/2014/chart" uri="{C3380CC4-5D6E-409C-BE32-E72D297353CC}">
                <c16:uniqueId val="{0000003B-6579-46C1-A3A9-03EDEBA37236}"/>
              </c:ext>
            </c:extLst>
          </c:dPt>
          <c:dPt>
            <c:idx val="30"/>
            <c:bubble3D val="0"/>
            <c:spPr>
              <a:noFill/>
            </c:spPr>
            <c:extLst>
              <c:ext xmlns:c16="http://schemas.microsoft.com/office/drawing/2014/chart" uri="{C3380CC4-5D6E-409C-BE32-E72D297353CC}">
                <c16:uniqueId val="{0000003D-6579-46C1-A3A9-03EDEBA37236}"/>
              </c:ext>
            </c:extLst>
          </c:dPt>
          <c:dPt>
            <c:idx val="31"/>
            <c:bubble3D val="0"/>
            <c:spPr>
              <a:solidFill>
                <a:schemeClr val="tx1"/>
              </a:solidFill>
            </c:spPr>
            <c:extLst>
              <c:ext xmlns:c16="http://schemas.microsoft.com/office/drawing/2014/chart" uri="{C3380CC4-5D6E-409C-BE32-E72D297353CC}">
                <c16:uniqueId val="{0000003F-6579-46C1-A3A9-03EDEBA37236}"/>
              </c:ext>
            </c:extLst>
          </c:dPt>
          <c:dPt>
            <c:idx val="32"/>
            <c:bubble3D val="0"/>
            <c:spPr>
              <a:noFill/>
            </c:spPr>
            <c:extLst>
              <c:ext xmlns:c16="http://schemas.microsoft.com/office/drawing/2014/chart" uri="{C3380CC4-5D6E-409C-BE32-E72D297353CC}">
                <c16:uniqueId val="{00000041-6579-46C1-A3A9-03EDEBA37236}"/>
              </c:ext>
            </c:extLst>
          </c:dPt>
          <c:dPt>
            <c:idx val="33"/>
            <c:bubble3D val="0"/>
            <c:spPr>
              <a:noFill/>
            </c:spPr>
            <c:extLst>
              <c:ext xmlns:c16="http://schemas.microsoft.com/office/drawing/2014/chart" uri="{C3380CC4-5D6E-409C-BE32-E72D297353CC}">
                <c16:uniqueId val="{00000043-6579-46C1-A3A9-03EDEBA37236}"/>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6579-46C1-A3A9-03EDEBA3723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97EF-4533-9350-015AC5987391}"/>
              </c:ext>
            </c:extLst>
          </c:dPt>
          <c:dPt>
            <c:idx val="1"/>
            <c:bubble3D val="0"/>
            <c:spPr>
              <a:solidFill>
                <a:schemeClr val="accent3">
                  <a:lumMod val="50000"/>
                </a:schemeClr>
              </a:solidFill>
              <a:ln>
                <a:noFill/>
              </a:ln>
            </c:spPr>
            <c:extLst>
              <c:ext xmlns:c16="http://schemas.microsoft.com/office/drawing/2014/chart" uri="{C3380CC4-5D6E-409C-BE32-E72D297353CC}">
                <c16:uniqueId val="{00000003-97EF-4533-9350-015AC5987391}"/>
              </c:ext>
            </c:extLst>
          </c:dPt>
          <c:dPt>
            <c:idx val="2"/>
            <c:bubble3D val="0"/>
            <c:spPr>
              <a:noFill/>
            </c:spPr>
            <c:extLst>
              <c:ext xmlns:c16="http://schemas.microsoft.com/office/drawing/2014/chart" uri="{C3380CC4-5D6E-409C-BE32-E72D297353CC}">
                <c16:uniqueId val="{00000005-97EF-4533-9350-015AC5987391}"/>
              </c:ext>
            </c:extLst>
          </c:dPt>
          <c:dPt>
            <c:idx val="3"/>
            <c:bubble3D val="0"/>
            <c:spPr>
              <a:solidFill>
                <a:srgbClr val="CBE4EB"/>
              </a:solidFill>
              <a:ln>
                <a:noFill/>
              </a:ln>
            </c:spPr>
            <c:extLst>
              <c:ext xmlns:c16="http://schemas.microsoft.com/office/drawing/2014/chart" uri="{C3380CC4-5D6E-409C-BE32-E72D297353CC}">
                <c16:uniqueId val="{00000007-97EF-4533-9350-015AC5987391}"/>
              </c:ext>
            </c:extLst>
          </c:dPt>
          <c:dPt>
            <c:idx val="4"/>
            <c:bubble3D val="0"/>
            <c:spPr>
              <a:solidFill>
                <a:schemeClr val="accent3"/>
              </a:solidFill>
              <a:ln>
                <a:noFill/>
              </a:ln>
            </c:spPr>
            <c:extLst>
              <c:ext xmlns:c16="http://schemas.microsoft.com/office/drawing/2014/chart" uri="{C3380CC4-5D6E-409C-BE32-E72D297353CC}">
                <c16:uniqueId val="{00000009-97EF-4533-9350-015AC598739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7EF-4533-9350-015AC598739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99C1-425A-9A7A-DAEA5D416BDE}"/>
              </c:ext>
            </c:extLst>
          </c:dPt>
          <c:dPt>
            <c:idx val="1"/>
            <c:bubble3D val="0"/>
            <c:spPr>
              <a:solidFill>
                <a:schemeClr val="tx1"/>
              </a:solidFill>
              <a:ln>
                <a:noFill/>
              </a:ln>
            </c:spPr>
            <c:extLst>
              <c:ext xmlns:c16="http://schemas.microsoft.com/office/drawing/2014/chart" uri="{C3380CC4-5D6E-409C-BE32-E72D297353CC}">
                <c16:uniqueId val="{00000003-99C1-425A-9A7A-DAEA5D416BDE}"/>
              </c:ext>
            </c:extLst>
          </c:dPt>
          <c:dPt>
            <c:idx val="2"/>
            <c:bubble3D val="0"/>
            <c:spPr>
              <a:noFill/>
            </c:spPr>
            <c:extLst>
              <c:ext xmlns:c16="http://schemas.microsoft.com/office/drawing/2014/chart" uri="{C3380CC4-5D6E-409C-BE32-E72D297353CC}">
                <c16:uniqueId val="{00000005-99C1-425A-9A7A-DAEA5D416BDE}"/>
              </c:ext>
            </c:extLst>
          </c:dPt>
          <c:dPt>
            <c:idx val="3"/>
            <c:bubble3D val="0"/>
            <c:spPr>
              <a:noFill/>
            </c:spPr>
            <c:extLst>
              <c:ext xmlns:c16="http://schemas.microsoft.com/office/drawing/2014/chart" uri="{C3380CC4-5D6E-409C-BE32-E72D297353CC}">
                <c16:uniqueId val="{00000007-99C1-425A-9A7A-DAEA5D416BDE}"/>
              </c:ext>
            </c:extLst>
          </c:dPt>
          <c:dPt>
            <c:idx val="4"/>
            <c:bubble3D val="0"/>
            <c:spPr>
              <a:solidFill>
                <a:schemeClr val="tx1"/>
              </a:solidFill>
              <a:ln>
                <a:noFill/>
              </a:ln>
            </c:spPr>
            <c:extLst>
              <c:ext xmlns:c16="http://schemas.microsoft.com/office/drawing/2014/chart" uri="{C3380CC4-5D6E-409C-BE32-E72D297353CC}">
                <c16:uniqueId val="{00000009-99C1-425A-9A7A-DAEA5D416BDE}"/>
              </c:ext>
            </c:extLst>
          </c:dPt>
          <c:dPt>
            <c:idx val="5"/>
            <c:bubble3D val="0"/>
            <c:spPr>
              <a:noFill/>
            </c:spPr>
            <c:extLst>
              <c:ext xmlns:c16="http://schemas.microsoft.com/office/drawing/2014/chart" uri="{C3380CC4-5D6E-409C-BE32-E72D297353CC}">
                <c16:uniqueId val="{0000000B-99C1-425A-9A7A-DAEA5D416BDE}"/>
              </c:ext>
            </c:extLst>
          </c:dPt>
          <c:dPt>
            <c:idx val="6"/>
            <c:bubble3D val="0"/>
            <c:spPr>
              <a:noFill/>
            </c:spPr>
            <c:extLst>
              <c:ext xmlns:c16="http://schemas.microsoft.com/office/drawing/2014/chart" uri="{C3380CC4-5D6E-409C-BE32-E72D297353CC}">
                <c16:uniqueId val="{0000000D-99C1-425A-9A7A-DAEA5D416BDE}"/>
              </c:ext>
            </c:extLst>
          </c:dPt>
          <c:dPt>
            <c:idx val="7"/>
            <c:bubble3D val="0"/>
            <c:spPr>
              <a:solidFill>
                <a:schemeClr val="tx1"/>
              </a:solidFill>
              <a:ln>
                <a:noFill/>
              </a:ln>
            </c:spPr>
            <c:extLst>
              <c:ext xmlns:c16="http://schemas.microsoft.com/office/drawing/2014/chart" uri="{C3380CC4-5D6E-409C-BE32-E72D297353CC}">
                <c16:uniqueId val="{0000000F-99C1-425A-9A7A-DAEA5D416BDE}"/>
              </c:ext>
            </c:extLst>
          </c:dPt>
          <c:dPt>
            <c:idx val="8"/>
            <c:bubble3D val="0"/>
            <c:spPr>
              <a:noFill/>
            </c:spPr>
            <c:extLst>
              <c:ext xmlns:c16="http://schemas.microsoft.com/office/drawing/2014/chart" uri="{C3380CC4-5D6E-409C-BE32-E72D297353CC}">
                <c16:uniqueId val="{00000011-99C1-425A-9A7A-DAEA5D416BDE}"/>
              </c:ext>
            </c:extLst>
          </c:dPt>
          <c:dPt>
            <c:idx val="9"/>
            <c:bubble3D val="0"/>
            <c:spPr>
              <a:noFill/>
            </c:spPr>
            <c:extLst>
              <c:ext xmlns:c16="http://schemas.microsoft.com/office/drawing/2014/chart" uri="{C3380CC4-5D6E-409C-BE32-E72D297353CC}">
                <c16:uniqueId val="{00000013-99C1-425A-9A7A-DAEA5D416BDE}"/>
              </c:ext>
            </c:extLst>
          </c:dPt>
          <c:dPt>
            <c:idx val="10"/>
            <c:bubble3D val="0"/>
            <c:spPr>
              <a:solidFill>
                <a:schemeClr val="tx1"/>
              </a:solidFill>
            </c:spPr>
            <c:extLst>
              <c:ext xmlns:c16="http://schemas.microsoft.com/office/drawing/2014/chart" uri="{C3380CC4-5D6E-409C-BE32-E72D297353CC}">
                <c16:uniqueId val="{00000015-99C1-425A-9A7A-DAEA5D416BDE}"/>
              </c:ext>
            </c:extLst>
          </c:dPt>
          <c:dPt>
            <c:idx val="11"/>
            <c:bubble3D val="0"/>
            <c:spPr>
              <a:noFill/>
            </c:spPr>
            <c:extLst>
              <c:ext xmlns:c16="http://schemas.microsoft.com/office/drawing/2014/chart" uri="{C3380CC4-5D6E-409C-BE32-E72D297353CC}">
                <c16:uniqueId val="{00000017-99C1-425A-9A7A-DAEA5D416BDE}"/>
              </c:ext>
            </c:extLst>
          </c:dPt>
          <c:dPt>
            <c:idx val="12"/>
            <c:bubble3D val="0"/>
            <c:spPr>
              <a:noFill/>
            </c:spPr>
            <c:extLst>
              <c:ext xmlns:c16="http://schemas.microsoft.com/office/drawing/2014/chart" uri="{C3380CC4-5D6E-409C-BE32-E72D297353CC}">
                <c16:uniqueId val="{00000019-99C1-425A-9A7A-DAEA5D416BDE}"/>
              </c:ext>
            </c:extLst>
          </c:dPt>
          <c:dPt>
            <c:idx val="13"/>
            <c:bubble3D val="0"/>
            <c:spPr>
              <a:solidFill>
                <a:schemeClr val="tx1"/>
              </a:solidFill>
            </c:spPr>
            <c:extLst>
              <c:ext xmlns:c16="http://schemas.microsoft.com/office/drawing/2014/chart" uri="{C3380CC4-5D6E-409C-BE32-E72D297353CC}">
                <c16:uniqueId val="{0000001B-99C1-425A-9A7A-DAEA5D416BDE}"/>
              </c:ext>
            </c:extLst>
          </c:dPt>
          <c:dPt>
            <c:idx val="14"/>
            <c:bubble3D val="0"/>
            <c:spPr>
              <a:noFill/>
            </c:spPr>
            <c:extLst>
              <c:ext xmlns:c16="http://schemas.microsoft.com/office/drawing/2014/chart" uri="{C3380CC4-5D6E-409C-BE32-E72D297353CC}">
                <c16:uniqueId val="{0000001D-99C1-425A-9A7A-DAEA5D416BDE}"/>
              </c:ext>
            </c:extLst>
          </c:dPt>
          <c:dPt>
            <c:idx val="15"/>
            <c:bubble3D val="0"/>
            <c:spPr>
              <a:noFill/>
            </c:spPr>
            <c:extLst>
              <c:ext xmlns:c16="http://schemas.microsoft.com/office/drawing/2014/chart" uri="{C3380CC4-5D6E-409C-BE32-E72D297353CC}">
                <c16:uniqueId val="{0000001F-99C1-425A-9A7A-DAEA5D416BDE}"/>
              </c:ext>
            </c:extLst>
          </c:dPt>
          <c:dPt>
            <c:idx val="16"/>
            <c:bubble3D val="0"/>
            <c:spPr>
              <a:solidFill>
                <a:schemeClr val="tx1"/>
              </a:solidFill>
            </c:spPr>
            <c:extLst>
              <c:ext xmlns:c16="http://schemas.microsoft.com/office/drawing/2014/chart" uri="{C3380CC4-5D6E-409C-BE32-E72D297353CC}">
                <c16:uniqueId val="{00000021-99C1-425A-9A7A-DAEA5D416BDE}"/>
              </c:ext>
            </c:extLst>
          </c:dPt>
          <c:dPt>
            <c:idx val="17"/>
            <c:bubble3D val="0"/>
            <c:spPr>
              <a:noFill/>
            </c:spPr>
            <c:extLst>
              <c:ext xmlns:c16="http://schemas.microsoft.com/office/drawing/2014/chart" uri="{C3380CC4-5D6E-409C-BE32-E72D297353CC}">
                <c16:uniqueId val="{00000023-99C1-425A-9A7A-DAEA5D416BDE}"/>
              </c:ext>
            </c:extLst>
          </c:dPt>
          <c:dPt>
            <c:idx val="18"/>
            <c:bubble3D val="0"/>
            <c:spPr>
              <a:noFill/>
            </c:spPr>
            <c:extLst>
              <c:ext xmlns:c16="http://schemas.microsoft.com/office/drawing/2014/chart" uri="{C3380CC4-5D6E-409C-BE32-E72D297353CC}">
                <c16:uniqueId val="{00000025-99C1-425A-9A7A-DAEA5D416BDE}"/>
              </c:ext>
            </c:extLst>
          </c:dPt>
          <c:dPt>
            <c:idx val="19"/>
            <c:bubble3D val="0"/>
            <c:spPr>
              <a:solidFill>
                <a:schemeClr val="tx1"/>
              </a:solidFill>
            </c:spPr>
            <c:extLst>
              <c:ext xmlns:c16="http://schemas.microsoft.com/office/drawing/2014/chart" uri="{C3380CC4-5D6E-409C-BE32-E72D297353CC}">
                <c16:uniqueId val="{00000027-99C1-425A-9A7A-DAEA5D416BDE}"/>
              </c:ext>
            </c:extLst>
          </c:dPt>
          <c:dPt>
            <c:idx val="20"/>
            <c:bubble3D val="0"/>
            <c:spPr>
              <a:noFill/>
            </c:spPr>
            <c:extLst>
              <c:ext xmlns:c16="http://schemas.microsoft.com/office/drawing/2014/chart" uri="{C3380CC4-5D6E-409C-BE32-E72D297353CC}">
                <c16:uniqueId val="{00000029-99C1-425A-9A7A-DAEA5D416BDE}"/>
              </c:ext>
            </c:extLst>
          </c:dPt>
          <c:dPt>
            <c:idx val="21"/>
            <c:bubble3D val="0"/>
            <c:spPr>
              <a:noFill/>
            </c:spPr>
            <c:extLst>
              <c:ext xmlns:c16="http://schemas.microsoft.com/office/drawing/2014/chart" uri="{C3380CC4-5D6E-409C-BE32-E72D297353CC}">
                <c16:uniqueId val="{0000002B-99C1-425A-9A7A-DAEA5D416BDE}"/>
              </c:ext>
            </c:extLst>
          </c:dPt>
          <c:dPt>
            <c:idx val="22"/>
            <c:bubble3D val="0"/>
            <c:spPr>
              <a:solidFill>
                <a:schemeClr val="tx1"/>
              </a:solidFill>
            </c:spPr>
            <c:extLst>
              <c:ext xmlns:c16="http://schemas.microsoft.com/office/drawing/2014/chart" uri="{C3380CC4-5D6E-409C-BE32-E72D297353CC}">
                <c16:uniqueId val="{0000002D-99C1-425A-9A7A-DAEA5D416BDE}"/>
              </c:ext>
            </c:extLst>
          </c:dPt>
          <c:dPt>
            <c:idx val="23"/>
            <c:bubble3D val="0"/>
            <c:spPr>
              <a:noFill/>
            </c:spPr>
            <c:extLst>
              <c:ext xmlns:c16="http://schemas.microsoft.com/office/drawing/2014/chart" uri="{C3380CC4-5D6E-409C-BE32-E72D297353CC}">
                <c16:uniqueId val="{0000002F-99C1-425A-9A7A-DAEA5D416BDE}"/>
              </c:ext>
            </c:extLst>
          </c:dPt>
          <c:dPt>
            <c:idx val="24"/>
            <c:bubble3D val="0"/>
            <c:spPr>
              <a:noFill/>
            </c:spPr>
            <c:extLst>
              <c:ext xmlns:c16="http://schemas.microsoft.com/office/drawing/2014/chart" uri="{C3380CC4-5D6E-409C-BE32-E72D297353CC}">
                <c16:uniqueId val="{00000031-99C1-425A-9A7A-DAEA5D416BDE}"/>
              </c:ext>
            </c:extLst>
          </c:dPt>
          <c:dPt>
            <c:idx val="25"/>
            <c:bubble3D val="0"/>
            <c:spPr>
              <a:solidFill>
                <a:schemeClr val="tx1"/>
              </a:solidFill>
            </c:spPr>
            <c:extLst>
              <c:ext xmlns:c16="http://schemas.microsoft.com/office/drawing/2014/chart" uri="{C3380CC4-5D6E-409C-BE32-E72D297353CC}">
                <c16:uniqueId val="{00000033-99C1-425A-9A7A-DAEA5D416BDE}"/>
              </c:ext>
            </c:extLst>
          </c:dPt>
          <c:dPt>
            <c:idx val="26"/>
            <c:bubble3D val="0"/>
            <c:spPr>
              <a:noFill/>
            </c:spPr>
            <c:extLst>
              <c:ext xmlns:c16="http://schemas.microsoft.com/office/drawing/2014/chart" uri="{C3380CC4-5D6E-409C-BE32-E72D297353CC}">
                <c16:uniqueId val="{00000035-99C1-425A-9A7A-DAEA5D416BDE}"/>
              </c:ext>
            </c:extLst>
          </c:dPt>
          <c:dPt>
            <c:idx val="27"/>
            <c:bubble3D val="0"/>
            <c:spPr>
              <a:noFill/>
            </c:spPr>
            <c:extLst>
              <c:ext xmlns:c16="http://schemas.microsoft.com/office/drawing/2014/chart" uri="{C3380CC4-5D6E-409C-BE32-E72D297353CC}">
                <c16:uniqueId val="{00000037-99C1-425A-9A7A-DAEA5D416BDE}"/>
              </c:ext>
            </c:extLst>
          </c:dPt>
          <c:dPt>
            <c:idx val="28"/>
            <c:bubble3D val="0"/>
            <c:spPr>
              <a:solidFill>
                <a:schemeClr val="tx1"/>
              </a:solidFill>
            </c:spPr>
            <c:extLst>
              <c:ext xmlns:c16="http://schemas.microsoft.com/office/drawing/2014/chart" uri="{C3380CC4-5D6E-409C-BE32-E72D297353CC}">
                <c16:uniqueId val="{00000039-99C1-425A-9A7A-DAEA5D416BDE}"/>
              </c:ext>
            </c:extLst>
          </c:dPt>
          <c:dPt>
            <c:idx val="29"/>
            <c:bubble3D val="0"/>
            <c:spPr>
              <a:noFill/>
            </c:spPr>
            <c:extLst>
              <c:ext xmlns:c16="http://schemas.microsoft.com/office/drawing/2014/chart" uri="{C3380CC4-5D6E-409C-BE32-E72D297353CC}">
                <c16:uniqueId val="{0000003B-99C1-425A-9A7A-DAEA5D416BDE}"/>
              </c:ext>
            </c:extLst>
          </c:dPt>
          <c:dPt>
            <c:idx val="30"/>
            <c:bubble3D val="0"/>
            <c:spPr>
              <a:noFill/>
            </c:spPr>
            <c:extLst>
              <c:ext xmlns:c16="http://schemas.microsoft.com/office/drawing/2014/chart" uri="{C3380CC4-5D6E-409C-BE32-E72D297353CC}">
                <c16:uniqueId val="{0000003D-99C1-425A-9A7A-DAEA5D416BDE}"/>
              </c:ext>
            </c:extLst>
          </c:dPt>
          <c:dPt>
            <c:idx val="31"/>
            <c:bubble3D val="0"/>
            <c:spPr>
              <a:solidFill>
                <a:schemeClr val="tx1"/>
              </a:solidFill>
            </c:spPr>
            <c:extLst>
              <c:ext xmlns:c16="http://schemas.microsoft.com/office/drawing/2014/chart" uri="{C3380CC4-5D6E-409C-BE32-E72D297353CC}">
                <c16:uniqueId val="{0000003F-99C1-425A-9A7A-DAEA5D416BDE}"/>
              </c:ext>
            </c:extLst>
          </c:dPt>
          <c:dPt>
            <c:idx val="32"/>
            <c:bubble3D val="0"/>
            <c:spPr>
              <a:noFill/>
            </c:spPr>
            <c:extLst>
              <c:ext xmlns:c16="http://schemas.microsoft.com/office/drawing/2014/chart" uri="{C3380CC4-5D6E-409C-BE32-E72D297353CC}">
                <c16:uniqueId val="{00000041-99C1-425A-9A7A-DAEA5D416BDE}"/>
              </c:ext>
            </c:extLst>
          </c:dPt>
          <c:dPt>
            <c:idx val="33"/>
            <c:bubble3D val="0"/>
            <c:spPr>
              <a:noFill/>
            </c:spPr>
            <c:extLst>
              <c:ext xmlns:c16="http://schemas.microsoft.com/office/drawing/2014/chart" uri="{C3380CC4-5D6E-409C-BE32-E72D297353CC}">
                <c16:uniqueId val="{00000043-99C1-425A-9A7A-DAEA5D416BDE}"/>
              </c:ext>
            </c:extLst>
          </c:dPt>
          <c:cat>
            <c:strRef>
              <c:f>tlGraphs!$I$64:$I$97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tlGraphs!$J$64:$J$97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2.5000000000000001E-2</c:v>
                </c:pt>
                <c:pt idx="25">
                  <c:v>5.0000000000000001E-3</c:v>
                </c:pt>
                <c:pt idx="26">
                  <c:v>2.5000000000000001E-2</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99C1-425A-9A7A-DAEA5D416BDE}"/>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131-454A-B5D0-04676E5EAFE0}"/>
              </c:ext>
            </c:extLst>
          </c:dPt>
          <c:dPt>
            <c:idx val="1"/>
            <c:bubble3D val="0"/>
            <c:spPr>
              <a:solidFill>
                <a:schemeClr val="accent3">
                  <a:lumMod val="50000"/>
                </a:schemeClr>
              </a:solidFill>
              <a:ln>
                <a:noFill/>
              </a:ln>
            </c:spPr>
            <c:extLst>
              <c:ext xmlns:c16="http://schemas.microsoft.com/office/drawing/2014/chart" uri="{C3380CC4-5D6E-409C-BE32-E72D297353CC}">
                <c16:uniqueId val="{00000003-6131-454A-B5D0-04676E5EAFE0}"/>
              </c:ext>
            </c:extLst>
          </c:dPt>
          <c:dPt>
            <c:idx val="2"/>
            <c:bubble3D val="0"/>
            <c:spPr>
              <a:noFill/>
            </c:spPr>
            <c:extLst>
              <c:ext xmlns:c16="http://schemas.microsoft.com/office/drawing/2014/chart" uri="{C3380CC4-5D6E-409C-BE32-E72D297353CC}">
                <c16:uniqueId val="{00000005-6131-454A-B5D0-04676E5EAFE0}"/>
              </c:ext>
            </c:extLst>
          </c:dPt>
          <c:dPt>
            <c:idx val="3"/>
            <c:bubble3D val="0"/>
            <c:spPr>
              <a:solidFill>
                <a:srgbClr val="CBE4EB"/>
              </a:solidFill>
              <a:ln>
                <a:noFill/>
              </a:ln>
            </c:spPr>
            <c:extLst>
              <c:ext xmlns:c16="http://schemas.microsoft.com/office/drawing/2014/chart" uri="{C3380CC4-5D6E-409C-BE32-E72D297353CC}">
                <c16:uniqueId val="{00000007-6131-454A-B5D0-04676E5EAFE0}"/>
              </c:ext>
            </c:extLst>
          </c:dPt>
          <c:dPt>
            <c:idx val="4"/>
            <c:bubble3D val="0"/>
            <c:spPr>
              <a:solidFill>
                <a:schemeClr val="accent3"/>
              </a:solidFill>
              <a:ln>
                <a:noFill/>
              </a:ln>
            </c:spPr>
            <c:extLst>
              <c:ext xmlns:c16="http://schemas.microsoft.com/office/drawing/2014/chart" uri="{C3380CC4-5D6E-409C-BE32-E72D297353CC}">
                <c16:uniqueId val="{00000009-6131-454A-B5D0-04676E5EAFE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131-454A-B5D0-04676E5EAFE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EBAA-45BC-A201-16EBEDDBF64C}"/>
              </c:ext>
            </c:extLst>
          </c:dPt>
          <c:dPt>
            <c:idx val="1"/>
            <c:bubble3D val="0"/>
            <c:spPr>
              <a:solidFill>
                <a:schemeClr val="tx1"/>
              </a:solidFill>
              <a:ln>
                <a:noFill/>
              </a:ln>
            </c:spPr>
            <c:extLst>
              <c:ext xmlns:c16="http://schemas.microsoft.com/office/drawing/2014/chart" uri="{C3380CC4-5D6E-409C-BE32-E72D297353CC}">
                <c16:uniqueId val="{00000003-EBAA-45BC-A201-16EBEDDBF64C}"/>
              </c:ext>
            </c:extLst>
          </c:dPt>
          <c:dPt>
            <c:idx val="2"/>
            <c:bubble3D val="0"/>
            <c:spPr>
              <a:noFill/>
            </c:spPr>
            <c:extLst>
              <c:ext xmlns:c16="http://schemas.microsoft.com/office/drawing/2014/chart" uri="{C3380CC4-5D6E-409C-BE32-E72D297353CC}">
                <c16:uniqueId val="{00000005-EBAA-45BC-A201-16EBEDDBF64C}"/>
              </c:ext>
            </c:extLst>
          </c:dPt>
          <c:dPt>
            <c:idx val="3"/>
            <c:bubble3D val="0"/>
            <c:spPr>
              <a:noFill/>
            </c:spPr>
            <c:extLst>
              <c:ext xmlns:c16="http://schemas.microsoft.com/office/drawing/2014/chart" uri="{C3380CC4-5D6E-409C-BE32-E72D297353CC}">
                <c16:uniqueId val="{00000007-EBAA-45BC-A201-16EBEDDBF64C}"/>
              </c:ext>
            </c:extLst>
          </c:dPt>
          <c:dPt>
            <c:idx val="4"/>
            <c:bubble3D val="0"/>
            <c:spPr>
              <a:solidFill>
                <a:schemeClr val="tx1"/>
              </a:solidFill>
              <a:ln>
                <a:noFill/>
              </a:ln>
            </c:spPr>
            <c:extLst>
              <c:ext xmlns:c16="http://schemas.microsoft.com/office/drawing/2014/chart" uri="{C3380CC4-5D6E-409C-BE32-E72D297353CC}">
                <c16:uniqueId val="{00000009-EBAA-45BC-A201-16EBEDDBF64C}"/>
              </c:ext>
            </c:extLst>
          </c:dPt>
          <c:dPt>
            <c:idx val="5"/>
            <c:bubble3D val="0"/>
            <c:spPr>
              <a:noFill/>
            </c:spPr>
            <c:extLst>
              <c:ext xmlns:c16="http://schemas.microsoft.com/office/drawing/2014/chart" uri="{C3380CC4-5D6E-409C-BE32-E72D297353CC}">
                <c16:uniqueId val="{0000000B-EBAA-45BC-A201-16EBEDDBF64C}"/>
              </c:ext>
            </c:extLst>
          </c:dPt>
          <c:dPt>
            <c:idx val="6"/>
            <c:bubble3D val="0"/>
            <c:spPr>
              <a:noFill/>
            </c:spPr>
            <c:extLst>
              <c:ext xmlns:c16="http://schemas.microsoft.com/office/drawing/2014/chart" uri="{C3380CC4-5D6E-409C-BE32-E72D297353CC}">
                <c16:uniqueId val="{0000000D-EBAA-45BC-A201-16EBEDDBF64C}"/>
              </c:ext>
            </c:extLst>
          </c:dPt>
          <c:dPt>
            <c:idx val="7"/>
            <c:bubble3D val="0"/>
            <c:spPr>
              <a:solidFill>
                <a:schemeClr val="tx1"/>
              </a:solidFill>
              <a:ln>
                <a:noFill/>
              </a:ln>
            </c:spPr>
            <c:extLst>
              <c:ext xmlns:c16="http://schemas.microsoft.com/office/drawing/2014/chart" uri="{C3380CC4-5D6E-409C-BE32-E72D297353CC}">
                <c16:uniqueId val="{0000000F-EBAA-45BC-A201-16EBEDDBF64C}"/>
              </c:ext>
            </c:extLst>
          </c:dPt>
          <c:dPt>
            <c:idx val="8"/>
            <c:bubble3D val="0"/>
            <c:spPr>
              <a:noFill/>
            </c:spPr>
            <c:extLst>
              <c:ext xmlns:c16="http://schemas.microsoft.com/office/drawing/2014/chart" uri="{C3380CC4-5D6E-409C-BE32-E72D297353CC}">
                <c16:uniqueId val="{00000011-EBAA-45BC-A201-16EBEDDBF64C}"/>
              </c:ext>
            </c:extLst>
          </c:dPt>
          <c:dPt>
            <c:idx val="9"/>
            <c:bubble3D val="0"/>
            <c:spPr>
              <a:noFill/>
            </c:spPr>
            <c:extLst>
              <c:ext xmlns:c16="http://schemas.microsoft.com/office/drawing/2014/chart" uri="{C3380CC4-5D6E-409C-BE32-E72D297353CC}">
                <c16:uniqueId val="{00000013-EBAA-45BC-A201-16EBEDDBF64C}"/>
              </c:ext>
            </c:extLst>
          </c:dPt>
          <c:dPt>
            <c:idx val="10"/>
            <c:bubble3D val="0"/>
            <c:spPr>
              <a:solidFill>
                <a:schemeClr val="tx1"/>
              </a:solidFill>
            </c:spPr>
            <c:extLst>
              <c:ext xmlns:c16="http://schemas.microsoft.com/office/drawing/2014/chart" uri="{C3380CC4-5D6E-409C-BE32-E72D297353CC}">
                <c16:uniqueId val="{00000015-EBAA-45BC-A201-16EBEDDBF64C}"/>
              </c:ext>
            </c:extLst>
          </c:dPt>
          <c:dPt>
            <c:idx val="11"/>
            <c:bubble3D val="0"/>
            <c:spPr>
              <a:noFill/>
            </c:spPr>
            <c:extLst>
              <c:ext xmlns:c16="http://schemas.microsoft.com/office/drawing/2014/chart" uri="{C3380CC4-5D6E-409C-BE32-E72D297353CC}">
                <c16:uniqueId val="{00000017-EBAA-45BC-A201-16EBEDDBF64C}"/>
              </c:ext>
            </c:extLst>
          </c:dPt>
          <c:dPt>
            <c:idx val="12"/>
            <c:bubble3D val="0"/>
            <c:spPr>
              <a:noFill/>
            </c:spPr>
            <c:extLst>
              <c:ext xmlns:c16="http://schemas.microsoft.com/office/drawing/2014/chart" uri="{C3380CC4-5D6E-409C-BE32-E72D297353CC}">
                <c16:uniqueId val="{00000019-EBAA-45BC-A201-16EBEDDBF64C}"/>
              </c:ext>
            </c:extLst>
          </c:dPt>
          <c:dPt>
            <c:idx val="13"/>
            <c:bubble3D val="0"/>
            <c:spPr>
              <a:solidFill>
                <a:schemeClr val="tx1"/>
              </a:solidFill>
            </c:spPr>
            <c:extLst>
              <c:ext xmlns:c16="http://schemas.microsoft.com/office/drawing/2014/chart" uri="{C3380CC4-5D6E-409C-BE32-E72D297353CC}">
                <c16:uniqueId val="{0000001B-EBAA-45BC-A201-16EBEDDBF64C}"/>
              </c:ext>
            </c:extLst>
          </c:dPt>
          <c:dPt>
            <c:idx val="14"/>
            <c:bubble3D val="0"/>
            <c:spPr>
              <a:noFill/>
            </c:spPr>
            <c:extLst>
              <c:ext xmlns:c16="http://schemas.microsoft.com/office/drawing/2014/chart" uri="{C3380CC4-5D6E-409C-BE32-E72D297353CC}">
                <c16:uniqueId val="{0000001D-EBAA-45BC-A201-16EBEDDBF64C}"/>
              </c:ext>
            </c:extLst>
          </c:dPt>
          <c:dPt>
            <c:idx val="15"/>
            <c:bubble3D val="0"/>
            <c:spPr>
              <a:noFill/>
            </c:spPr>
            <c:extLst>
              <c:ext xmlns:c16="http://schemas.microsoft.com/office/drawing/2014/chart" uri="{C3380CC4-5D6E-409C-BE32-E72D297353CC}">
                <c16:uniqueId val="{0000001F-EBAA-45BC-A201-16EBEDDBF64C}"/>
              </c:ext>
            </c:extLst>
          </c:dPt>
          <c:dPt>
            <c:idx val="16"/>
            <c:bubble3D val="0"/>
            <c:spPr>
              <a:solidFill>
                <a:schemeClr val="tx1"/>
              </a:solidFill>
            </c:spPr>
            <c:extLst>
              <c:ext xmlns:c16="http://schemas.microsoft.com/office/drawing/2014/chart" uri="{C3380CC4-5D6E-409C-BE32-E72D297353CC}">
                <c16:uniqueId val="{00000021-EBAA-45BC-A201-16EBEDDBF64C}"/>
              </c:ext>
            </c:extLst>
          </c:dPt>
          <c:dPt>
            <c:idx val="17"/>
            <c:bubble3D val="0"/>
            <c:spPr>
              <a:noFill/>
            </c:spPr>
            <c:extLst>
              <c:ext xmlns:c16="http://schemas.microsoft.com/office/drawing/2014/chart" uri="{C3380CC4-5D6E-409C-BE32-E72D297353CC}">
                <c16:uniqueId val="{00000023-EBAA-45BC-A201-16EBEDDBF64C}"/>
              </c:ext>
            </c:extLst>
          </c:dPt>
          <c:dPt>
            <c:idx val="18"/>
            <c:bubble3D val="0"/>
            <c:spPr>
              <a:noFill/>
            </c:spPr>
            <c:extLst>
              <c:ext xmlns:c16="http://schemas.microsoft.com/office/drawing/2014/chart" uri="{C3380CC4-5D6E-409C-BE32-E72D297353CC}">
                <c16:uniqueId val="{00000025-EBAA-45BC-A201-16EBEDDBF64C}"/>
              </c:ext>
            </c:extLst>
          </c:dPt>
          <c:dPt>
            <c:idx val="19"/>
            <c:bubble3D val="0"/>
            <c:spPr>
              <a:solidFill>
                <a:schemeClr val="tx1"/>
              </a:solidFill>
            </c:spPr>
            <c:extLst>
              <c:ext xmlns:c16="http://schemas.microsoft.com/office/drawing/2014/chart" uri="{C3380CC4-5D6E-409C-BE32-E72D297353CC}">
                <c16:uniqueId val="{00000027-EBAA-45BC-A201-16EBEDDBF64C}"/>
              </c:ext>
            </c:extLst>
          </c:dPt>
          <c:dPt>
            <c:idx val="20"/>
            <c:bubble3D val="0"/>
            <c:spPr>
              <a:noFill/>
            </c:spPr>
            <c:extLst>
              <c:ext xmlns:c16="http://schemas.microsoft.com/office/drawing/2014/chart" uri="{C3380CC4-5D6E-409C-BE32-E72D297353CC}">
                <c16:uniqueId val="{00000029-EBAA-45BC-A201-16EBEDDBF64C}"/>
              </c:ext>
            </c:extLst>
          </c:dPt>
          <c:dPt>
            <c:idx val="21"/>
            <c:bubble3D val="0"/>
            <c:spPr>
              <a:noFill/>
            </c:spPr>
            <c:extLst>
              <c:ext xmlns:c16="http://schemas.microsoft.com/office/drawing/2014/chart" uri="{C3380CC4-5D6E-409C-BE32-E72D297353CC}">
                <c16:uniqueId val="{0000002B-EBAA-45BC-A201-16EBEDDBF64C}"/>
              </c:ext>
            </c:extLst>
          </c:dPt>
          <c:dPt>
            <c:idx val="22"/>
            <c:bubble3D val="0"/>
            <c:spPr>
              <a:solidFill>
                <a:schemeClr val="tx1"/>
              </a:solidFill>
            </c:spPr>
            <c:extLst>
              <c:ext xmlns:c16="http://schemas.microsoft.com/office/drawing/2014/chart" uri="{C3380CC4-5D6E-409C-BE32-E72D297353CC}">
                <c16:uniqueId val="{0000002D-EBAA-45BC-A201-16EBEDDBF64C}"/>
              </c:ext>
            </c:extLst>
          </c:dPt>
          <c:dPt>
            <c:idx val="23"/>
            <c:bubble3D val="0"/>
            <c:spPr>
              <a:noFill/>
            </c:spPr>
            <c:extLst>
              <c:ext xmlns:c16="http://schemas.microsoft.com/office/drawing/2014/chart" uri="{C3380CC4-5D6E-409C-BE32-E72D297353CC}">
                <c16:uniqueId val="{0000002F-EBAA-45BC-A201-16EBEDDBF64C}"/>
              </c:ext>
            </c:extLst>
          </c:dPt>
          <c:dPt>
            <c:idx val="24"/>
            <c:bubble3D val="0"/>
            <c:spPr>
              <a:noFill/>
            </c:spPr>
            <c:extLst>
              <c:ext xmlns:c16="http://schemas.microsoft.com/office/drawing/2014/chart" uri="{C3380CC4-5D6E-409C-BE32-E72D297353CC}">
                <c16:uniqueId val="{00000031-EBAA-45BC-A201-16EBEDDBF64C}"/>
              </c:ext>
            </c:extLst>
          </c:dPt>
          <c:dPt>
            <c:idx val="25"/>
            <c:bubble3D val="0"/>
            <c:spPr>
              <a:solidFill>
                <a:schemeClr val="tx1"/>
              </a:solidFill>
            </c:spPr>
            <c:extLst>
              <c:ext xmlns:c16="http://schemas.microsoft.com/office/drawing/2014/chart" uri="{C3380CC4-5D6E-409C-BE32-E72D297353CC}">
                <c16:uniqueId val="{00000033-EBAA-45BC-A201-16EBEDDBF64C}"/>
              </c:ext>
            </c:extLst>
          </c:dPt>
          <c:dPt>
            <c:idx val="26"/>
            <c:bubble3D val="0"/>
            <c:spPr>
              <a:noFill/>
            </c:spPr>
            <c:extLst>
              <c:ext xmlns:c16="http://schemas.microsoft.com/office/drawing/2014/chart" uri="{C3380CC4-5D6E-409C-BE32-E72D297353CC}">
                <c16:uniqueId val="{00000035-EBAA-45BC-A201-16EBEDDBF64C}"/>
              </c:ext>
            </c:extLst>
          </c:dPt>
          <c:dPt>
            <c:idx val="27"/>
            <c:bubble3D val="0"/>
            <c:spPr>
              <a:noFill/>
            </c:spPr>
            <c:extLst>
              <c:ext xmlns:c16="http://schemas.microsoft.com/office/drawing/2014/chart" uri="{C3380CC4-5D6E-409C-BE32-E72D297353CC}">
                <c16:uniqueId val="{00000037-EBAA-45BC-A201-16EBEDDBF64C}"/>
              </c:ext>
            </c:extLst>
          </c:dPt>
          <c:dPt>
            <c:idx val="28"/>
            <c:bubble3D val="0"/>
            <c:spPr>
              <a:solidFill>
                <a:schemeClr val="tx1"/>
              </a:solidFill>
            </c:spPr>
            <c:extLst>
              <c:ext xmlns:c16="http://schemas.microsoft.com/office/drawing/2014/chart" uri="{C3380CC4-5D6E-409C-BE32-E72D297353CC}">
                <c16:uniqueId val="{00000039-EBAA-45BC-A201-16EBEDDBF64C}"/>
              </c:ext>
            </c:extLst>
          </c:dPt>
          <c:dPt>
            <c:idx val="29"/>
            <c:bubble3D val="0"/>
            <c:spPr>
              <a:noFill/>
            </c:spPr>
            <c:extLst>
              <c:ext xmlns:c16="http://schemas.microsoft.com/office/drawing/2014/chart" uri="{C3380CC4-5D6E-409C-BE32-E72D297353CC}">
                <c16:uniqueId val="{0000003B-EBAA-45BC-A201-16EBEDDBF64C}"/>
              </c:ext>
            </c:extLst>
          </c:dPt>
          <c:dPt>
            <c:idx val="30"/>
            <c:bubble3D val="0"/>
            <c:spPr>
              <a:noFill/>
            </c:spPr>
            <c:extLst>
              <c:ext xmlns:c16="http://schemas.microsoft.com/office/drawing/2014/chart" uri="{C3380CC4-5D6E-409C-BE32-E72D297353CC}">
                <c16:uniqueId val="{0000003D-EBAA-45BC-A201-16EBEDDBF64C}"/>
              </c:ext>
            </c:extLst>
          </c:dPt>
          <c:dPt>
            <c:idx val="31"/>
            <c:bubble3D val="0"/>
            <c:spPr>
              <a:solidFill>
                <a:schemeClr val="tx1"/>
              </a:solidFill>
            </c:spPr>
            <c:extLst>
              <c:ext xmlns:c16="http://schemas.microsoft.com/office/drawing/2014/chart" uri="{C3380CC4-5D6E-409C-BE32-E72D297353CC}">
                <c16:uniqueId val="{0000003F-EBAA-45BC-A201-16EBEDDBF64C}"/>
              </c:ext>
            </c:extLst>
          </c:dPt>
          <c:dPt>
            <c:idx val="32"/>
            <c:bubble3D val="0"/>
            <c:spPr>
              <a:noFill/>
            </c:spPr>
            <c:extLst>
              <c:ext xmlns:c16="http://schemas.microsoft.com/office/drawing/2014/chart" uri="{C3380CC4-5D6E-409C-BE32-E72D297353CC}">
                <c16:uniqueId val="{00000041-EBAA-45BC-A201-16EBEDDBF64C}"/>
              </c:ext>
            </c:extLst>
          </c:dPt>
          <c:dPt>
            <c:idx val="33"/>
            <c:bubble3D val="0"/>
            <c:spPr>
              <a:noFill/>
            </c:spPr>
            <c:extLst>
              <c:ext xmlns:c16="http://schemas.microsoft.com/office/drawing/2014/chart" uri="{C3380CC4-5D6E-409C-BE32-E72D297353CC}">
                <c16:uniqueId val="{00000043-EBAA-45BC-A201-16EBEDDBF64C}"/>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EBAA-45BC-A201-16EBEDDBF64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EA3-40F3-BC4C-F00960B6026A}"/>
              </c:ext>
            </c:extLst>
          </c:dPt>
          <c:dPt>
            <c:idx val="1"/>
            <c:bubble3D val="0"/>
            <c:spPr>
              <a:solidFill>
                <a:schemeClr val="accent3">
                  <a:lumMod val="50000"/>
                </a:schemeClr>
              </a:solidFill>
              <a:ln>
                <a:noFill/>
              </a:ln>
            </c:spPr>
            <c:extLst>
              <c:ext xmlns:c16="http://schemas.microsoft.com/office/drawing/2014/chart" uri="{C3380CC4-5D6E-409C-BE32-E72D297353CC}">
                <c16:uniqueId val="{00000003-6EA3-40F3-BC4C-F00960B6026A}"/>
              </c:ext>
            </c:extLst>
          </c:dPt>
          <c:dPt>
            <c:idx val="2"/>
            <c:bubble3D val="0"/>
            <c:spPr>
              <a:noFill/>
            </c:spPr>
            <c:extLst>
              <c:ext xmlns:c16="http://schemas.microsoft.com/office/drawing/2014/chart" uri="{C3380CC4-5D6E-409C-BE32-E72D297353CC}">
                <c16:uniqueId val="{00000005-6EA3-40F3-BC4C-F00960B6026A}"/>
              </c:ext>
            </c:extLst>
          </c:dPt>
          <c:dPt>
            <c:idx val="3"/>
            <c:bubble3D val="0"/>
            <c:spPr>
              <a:solidFill>
                <a:srgbClr val="CBE4EB"/>
              </a:solidFill>
              <a:ln>
                <a:noFill/>
              </a:ln>
            </c:spPr>
            <c:extLst>
              <c:ext xmlns:c16="http://schemas.microsoft.com/office/drawing/2014/chart" uri="{C3380CC4-5D6E-409C-BE32-E72D297353CC}">
                <c16:uniqueId val="{00000007-6EA3-40F3-BC4C-F00960B6026A}"/>
              </c:ext>
            </c:extLst>
          </c:dPt>
          <c:dPt>
            <c:idx val="4"/>
            <c:bubble3D val="0"/>
            <c:spPr>
              <a:solidFill>
                <a:schemeClr val="accent3"/>
              </a:solidFill>
              <a:ln>
                <a:noFill/>
              </a:ln>
            </c:spPr>
            <c:extLst>
              <c:ext xmlns:c16="http://schemas.microsoft.com/office/drawing/2014/chart" uri="{C3380CC4-5D6E-409C-BE32-E72D297353CC}">
                <c16:uniqueId val="{00000009-6EA3-40F3-BC4C-F00960B6026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EA3-40F3-BC4C-F00960B6026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D121-4C91-87CB-AAF1824F52D4}"/>
              </c:ext>
            </c:extLst>
          </c:dPt>
          <c:dPt>
            <c:idx val="1"/>
            <c:bubble3D val="0"/>
            <c:spPr>
              <a:solidFill>
                <a:schemeClr val="tx1"/>
              </a:solidFill>
              <a:ln>
                <a:noFill/>
              </a:ln>
            </c:spPr>
            <c:extLst>
              <c:ext xmlns:c16="http://schemas.microsoft.com/office/drawing/2014/chart" uri="{C3380CC4-5D6E-409C-BE32-E72D297353CC}">
                <c16:uniqueId val="{00000003-D121-4C91-87CB-AAF1824F52D4}"/>
              </c:ext>
            </c:extLst>
          </c:dPt>
          <c:dPt>
            <c:idx val="2"/>
            <c:bubble3D val="0"/>
            <c:spPr>
              <a:noFill/>
            </c:spPr>
            <c:extLst>
              <c:ext xmlns:c16="http://schemas.microsoft.com/office/drawing/2014/chart" uri="{C3380CC4-5D6E-409C-BE32-E72D297353CC}">
                <c16:uniqueId val="{00000005-D121-4C91-87CB-AAF1824F52D4}"/>
              </c:ext>
            </c:extLst>
          </c:dPt>
          <c:dPt>
            <c:idx val="3"/>
            <c:bubble3D val="0"/>
            <c:spPr>
              <a:noFill/>
            </c:spPr>
            <c:extLst>
              <c:ext xmlns:c16="http://schemas.microsoft.com/office/drawing/2014/chart" uri="{C3380CC4-5D6E-409C-BE32-E72D297353CC}">
                <c16:uniqueId val="{00000007-D121-4C91-87CB-AAF1824F52D4}"/>
              </c:ext>
            </c:extLst>
          </c:dPt>
          <c:dPt>
            <c:idx val="4"/>
            <c:bubble3D val="0"/>
            <c:spPr>
              <a:solidFill>
                <a:schemeClr val="tx1"/>
              </a:solidFill>
              <a:ln>
                <a:noFill/>
              </a:ln>
            </c:spPr>
            <c:extLst>
              <c:ext xmlns:c16="http://schemas.microsoft.com/office/drawing/2014/chart" uri="{C3380CC4-5D6E-409C-BE32-E72D297353CC}">
                <c16:uniqueId val="{00000009-D121-4C91-87CB-AAF1824F52D4}"/>
              </c:ext>
            </c:extLst>
          </c:dPt>
          <c:dPt>
            <c:idx val="5"/>
            <c:bubble3D val="0"/>
            <c:spPr>
              <a:noFill/>
            </c:spPr>
            <c:extLst>
              <c:ext xmlns:c16="http://schemas.microsoft.com/office/drawing/2014/chart" uri="{C3380CC4-5D6E-409C-BE32-E72D297353CC}">
                <c16:uniqueId val="{0000000B-D121-4C91-87CB-AAF1824F52D4}"/>
              </c:ext>
            </c:extLst>
          </c:dPt>
          <c:dPt>
            <c:idx val="6"/>
            <c:bubble3D val="0"/>
            <c:spPr>
              <a:noFill/>
            </c:spPr>
            <c:extLst>
              <c:ext xmlns:c16="http://schemas.microsoft.com/office/drawing/2014/chart" uri="{C3380CC4-5D6E-409C-BE32-E72D297353CC}">
                <c16:uniqueId val="{0000000D-D121-4C91-87CB-AAF1824F52D4}"/>
              </c:ext>
            </c:extLst>
          </c:dPt>
          <c:dPt>
            <c:idx val="7"/>
            <c:bubble3D val="0"/>
            <c:spPr>
              <a:solidFill>
                <a:schemeClr val="tx1"/>
              </a:solidFill>
              <a:ln>
                <a:noFill/>
              </a:ln>
            </c:spPr>
            <c:extLst>
              <c:ext xmlns:c16="http://schemas.microsoft.com/office/drawing/2014/chart" uri="{C3380CC4-5D6E-409C-BE32-E72D297353CC}">
                <c16:uniqueId val="{0000000F-D121-4C91-87CB-AAF1824F52D4}"/>
              </c:ext>
            </c:extLst>
          </c:dPt>
          <c:dPt>
            <c:idx val="8"/>
            <c:bubble3D val="0"/>
            <c:spPr>
              <a:noFill/>
            </c:spPr>
            <c:extLst>
              <c:ext xmlns:c16="http://schemas.microsoft.com/office/drawing/2014/chart" uri="{C3380CC4-5D6E-409C-BE32-E72D297353CC}">
                <c16:uniqueId val="{00000011-D121-4C91-87CB-AAF1824F52D4}"/>
              </c:ext>
            </c:extLst>
          </c:dPt>
          <c:dPt>
            <c:idx val="9"/>
            <c:bubble3D val="0"/>
            <c:spPr>
              <a:noFill/>
            </c:spPr>
            <c:extLst>
              <c:ext xmlns:c16="http://schemas.microsoft.com/office/drawing/2014/chart" uri="{C3380CC4-5D6E-409C-BE32-E72D297353CC}">
                <c16:uniqueId val="{00000013-D121-4C91-87CB-AAF1824F52D4}"/>
              </c:ext>
            </c:extLst>
          </c:dPt>
          <c:dPt>
            <c:idx val="10"/>
            <c:bubble3D val="0"/>
            <c:spPr>
              <a:solidFill>
                <a:schemeClr val="tx1"/>
              </a:solidFill>
            </c:spPr>
            <c:extLst>
              <c:ext xmlns:c16="http://schemas.microsoft.com/office/drawing/2014/chart" uri="{C3380CC4-5D6E-409C-BE32-E72D297353CC}">
                <c16:uniqueId val="{00000015-D121-4C91-87CB-AAF1824F52D4}"/>
              </c:ext>
            </c:extLst>
          </c:dPt>
          <c:dPt>
            <c:idx val="11"/>
            <c:bubble3D val="0"/>
            <c:spPr>
              <a:noFill/>
            </c:spPr>
            <c:extLst>
              <c:ext xmlns:c16="http://schemas.microsoft.com/office/drawing/2014/chart" uri="{C3380CC4-5D6E-409C-BE32-E72D297353CC}">
                <c16:uniqueId val="{00000017-D121-4C91-87CB-AAF1824F52D4}"/>
              </c:ext>
            </c:extLst>
          </c:dPt>
          <c:dPt>
            <c:idx val="12"/>
            <c:bubble3D val="0"/>
            <c:spPr>
              <a:noFill/>
            </c:spPr>
            <c:extLst>
              <c:ext xmlns:c16="http://schemas.microsoft.com/office/drawing/2014/chart" uri="{C3380CC4-5D6E-409C-BE32-E72D297353CC}">
                <c16:uniqueId val="{00000019-D121-4C91-87CB-AAF1824F52D4}"/>
              </c:ext>
            </c:extLst>
          </c:dPt>
          <c:dPt>
            <c:idx val="13"/>
            <c:bubble3D val="0"/>
            <c:spPr>
              <a:solidFill>
                <a:schemeClr val="tx1"/>
              </a:solidFill>
            </c:spPr>
            <c:extLst>
              <c:ext xmlns:c16="http://schemas.microsoft.com/office/drawing/2014/chart" uri="{C3380CC4-5D6E-409C-BE32-E72D297353CC}">
                <c16:uniqueId val="{0000001B-D121-4C91-87CB-AAF1824F52D4}"/>
              </c:ext>
            </c:extLst>
          </c:dPt>
          <c:dPt>
            <c:idx val="14"/>
            <c:bubble3D val="0"/>
            <c:spPr>
              <a:noFill/>
            </c:spPr>
            <c:extLst>
              <c:ext xmlns:c16="http://schemas.microsoft.com/office/drawing/2014/chart" uri="{C3380CC4-5D6E-409C-BE32-E72D297353CC}">
                <c16:uniqueId val="{0000001D-D121-4C91-87CB-AAF1824F52D4}"/>
              </c:ext>
            </c:extLst>
          </c:dPt>
          <c:dPt>
            <c:idx val="15"/>
            <c:bubble3D val="0"/>
            <c:spPr>
              <a:noFill/>
            </c:spPr>
            <c:extLst>
              <c:ext xmlns:c16="http://schemas.microsoft.com/office/drawing/2014/chart" uri="{C3380CC4-5D6E-409C-BE32-E72D297353CC}">
                <c16:uniqueId val="{0000001F-D121-4C91-87CB-AAF1824F52D4}"/>
              </c:ext>
            </c:extLst>
          </c:dPt>
          <c:dPt>
            <c:idx val="16"/>
            <c:bubble3D val="0"/>
            <c:spPr>
              <a:solidFill>
                <a:schemeClr val="tx1"/>
              </a:solidFill>
            </c:spPr>
            <c:extLst>
              <c:ext xmlns:c16="http://schemas.microsoft.com/office/drawing/2014/chart" uri="{C3380CC4-5D6E-409C-BE32-E72D297353CC}">
                <c16:uniqueId val="{00000021-D121-4C91-87CB-AAF1824F52D4}"/>
              </c:ext>
            </c:extLst>
          </c:dPt>
          <c:dPt>
            <c:idx val="17"/>
            <c:bubble3D val="0"/>
            <c:spPr>
              <a:noFill/>
            </c:spPr>
            <c:extLst>
              <c:ext xmlns:c16="http://schemas.microsoft.com/office/drawing/2014/chart" uri="{C3380CC4-5D6E-409C-BE32-E72D297353CC}">
                <c16:uniqueId val="{00000023-D121-4C91-87CB-AAF1824F52D4}"/>
              </c:ext>
            </c:extLst>
          </c:dPt>
          <c:dPt>
            <c:idx val="18"/>
            <c:bubble3D val="0"/>
            <c:spPr>
              <a:noFill/>
            </c:spPr>
            <c:extLst>
              <c:ext xmlns:c16="http://schemas.microsoft.com/office/drawing/2014/chart" uri="{C3380CC4-5D6E-409C-BE32-E72D297353CC}">
                <c16:uniqueId val="{00000025-D121-4C91-87CB-AAF1824F52D4}"/>
              </c:ext>
            </c:extLst>
          </c:dPt>
          <c:dPt>
            <c:idx val="19"/>
            <c:bubble3D val="0"/>
            <c:spPr>
              <a:solidFill>
                <a:schemeClr val="tx1"/>
              </a:solidFill>
            </c:spPr>
            <c:extLst>
              <c:ext xmlns:c16="http://schemas.microsoft.com/office/drawing/2014/chart" uri="{C3380CC4-5D6E-409C-BE32-E72D297353CC}">
                <c16:uniqueId val="{00000027-D121-4C91-87CB-AAF1824F52D4}"/>
              </c:ext>
            </c:extLst>
          </c:dPt>
          <c:dPt>
            <c:idx val="20"/>
            <c:bubble3D val="0"/>
            <c:spPr>
              <a:noFill/>
            </c:spPr>
            <c:extLst>
              <c:ext xmlns:c16="http://schemas.microsoft.com/office/drawing/2014/chart" uri="{C3380CC4-5D6E-409C-BE32-E72D297353CC}">
                <c16:uniqueId val="{00000029-D121-4C91-87CB-AAF1824F52D4}"/>
              </c:ext>
            </c:extLst>
          </c:dPt>
          <c:dPt>
            <c:idx val="21"/>
            <c:bubble3D val="0"/>
            <c:spPr>
              <a:noFill/>
            </c:spPr>
            <c:extLst>
              <c:ext xmlns:c16="http://schemas.microsoft.com/office/drawing/2014/chart" uri="{C3380CC4-5D6E-409C-BE32-E72D297353CC}">
                <c16:uniqueId val="{0000002B-D121-4C91-87CB-AAF1824F52D4}"/>
              </c:ext>
            </c:extLst>
          </c:dPt>
          <c:dPt>
            <c:idx val="22"/>
            <c:bubble3D val="0"/>
            <c:spPr>
              <a:solidFill>
                <a:schemeClr val="tx1"/>
              </a:solidFill>
            </c:spPr>
            <c:extLst>
              <c:ext xmlns:c16="http://schemas.microsoft.com/office/drawing/2014/chart" uri="{C3380CC4-5D6E-409C-BE32-E72D297353CC}">
                <c16:uniqueId val="{0000002D-D121-4C91-87CB-AAF1824F52D4}"/>
              </c:ext>
            </c:extLst>
          </c:dPt>
          <c:dPt>
            <c:idx val="23"/>
            <c:bubble3D val="0"/>
            <c:spPr>
              <a:noFill/>
            </c:spPr>
            <c:extLst>
              <c:ext xmlns:c16="http://schemas.microsoft.com/office/drawing/2014/chart" uri="{C3380CC4-5D6E-409C-BE32-E72D297353CC}">
                <c16:uniqueId val="{0000002F-D121-4C91-87CB-AAF1824F52D4}"/>
              </c:ext>
            </c:extLst>
          </c:dPt>
          <c:dPt>
            <c:idx val="24"/>
            <c:bubble3D val="0"/>
            <c:spPr>
              <a:noFill/>
            </c:spPr>
            <c:extLst>
              <c:ext xmlns:c16="http://schemas.microsoft.com/office/drawing/2014/chart" uri="{C3380CC4-5D6E-409C-BE32-E72D297353CC}">
                <c16:uniqueId val="{00000031-D121-4C91-87CB-AAF1824F52D4}"/>
              </c:ext>
            </c:extLst>
          </c:dPt>
          <c:dPt>
            <c:idx val="25"/>
            <c:bubble3D val="0"/>
            <c:spPr>
              <a:solidFill>
                <a:schemeClr val="tx1"/>
              </a:solidFill>
            </c:spPr>
            <c:extLst>
              <c:ext xmlns:c16="http://schemas.microsoft.com/office/drawing/2014/chart" uri="{C3380CC4-5D6E-409C-BE32-E72D297353CC}">
                <c16:uniqueId val="{00000033-D121-4C91-87CB-AAF1824F52D4}"/>
              </c:ext>
            </c:extLst>
          </c:dPt>
          <c:dPt>
            <c:idx val="26"/>
            <c:bubble3D val="0"/>
            <c:spPr>
              <a:noFill/>
            </c:spPr>
            <c:extLst>
              <c:ext xmlns:c16="http://schemas.microsoft.com/office/drawing/2014/chart" uri="{C3380CC4-5D6E-409C-BE32-E72D297353CC}">
                <c16:uniqueId val="{00000035-D121-4C91-87CB-AAF1824F52D4}"/>
              </c:ext>
            </c:extLst>
          </c:dPt>
          <c:dPt>
            <c:idx val="27"/>
            <c:bubble3D val="0"/>
            <c:spPr>
              <a:noFill/>
            </c:spPr>
            <c:extLst>
              <c:ext xmlns:c16="http://schemas.microsoft.com/office/drawing/2014/chart" uri="{C3380CC4-5D6E-409C-BE32-E72D297353CC}">
                <c16:uniqueId val="{00000037-D121-4C91-87CB-AAF1824F52D4}"/>
              </c:ext>
            </c:extLst>
          </c:dPt>
          <c:dPt>
            <c:idx val="28"/>
            <c:bubble3D val="0"/>
            <c:spPr>
              <a:solidFill>
                <a:schemeClr val="tx1"/>
              </a:solidFill>
            </c:spPr>
            <c:extLst>
              <c:ext xmlns:c16="http://schemas.microsoft.com/office/drawing/2014/chart" uri="{C3380CC4-5D6E-409C-BE32-E72D297353CC}">
                <c16:uniqueId val="{00000039-D121-4C91-87CB-AAF1824F52D4}"/>
              </c:ext>
            </c:extLst>
          </c:dPt>
          <c:dPt>
            <c:idx val="29"/>
            <c:bubble3D val="0"/>
            <c:spPr>
              <a:noFill/>
            </c:spPr>
            <c:extLst>
              <c:ext xmlns:c16="http://schemas.microsoft.com/office/drawing/2014/chart" uri="{C3380CC4-5D6E-409C-BE32-E72D297353CC}">
                <c16:uniqueId val="{0000003B-D121-4C91-87CB-AAF1824F52D4}"/>
              </c:ext>
            </c:extLst>
          </c:dPt>
          <c:dPt>
            <c:idx val="30"/>
            <c:bubble3D val="0"/>
            <c:spPr>
              <a:noFill/>
            </c:spPr>
            <c:extLst>
              <c:ext xmlns:c16="http://schemas.microsoft.com/office/drawing/2014/chart" uri="{C3380CC4-5D6E-409C-BE32-E72D297353CC}">
                <c16:uniqueId val="{0000003D-D121-4C91-87CB-AAF1824F52D4}"/>
              </c:ext>
            </c:extLst>
          </c:dPt>
          <c:dPt>
            <c:idx val="31"/>
            <c:bubble3D val="0"/>
            <c:spPr>
              <a:solidFill>
                <a:schemeClr val="tx1"/>
              </a:solidFill>
            </c:spPr>
            <c:extLst>
              <c:ext xmlns:c16="http://schemas.microsoft.com/office/drawing/2014/chart" uri="{C3380CC4-5D6E-409C-BE32-E72D297353CC}">
                <c16:uniqueId val="{0000003F-D121-4C91-87CB-AAF1824F52D4}"/>
              </c:ext>
            </c:extLst>
          </c:dPt>
          <c:dPt>
            <c:idx val="32"/>
            <c:bubble3D val="0"/>
            <c:spPr>
              <a:noFill/>
            </c:spPr>
            <c:extLst>
              <c:ext xmlns:c16="http://schemas.microsoft.com/office/drawing/2014/chart" uri="{C3380CC4-5D6E-409C-BE32-E72D297353CC}">
                <c16:uniqueId val="{00000041-D121-4C91-87CB-AAF1824F52D4}"/>
              </c:ext>
            </c:extLst>
          </c:dPt>
          <c:dPt>
            <c:idx val="33"/>
            <c:bubble3D val="0"/>
            <c:spPr>
              <a:noFill/>
            </c:spPr>
            <c:extLst>
              <c:ext xmlns:c16="http://schemas.microsoft.com/office/drawing/2014/chart" uri="{C3380CC4-5D6E-409C-BE32-E72D297353CC}">
                <c16:uniqueId val="{00000043-D121-4C91-87CB-AAF1824F52D4}"/>
              </c:ext>
            </c:extLst>
          </c:dPt>
          <c:cat>
            <c:strRef>
              <c:f>tlGraphs!$Q$64:$Q$97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tlGraphs!$R$64:$R$97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D121-4C91-87CB-AAF1824F52D4}"/>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44431432581476"/>
          <c:y val="0"/>
          <c:w val="0.47528944706390308"/>
          <c:h val="1"/>
        </c:manualLayout>
      </c:layout>
      <c:pieChart>
        <c:varyColors val="1"/>
        <c:ser>
          <c:idx val="0"/>
          <c:order val="0"/>
          <c:dPt>
            <c:idx val="0"/>
            <c:bubble3D val="0"/>
            <c:spPr>
              <a:gradFill>
                <a:gsLst>
                  <a:gs pos="0">
                    <a:schemeClr val="accent1">
                      <a:lumMod val="75000"/>
                    </a:schemeClr>
                  </a:gs>
                  <a:gs pos="100000">
                    <a:schemeClr val="accent1">
                      <a:lumMod val="60000"/>
                      <a:lumOff val="40000"/>
                    </a:schemeClr>
                  </a:gs>
                </a:gsLst>
                <a:lin ang="16200000" scaled="0"/>
              </a:gradFill>
            </c:spPr>
            <c:extLst>
              <c:ext xmlns:c16="http://schemas.microsoft.com/office/drawing/2014/chart" uri="{C3380CC4-5D6E-409C-BE32-E72D297353CC}">
                <c16:uniqueId val="{00000001-3645-4127-B8AA-DDC9CD962B23}"/>
              </c:ext>
            </c:extLst>
          </c:dPt>
          <c:dPt>
            <c:idx val="1"/>
            <c:bubble3D val="0"/>
            <c:spPr>
              <a:gradFill>
                <a:gsLst>
                  <a:gs pos="0">
                    <a:schemeClr val="accent1">
                      <a:lumMod val="50000"/>
                    </a:schemeClr>
                  </a:gs>
                  <a:gs pos="100000">
                    <a:schemeClr val="accent1">
                      <a:lumMod val="75000"/>
                    </a:schemeClr>
                  </a:gs>
                </a:gsLst>
                <a:lin ang="16200000" scaled="0"/>
              </a:gradFill>
            </c:spPr>
            <c:extLst>
              <c:ext xmlns:c16="http://schemas.microsoft.com/office/drawing/2014/chart" uri="{C3380CC4-5D6E-409C-BE32-E72D297353CC}">
                <c16:uniqueId val="{00000003-3645-4127-B8AA-DDC9CD962B23}"/>
              </c:ext>
            </c:extLst>
          </c:dPt>
          <c:dPt>
            <c:idx val="2"/>
            <c:bubble3D val="0"/>
            <c:spPr>
              <a:gradFill>
                <a:gsLst>
                  <a:gs pos="0">
                    <a:schemeClr val="bg2">
                      <a:lumMod val="75000"/>
                    </a:schemeClr>
                  </a:gs>
                  <a:gs pos="100000">
                    <a:schemeClr val="tx2">
                      <a:lumMod val="75000"/>
                    </a:schemeClr>
                  </a:gs>
                </a:gsLst>
                <a:lin ang="16200000" scaled="0"/>
              </a:gradFill>
            </c:spPr>
            <c:extLst>
              <c:ext xmlns:c16="http://schemas.microsoft.com/office/drawing/2014/chart" uri="{C3380CC4-5D6E-409C-BE32-E72D297353CC}">
                <c16:uniqueId val="{00000005-3645-4127-B8AA-DDC9CD962B23}"/>
              </c:ext>
            </c:extLst>
          </c:dPt>
          <c:dPt>
            <c:idx val="3"/>
            <c:bubble3D val="0"/>
            <c:spPr>
              <a:gradFill>
                <a:gsLst>
                  <a:gs pos="0">
                    <a:schemeClr val="tx1">
                      <a:lumMod val="85000"/>
                      <a:lumOff val="15000"/>
                    </a:schemeClr>
                  </a:gs>
                  <a:gs pos="100000">
                    <a:schemeClr val="tx2">
                      <a:lumMod val="50000"/>
                    </a:schemeClr>
                  </a:gs>
                </a:gsLst>
                <a:lin ang="16200000" scaled="0"/>
              </a:gradFill>
            </c:spPr>
            <c:extLst>
              <c:ext xmlns:c16="http://schemas.microsoft.com/office/drawing/2014/chart" uri="{C3380CC4-5D6E-409C-BE32-E72D297353CC}">
                <c16:uniqueId val="{00000007-3645-4127-B8AA-DDC9CD962B23}"/>
              </c:ext>
            </c:extLst>
          </c:dPt>
          <c:dPt>
            <c:idx val="4"/>
            <c:bubble3D val="0"/>
            <c:spPr>
              <a:gradFill>
                <a:gsLst>
                  <a:gs pos="0">
                    <a:schemeClr val="accent5"/>
                  </a:gs>
                  <a:gs pos="100000">
                    <a:schemeClr val="accent5">
                      <a:lumMod val="40000"/>
                      <a:lumOff val="60000"/>
                    </a:schemeClr>
                  </a:gs>
                </a:gsLst>
                <a:lin ang="16200000" scaled="0"/>
              </a:gradFill>
            </c:spPr>
            <c:extLst>
              <c:ext xmlns:c16="http://schemas.microsoft.com/office/drawing/2014/chart" uri="{C3380CC4-5D6E-409C-BE32-E72D297353CC}">
                <c16:uniqueId val="{00000009-3645-4127-B8AA-DDC9CD962B23}"/>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tlGraphs!$C$311:$H$311</c:f>
              <c:strCache>
                <c:ptCount val="6"/>
                <c:pt idx="0">
                  <c:v>Offshore</c:v>
                </c:pt>
                <c:pt idx="1">
                  <c:v>Global Delivery Centers</c:v>
                </c:pt>
                <c:pt idx="2">
                  <c:v>Technical</c:v>
                </c:pt>
                <c:pt idx="3">
                  <c:v>PM / Analyst</c:v>
                </c:pt>
                <c:pt idx="4">
                  <c:v>Director / EM</c:v>
                </c:pt>
                <c:pt idx="5">
                  <c:v>Unallocated</c:v>
                </c:pt>
              </c:strCache>
            </c:strRef>
          </c:cat>
          <c:val>
            <c:numRef>
              <c:f>tlGraphs!$C$312:$H$312</c:f>
              <c:numCache>
                <c:formatCode>0%</c:formatCode>
                <c:ptCount val="6"/>
                <c:pt idx="0">
                  <c:v>4.9737250268451792E-2</c:v>
                </c:pt>
                <c:pt idx="1">
                  <c:v>7.5991691575054462E-2</c:v>
                </c:pt>
                <c:pt idx="2">
                  <c:v>0.18772560394888452</c:v>
                </c:pt>
                <c:pt idx="3">
                  <c:v>0.13260069781550876</c:v>
                </c:pt>
                <c:pt idx="4">
                  <c:v>4.0965016542806709E-2</c:v>
                </c:pt>
                <c:pt idx="5">
                  <c:v>0.51297973984929379</c:v>
                </c:pt>
              </c:numCache>
            </c:numRef>
          </c:val>
          <c:extLst>
            <c:ext xmlns:c16="http://schemas.microsoft.com/office/drawing/2014/chart" uri="{C3380CC4-5D6E-409C-BE32-E72D297353CC}">
              <c16:uniqueId val="{0000000A-3645-4127-B8AA-DDC9CD962B23}"/>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70729267521882966"/>
          <c:y val="4.2946349824593673E-2"/>
          <c:w val="0.27528529372513139"/>
          <c:h val="0.8634529749829582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D594-49E6-B040-91923A617CB6}"/>
              </c:ext>
            </c:extLst>
          </c:dPt>
          <c:dPt>
            <c:idx val="1"/>
            <c:bubble3D val="0"/>
            <c:spPr>
              <a:solidFill>
                <a:srgbClr val="054680"/>
              </a:solidFill>
              <a:ln>
                <a:noFill/>
              </a:ln>
            </c:spPr>
            <c:extLst>
              <c:ext xmlns:c16="http://schemas.microsoft.com/office/drawing/2014/chart" uri="{C3380CC4-5D6E-409C-BE32-E72D297353CC}">
                <c16:uniqueId val="{00000003-D594-49E6-B040-91923A617CB6}"/>
              </c:ext>
            </c:extLst>
          </c:dPt>
          <c:dPt>
            <c:idx val="2"/>
            <c:bubble3D val="0"/>
            <c:spPr>
              <a:noFill/>
            </c:spPr>
            <c:extLst>
              <c:ext xmlns:c16="http://schemas.microsoft.com/office/drawing/2014/chart" uri="{C3380CC4-5D6E-409C-BE32-E72D297353CC}">
                <c16:uniqueId val="{00000005-D594-49E6-B040-91923A617CB6}"/>
              </c:ext>
            </c:extLst>
          </c:dPt>
          <c:dPt>
            <c:idx val="3"/>
            <c:bubble3D val="0"/>
            <c:spPr>
              <a:solidFill>
                <a:srgbClr val="CBE4EB"/>
              </a:solidFill>
              <a:ln>
                <a:noFill/>
              </a:ln>
            </c:spPr>
            <c:extLst>
              <c:ext xmlns:c16="http://schemas.microsoft.com/office/drawing/2014/chart" uri="{C3380CC4-5D6E-409C-BE32-E72D297353CC}">
                <c16:uniqueId val="{00000007-D594-49E6-B040-91923A617CB6}"/>
              </c:ext>
            </c:extLst>
          </c:dPt>
          <c:dPt>
            <c:idx val="4"/>
            <c:bubble3D val="0"/>
            <c:spPr>
              <a:solidFill>
                <a:srgbClr val="007AC5"/>
              </a:solidFill>
              <a:ln>
                <a:noFill/>
              </a:ln>
            </c:spPr>
            <c:extLst>
              <c:ext xmlns:c16="http://schemas.microsoft.com/office/drawing/2014/chart" uri="{C3380CC4-5D6E-409C-BE32-E72D297353CC}">
                <c16:uniqueId val="{00000009-D594-49E6-B040-91923A617CB6}"/>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D594-49E6-B040-91923A617CB6}"/>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702-4CA8-9CE2-E20180726DC0}"/>
              </c:ext>
            </c:extLst>
          </c:dPt>
          <c:dPt>
            <c:idx val="1"/>
            <c:bubble3D val="0"/>
            <c:spPr>
              <a:solidFill>
                <a:schemeClr val="tx1"/>
              </a:solidFill>
              <a:ln>
                <a:noFill/>
              </a:ln>
            </c:spPr>
            <c:extLst>
              <c:ext xmlns:c16="http://schemas.microsoft.com/office/drawing/2014/chart" uri="{C3380CC4-5D6E-409C-BE32-E72D297353CC}">
                <c16:uniqueId val="{00000003-7702-4CA8-9CE2-E20180726DC0}"/>
              </c:ext>
            </c:extLst>
          </c:dPt>
          <c:dPt>
            <c:idx val="2"/>
            <c:bubble3D val="0"/>
            <c:spPr>
              <a:noFill/>
            </c:spPr>
            <c:extLst>
              <c:ext xmlns:c16="http://schemas.microsoft.com/office/drawing/2014/chart" uri="{C3380CC4-5D6E-409C-BE32-E72D297353CC}">
                <c16:uniqueId val="{00000005-7702-4CA8-9CE2-E20180726DC0}"/>
              </c:ext>
            </c:extLst>
          </c:dPt>
          <c:dPt>
            <c:idx val="3"/>
            <c:bubble3D val="0"/>
            <c:spPr>
              <a:noFill/>
            </c:spPr>
            <c:extLst>
              <c:ext xmlns:c16="http://schemas.microsoft.com/office/drawing/2014/chart" uri="{C3380CC4-5D6E-409C-BE32-E72D297353CC}">
                <c16:uniqueId val="{00000007-7702-4CA8-9CE2-E20180726DC0}"/>
              </c:ext>
            </c:extLst>
          </c:dPt>
          <c:dPt>
            <c:idx val="4"/>
            <c:bubble3D val="0"/>
            <c:spPr>
              <a:solidFill>
                <a:schemeClr val="tx1"/>
              </a:solidFill>
              <a:ln>
                <a:noFill/>
              </a:ln>
            </c:spPr>
            <c:extLst>
              <c:ext xmlns:c16="http://schemas.microsoft.com/office/drawing/2014/chart" uri="{C3380CC4-5D6E-409C-BE32-E72D297353CC}">
                <c16:uniqueId val="{00000009-7702-4CA8-9CE2-E20180726DC0}"/>
              </c:ext>
            </c:extLst>
          </c:dPt>
          <c:dPt>
            <c:idx val="5"/>
            <c:bubble3D val="0"/>
            <c:spPr>
              <a:noFill/>
            </c:spPr>
            <c:extLst>
              <c:ext xmlns:c16="http://schemas.microsoft.com/office/drawing/2014/chart" uri="{C3380CC4-5D6E-409C-BE32-E72D297353CC}">
                <c16:uniqueId val="{0000000B-7702-4CA8-9CE2-E20180726DC0}"/>
              </c:ext>
            </c:extLst>
          </c:dPt>
          <c:dPt>
            <c:idx val="6"/>
            <c:bubble3D val="0"/>
            <c:spPr>
              <a:noFill/>
            </c:spPr>
            <c:extLst>
              <c:ext xmlns:c16="http://schemas.microsoft.com/office/drawing/2014/chart" uri="{C3380CC4-5D6E-409C-BE32-E72D297353CC}">
                <c16:uniqueId val="{0000000D-7702-4CA8-9CE2-E20180726DC0}"/>
              </c:ext>
            </c:extLst>
          </c:dPt>
          <c:dPt>
            <c:idx val="7"/>
            <c:bubble3D val="0"/>
            <c:spPr>
              <a:solidFill>
                <a:schemeClr val="tx1"/>
              </a:solidFill>
              <a:ln>
                <a:noFill/>
              </a:ln>
            </c:spPr>
            <c:extLst>
              <c:ext xmlns:c16="http://schemas.microsoft.com/office/drawing/2014/chart" uri="{C3380CC4-5D6E-409C-BE32-E72D297353CC}">
                <c16:uniqueId val="{0000000F-7702-4CA8-9CE2-E20180726DC0}"/>
              </c:ext>
            </c:extLst>
          </c:dPt>
          <c:dPt>
            <c:idx val="8"/>
            <c:bubble3D val="0"/>
            <c:spPr>
              <a:noFill/>
            </c:spPr>
            <c:extLst>
              <c:ext xmlns:c16="http://schemas.microsoft.com/office/drawing/2014/chart" uri="{C3380CC4-5D6E-409C-BE32-E72D297353CC}">
                <c16:uniqueId val="{00000011-7702-4CA8-9CE2-E20180726DC0}"/>
              </c:ext>
            </c:extLst>
          </c:dPt>
          <c:dPt>
            <c:idx val="9"/>
            <c:bubble3D val="0"/>
            <c:spPr>
              <a:noFill/>
            </c:spPr>
            <c:extLst>
              <c:ext xmlns:c16="http://schemas.microsoft.com/office/drawing/2014/chart" uri="{C3380CC4-5D6E-409C-BE32-E72D297353CC}">
                <c16:uniqueId val="{00000013-7702-4CA8-9CE2-E20180726DC0}"/>
              </c:ext>
            </c:extLst>
          </c:dPt>
          <c:dPt>
            <c:idx val="10"/>
            <c:bubble3D val="0"/>
            <c:spPr>
              <a:solidFill>
                <a:schemeClr val="tx1"/>
              </a:solidFill>
            </c:spPr>
            <c:extLst>
              <c:ext xmlns:c16="http://schemas.microsoft.com/office/drawing/2014/chart" uri="{C3380CC4-5D6E-409C-BE32-E72D297353CC}">
                <c16:uniqueId val="{00000015-7702-4CA8-9CE2-E20180726DC0}"/>
              </c:ext>
            </c:extLst>
          </c:dPt>
          <c:dPt>
            <c:idx val="11"/>
            <c:bubble3D val="0"/>
            <c:spPr>
              <a:noFill/>
            </c:spPr>
            <c:extLst>
              <c:ext xmlns:c16="http://schemas.microsoft.com/office/drawing/2014/chart" uri="{C3380CC4-5D6E-409C-BE32-E72D297353CC}">
                <c16:uniqueId val="{00000017-7702-4CA8-9CE2-E20180726DC0}"/>
              </c:ext>
            </c:extLst>
          </c:dPt>
          <c:dPt>
            <c:idx val="12"/>
            <c:bubble3D val="0"/>
            <c:spPr>
              <a:noFill/>
            </c:spPr>
            <c:extLst>
              <c:ext xmlns:c16="http://schemas.microsoft.com/office/drawing/2014/chart" uri="{C3380CC4-5D6E-409C-BE32-E72D297353CC}">
                <c16:uniqueId val="{00000019-7702-4CA8-9CE2-E20180726DC0}"/>
              </c:ext>
            </c:extLst>
          </c:dPt>
          <c:dPt>
            <c:idx val="13"/>
            <c:bubble3D val="0"/>
            <c:spPr>
              <a:solidFill>
                <a:schemeClr val="tx1"/>
              </a:solidFill>
            </c:spPr>
            <c:extLst>
              <c:ext xmlns:c16="http://schemas.microsoft.com/office/drawing/2014/chart" uri="{C3380CC4-5D6E-409C-BE32-E72D297353CC}">
                <c16:uniqueId val="{0000001B-7702-4CA8-9CE2-E20180726DC0}"/>
              </c:ext>
            </c:extLst>
          </c:dPt>
          <c:dPt>
            <c:idx val="14"/>
            <c:bubble3D val="0"/>
            <c:spPr>
              <a:noFill/>
            </c:spPr>
            <c:extLst>
              <c:ext xmlns:c16="http://schemas.microsoft.com/office/drawing/2014/chart" uri="{C3380CC4-5D6E-409C-BE32-E72D297353CC}">
                <c16:uniqueId val="{0000001D-7702-4CA8-9CE2-E20180726DC0}"/>
              </c:ext>
            </c:extLst>
          </c:dPt>
          <c:dPt>
            <c:idx val="15"/>
            <c:bubble3D val="0"/>
            <c:spPr>
              <a:noFill/>
            </c:spPr>
            <c:extLst>
              <c:ext xmlns:c16="http://schemas.microsoft.com/office/drawing/2014/chart" uri="{C3380CC4-5D6E-409C-BE32-E72D297353CC}">
                <c16:uniqueId val="{0000001F-7702-4CA8-9CE2-E20180726DC0}"/>
              </c:ext>
            </c:extLst>
          </c:dPt>
          <c:dPt>
            <c:idx val="16"/>
            <c:bubble3D val="0"/>
            <c:spPr>
              <a:solidFill>
                <a:schemeClr val="tx1"/>
              </a:solidFill>
            </c:spPr>
            <c:extLst>
              <c:ext xmlns:c16="http://schemas.microsoft.com/office/drawing/2014/chart" uri="{C3380CC4-5D6E-409C-BE32-E72D297353CC}">
                <c16:uniqueId val="{00000021-7702-4CA8-9CE2-E20180726DC0}"/>
              </c:ext>
            </c:extLst>
          </c:dPt>
          <c:dPt>
            <c:idx val="17"/>
            <c:bubble3D val="0"/>
            <c:spPr>
              <a:noFill/>
            </c:spPr>
            <c:extLst>
              <c:ext xmlns:c16="http://schemas.microsoft.com/office/drawing/2014/chart" uri="{C3380CC4-5D6E-409C-BE32-E72D297353CC}">
                <c16:uniqueId val="{00000023-7702-4CA8-9CE2-E20180726DC0}"/>
              </c:ext>
            </c:extLst>
          </c:dPt>
          <c:dPt>
            <c:idx val="18"/>
            <c:bubble3D val="0"/>
            <c:spPr>
              <a:noFill/>
            </c:spPr>
            <c:extLst>
              <c:ext xmlns:c16="http://schemas.microsoft.com/office/drawing/2014/chart" uri="{C3380CC4-5D6E-409C-BE32-E72D297353CC}">
                <c16:uniqueId val="{00000025-7702-4CA8-9CE2-E20180726DC0}"/>
              </c:ext>
            </c:extLst>
          </c:dPt>
          <c:dPt>
            <c:idx val="19"/>
            <c:bubble3D val="0"/>
            <c:spPr>
              <a:solidFill>
                <a:schemeClr val="tx1"/>
              </a:solidFill>
            </c:spPr>
            <c:extLst>
              <c:ext xmlns:c16="http://schemas.microsoft.com/office/drawing/2014/chart" uri="{C3380CC4-5D6E-409C-BE32-E72D297353CC}">
                <c16:uniqueId val="{00000027-7702-4CA8-9CE2-E20180726DC0}"/>
              </c:ext>
            </c:extLst>
          </c:dPt>
          <c:dPt>
            <c:idx val="20"/>
            <c:bubble3D val="0"/>
            <c:spPr>
              <a:noFill/>
            </c:spPr>
            <c:extLst>
              <c:ext xmlns:c16="http://schemas.microsoft.com/office/drawing/2014/chart" uri="{C3380CC4-5D6E-409C-BE32-E72D297353CC}">
                <c16:uniqueId val="{00000029-7702-4CA8-9CE2-E20180726DC0}"/>
              </c:ext>
            </c:extLst>
          </c:dPt>
          <c:dPt>
            <c:idx val="21"/>
            <c:bubble3D val="0"/>
            <c:spPr>
              <a:noFill/>
            </c:spPr>
            <c:extLst>
              <c:ext xmlns:c16="http://schemas.microsoft.com/office/drawing/2014/chart" uri="{C3380CC4-5D6E-409C-BE32-E72D297353CC}">
                <c16:uniqueId val="{0000002B-7702-4CA8-9CE2-E20180726DC0}"/>
              </c:ext>
            </c:extLst>
          </c:dPt>
          <c:dPt>
            <c:idx val="22"/>
            <c:bubble3D val="0"/>
            <c:spPr>
              <a:solidFill>
                <a:schemeClr val="tx1"/>
              </a:solidFill>
            </c:spPr>
            <c:extLst>
              <c:ext xmlns:c16="http://schemas.microsoft.com/office/drawing/2014/chart" uri="{C3380CC4-5D6E-409C-BE32-E72D297353CC}">
                <c16:uniqueId val="{0000002D-7702-4CA8-9CE2-E20180726DC0}"/>
              </c:ext>
            </c:extLst>
          </c:dPt>
          <c:dPt>
            <c:idx val="23"/>
            <c:bubble3D val="0"/>
            <c:spPr>
              <a:noFill/>
            </c:spPr>
            <c:extLst>
              <c:ext xmlns:c16="http://schemas.microsoft.com/office/drawing/2014/chart" uri="{C3380CC4-5D6E-409C-BE32-E72D297353CC}">
                <c16:uniqueId val="{0000002F-7702-4CA8-9CE2-E20180726DC0}"/>
              </c:ext>
            </c:extLst>
          </c:dPt>
          <c:dPt>
            <c:idx val="24"/>
            <c:bubble3D val="0"/>
            <c:spPr>
              <a:noFill/>
            </c:spPr>
            <c:extLst>
              <c:ext xmlns:c16="http://schemas.microsoft.com/office/drawing/2014/chart" uri="{C3380CC4-5D6E-409C-BE32-E72D297353CC}">
                <c16:uniqueId val="{00000031-7702-4CA8-9CE2-E20180726DC0}"/>
              </c:ext>
            </c:extLst>
          </c:dPt>
          <c:dPt>
            <c:idx val="25"/>
            <c:bubble3D val="0"/>
            <c:spPr>
              <a:solidFill>
                <a:schemeClr val="tx1"/>
              </a:solidFill>
            </c:spPr>
            <c:extLst>
              <c:ext xmlns:c16="http://schemas.microsoft.com/office/drawing/2014/chart" uri="{C3380CC4-5D6E-409C-BE32-E72D297353CC}">
                <c16:uniqueId val="{00000033-7702-4CA8-9CE2-E20180726DC0}"/>
              </c:ext>
            </c:extLst>
          </c:dPt>
          <c:dPt>
            <c:idx val="26"/>
            <c:bubble3D val="0"/>
            <c:spPr>
              <a:noFill/>
            </c:spPr>
            <c:extLst>
              <c:ext xmlns:c16="http://schemas.microsoft.com/office/drawing/2014/chart" uri="{C3380CC4-5D6E-409C-BE32-E72D297353CC}">
                <c16:uniqueId val="{00000035-7702-4CA8-9CE2-E20180726DC0}"/>
              </c:ext>
            </c:extLst>
          </c:dPt>
          <c:dPt>
            <c:idx val="27"/>
            <c:bubble3D val="0"/>
            <c:spPr>
              <a:noFill/>
            </c:spPr>
            <c:extLst>
              <c:ext xmlns:c16="http://schemas.microsoft.com/office/drawing/2014/chart" uri="{C3380CC4-5D6E-409C-BE32-E72D297353CC}">
                <c16:uniqueId val="{00000037-7702-4CA8-9CE2-E20180726DC0}"/>
              </c:ext>
            </c:extLst>
          </c:dPt>
          <c:dPt>
            <c:idx val="28"/>
            <c:bubble3D val="0"/>
            <c:spPr>
              <a:solidFill>
                <a:schemeClr val="tx1"/>
              </a:solidFill>
            </c:spPr>
            <c:extLst>
              <c:ext xmlns:c16="http://schemas.microsoft.com/office/drawing/2014/chart" uri="{C3380CC4-5D6E-409C-BE32-E72D297353CC}">
                <c16:uniqueId val="{00000039-7702-4CA8-9CE2-E20180726DC0}"/>
              </c:ext>
            </c:extLst>
          </c:dPt>
          <c:dPt>
            <c:idx val="29"/>
            <c:bubble3D val="0"/>
            <c:spPr>
              <a:noFill/>
            </c:spPr>
            <c:extLst>
              <c:ext xmlns:c16="http://schemas.microsoft.com/office/drawing/2014/chart" uri="{C3380CC4-5D6E-409C-BE32-E72D297353CC}">
                <c16:uniqueId val="{0000003B-7702-4CA8-9CE2-E20180726DC0}"/>
              </c:ext>
            </c:extLst>
          </c:dPt>
          <c:dPt>
            <c:idx val="30"/>
            <c:bubble3D val="0"/>
            <c:spPr>
              <a:noFill/>
            </c:spPr>
            <c:extLst>
              <c:ext xmlns:c16="http://schemas.microsoft.com/office/drawing/2014/chart" uri="{C3380CC4-5D6E-409C-BE32-E72D297353CC}">
                <c16:uniqueId val="{0000003D-7702-4CA8-9CE2-E20180726DC0}"/>
              </c:ext>
            </c:extLst>
          </c:dPt>
          <c:dPt>
            <c:idx val="31"/>
            <c:bubble3D val="0"/>
            <c:spPr>
              <a:solidFill>
                <a:schemeClr val="tx1"/>
              </a:solidFill>
            </c:spPr>
            <c:extLst>
              <c:ext xmlns:c16="http://schemas.microsoft.com/office/drawing/2014/chart" uri="{C3380CC4-5D6E-409C-BE32-E72D297353CC}">
                <c16:uniqueId val="{0000003F-7702-4CA8-9CE2-E20180726DC0}"/>
              </c:ext>
            </c:extLst>
          </c:dPt>
          <c:dPt>
            <c:idx val="32"/>
            <c:bubble3D val="0"/>
            <c:spPr>
              <a:noFill/>
            </c:spPr>
            <c:extLst>
              <c:ext xmlns:c16="http://schemas.microsoft.com/office/drawing/2014/chart" uri="{C3380CC4-5D6E-409C-BE32-E72D297353CC}">
                <c16:uniqueId val="{00000041-7702-4CA8-9CE2-E20180726DC0}"/>
              </c:ext>
            </c:extLst>
          </c:dPt>
          <c:dPt>
            <c:idx val="33"/>
            <c:bubble3D val="0"/>
            <c:spPr>
              <a:noFill/>
            </c:spPr>
            <c:extLst>
              <c:ext xmlns:c16="http://schemas.microsoft.com/office/drawing/2014/chart" uri="{C3380CC4-5D6E-409C-BE32-E72D297353CC}">
                <c16:uniqueId val="{00000043-7702-4CA8-9CE2-E20180726DC0}"/>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702-4CA8-9CE2-E20180726DC0}"/>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5967-44E0-85C3-B9536C6F9109}"/>
              </c:ext>
            </c:extLst>
          </c:dPt>
          <c:dPt>
            <c:idx val="1"/>
            <c:bubble3D val="0"/>
            <c:spPr>
              <a:solidFill>
                <a:srgbClr val="054680"/>
              </a:solidFill>
              <a:ln>
                <a:noFill/>
              </a:ln>
            </c:spPr>
            <c:extLst>
              <c:ext xmlns:c16="http://schemas.microsoft.com/office/drawing/2014/chart" uri="{C3380CC4-5D6E-409C-BE32-E72D297353CC}">
                <c16:uniqueId val="{00000003-5967-44E0-85C3-B9536C6F9109}"/>
              </c:ext>
            </c:extLst>
          </c:dPt>
          <c:dPt>
            <c:idx val="2"/>
            <c:bubble3D val="0"/>
            <c:spPr>
              <a:noFill/>
            </c:spPr>
            <c:extLst>
              <c:ext xmlns:c16="http://schemas.microsoft.com/office/drawing/2014/chart" uri="{C3380CC4-5D6E-409C-BE32-E72D297353CC}">
                <c16:uniqueId val="{00000005-5967-44E0-85C3-B9536C6F9109}"/>
              </c:ext>
            </c:extLst>
          </c:dPt>
          <c:dPt>
            <c:idx val="3"/>
            <c:bubble3D val="0"/>
            <c:spPr>
              <a:solidFill>
                <a:srgbClr val="CBE4EB"/>
              </a:solidFill>
              <a:ln>
                <a:noFill/>
              </a:ln>
            </c:spPr>
            <c:extLst>
              <c:ext xmlns:c16="http://schemas.microsoft.com/office/drawing/2014/chart" uri="{C3380CC4-5D6E-409C-BE32-E72D297353CC}">
                <c16:uniqueId val="{00000007-5967-44E0-85C3-B9536C6F9109}"/>
              </c:ext>
            </c:extLst>
          </c:dPt>
          <c:dPt>
            <c:idx val="4"/>
            <c:bubble3D val="0"/>
            <c:spPr>
              <a:solidFill>
                <a:srgbClr val="007AC5"/>
              </a:solidFill>
              <a:ln>
                <a:noFill/>
              </a:ln>
            </c:spPr>
            <c:extLst>
              <c:ext xmlns:c16="http://schemas.microsoft.com/office/drawing/2014/chart" uri="{C3380CC4-5D6E-409C-BE32-E72D297353CC}">
                <c16:uniqueId val="{00000009-5967-44E0-85C3-B9536C6F9109}"/>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967-44E0-85C3-B9536C6F9109}"/>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D0E-40F7-B139-9783D423585A}"/>
              </c:ext>
            </c:extLst>
          </c:dPt>
          <c:dPt>
            <c:idx val="1"/>
            <c:bubble3D val="0"/>
            <c:spPr>
              <a:solidFill>
                <a:schemeClr val="tx1"/>
              </a:solidFill>
              <a:ln>
                <a:noFill/>
              </a:ln>
            </c:spPr>
            <c:extLst>
              <c:ext xmlns:c16="http://schemas.microsoft.com/office/drawing/2014/chart" uri="{C3380CC4-5D6E-409C-BE32-E72D297353CC}">
                <c16:uniqueId val="{00000003-1D0E-40F7-B139-9783D423585A}"/>
              </c:ext>
            </c:extLst>
          </c:dPt>
          <c:dPt>
            <c:idx val="2"/>
            <c:bubble3D val="0"/>
            <c:spPr>
              <a:noFill/>
            </c:spPr>
            <c:extLst>
              <c:ext xmlns:c16="http://schemas.microsoft.com/office/drawing/2014/chart" uri="{C3380CC4-5D6E-409C-BE32-E72D297353CC}">
                <c16:uniqueId val="{00000005-1D0E-40F7-B139-9783D423585A}"/>
              </c:ext>
            </c:extLst>
          </c:dPt>
          <c:dPt>
            <c:idx val="3"/>
            <c:bubble3D val="0"/>
            <c:spPr>
              <a:noFill/>
            </c:spPr>
            <c:extLst>
              <c:ext xmlns:c16="http://schemas.microsoft.com/office/drawing/2014/chart" uri="{C3380CC4-5D6E-409C-BE32-E72D297353CC}">
                <c16:uniqueId val="{00000007-1D0E-40F7-B139-9783D423585A}"/>
              </c:ext>
            </c:extLst>
          </c:dPt>
          <c:dPt>
            <c:idx val="4"/>
            <c:bubble3D val="0"/>
            <c:spPr>
              <a:solidFill>
                <a:schemeClr val="tx1"/>
              </a:solidFill>
              <a:ln>
                <a:noFill/>
              </a:ln>
            </c:spPr>
            <c:extLst>
              <c:ext xmlns:c16="http://schemas.microsoft.com/office/drawing/2014/chart" uri="{C3380CC4-5D6E-409C-BE32-E72D297353CC}">
                <c16:uniqueId val="{00000009-1D0E-40F7-B139-9783D423585A}"/>
              </c:ext>
            </c:extLst>
          </c:dPt>
          <c:dPt>
            <c:idx val="5"/>
            <c:bubble3D val="0"/>
            <c:spPr>
              <a:noFill/>
            </c:spPr>
            <c:extLst>
              <c:ext xmlns:c16="http://schemas.microsoft.com/office/drawing/2014/chart" uri="{C3380CC4-5D6E-409C-BE32-E72D297353CC}">
                <c16:uniqueId val="{0000000B-1D0E-40F7-B139-9783D423585A}"/>
              </c:ext>
            </c:extLst>
          </c:dPt>
          <c:dPt>
            <c:idx val="6"/>
            <c:bubble3D val="0"/>
            <c:spPr>
              <a:noFill/>
            </c:spPr>
            <c:extLst>
              <c:ext xmlns:c16="http://schemas.microsoft.com/office/drawing/2014/chart" uri="{C3380CC4-5D6E-409C-BE32-E72D297353CC}">
                <c16:uniqueId val="{0000000D-1D0E-40F7-B139-9783D423585A}"/>
              </c:ext>
            </c:extLst>
          </c:dPt>
          <c:dPt>
            <c:idx val="7"/>
            <c:bubble3D val="0"/>
            <c:spPr>
              <a:solidFill>
                <a:schemeClr val="tx1"/>
              </a:solidFill>
              <a:ln>
                <a:noFill/>
              </a:ln>
            </c:spPr>
            <c:extLst>
              <c:ext xmlns:c16="http://schemas.microsoft.com/office/drawing/2014/chart" uri="{C3380CC4-5D6E-409C-BE32-E72D297353CC}">
                <c16:uniqueId val="{0000000F-1D0E-40F7-B139-9783D423585A}"/>
              </c:ext>
            </c:extLst>
          </c:dPt>
          <c:dPt>
            <c:idx val="8"/>
            <c:bubble3D val="0"/>
            <c:spPr>
              <a:noFill/>
            </c:spPr>
            <c:extLst>
              <c:ext xmlns:c16="http://schemas.microsoft.com/office/drawing/2014/chart" uri="{C3380CC4-5D6E-409C-BE32-E72D297353CC}">
                <c16:uniqueId val="{00000011-1D0E-40F7-B139-9783D423585A}"/>
              </c:ext>
            </c:extLst>
          </c:dPt>
          <c:dPt>
            <c:idx val="9"/>
            <c:bubble3D val="0"/>
            <c:spPr>
              <a:noFill/>
            </c:spPr>
            <c:extLst>
              <c:ext xmlns:c16="http://schemas.microsoft.com/office/drawing/2014/chart" uri="{C3380CC4-5D6E-409C-BE32-E72D297353CC}">
                <c16:uniqueId val="{00000013-1D0E-40F7-B139-9783D423585A}"/>
              </c:ext>
            </c:extLst>
          </c:dPt>
          <c:dPt>
            <c:idx val="10"/>
            <c:bubble3D val="0"/>
            <c:spPr>
              <a:solidFill>
                <a:schemeClr val="tx1"/>
              </a:solidFill>
            </c:spPr>
            <c:extLst>
              <c:ext xmlns:c16="http://schemas.microsoft.com/office/drawing/2014/chart" uri="{C3380CC4-5D6E-409C-BE32-E72D297353CC}">
                <c16:uniqueId val="{00000015-1D0E-40F7-B139-9783D423585A}"/>
              </c:ext>
            </c:extLst>
          </c:dPt>
          <c:dPt>
            <c:idx val="11"/>
            <c:bubble3D val="0"/>
            <c:spPr>
              <a:noFill/>
            </c:spPr>
            <c:extLst>
              <c:ext xmlns:c16="http://schemas.microsoft.com/office/drawing/2014/chart" uri="{C3380CC4-5D6E-409C-BE32-E72D297353CC}">
                <c16:uniqueId val="{00000017-1D0E-40F7-B139-9783D423585A}"/>
              </c:ext>
            </c:extLst>
          </c:dPt>
          <c:dPt>
            <c:idx val="12"/>
            <c:bubble3D val="0"/>
            <c:spPr>
              <a:noFill/>
            </c:spPr>
            <c:extLst>
              <c:ext xmlns:c16="http://schemas.microsoft.com/office/drawing/2014/chart" uri="{C3380CC4-5D6E-409C-BE32-E72D297353CC}">
                <c16:uniqueId val="{00000019-1D0E-40F7-B139-9783D423585A}"/>
              </c:ext>
            </c:extLst>
          </c:dPt>
          <c:dPt>
            <c:idx val="13"/>
            <c:bubble3D val="0"/>
            <c:spPr>
              <a:solidFill>
                <a:schemeClr val="tx1"/>
              </a:solidFill>
            </c:spPr>
            <c:extLst>
              <c:ext xmlns:c16="http://schemas.microsoft.com/office/drawing/2014/chart" uri="{C3380CC4-5D6E-409C-BE32-E72D297353CC}">
                <c16:uniqueId val="{0000001B-1D0E-40F7-B139-9783D423585A}"/>
              </c:ext>
            </c:extLst>
          </c:dPt>
          <c:dPt>
            <c:idx val="14"/>
            <c:bubble3D val="0"/>
            <c:spPr>
              <a:noFill/>
            </c:spPr>
            <c:extLst>
              <c:ext xmlns:c16="http://schemas.microsoft.com/office/drawing/2014/chart" uri="{C3380CC4-5D6E-409C-BE32-E72D297353CC}">
                <c16:uniqueId val="{0000001D-1D0E-40F7-B139-9783D423585A}"/>
              </c:ext>
            </c:extLst>
          </c:dPt>
          <c:dPt>
            <c:idx val="15"/>
            <c:bubble3D val="0"/>
            <c:spPr>
              <a:noFill/>
            </c:spPr>
            <c:extLst>
              <c:ext xmlns:c16="http://schemas.microsoft.com/office/drawing/2014/chart" uri="{C3380CC4-5D6E-409C-BE32-E72D297353CC}">
                <c16:uniqueId val="{0000001F-1D0E-40F7-B139-9783D423585A}"/>
              </c:ext>
            </c:extLst>
          </c:dPt>
          <c:dPt>
            <c:idx val="16"/>
            <c:bubble3D val="0"/>
            <c:spPr>
              <a:solidFill>
                <a:schemeClr val="tx1"/>
              </a:solidFill>
            </c:spPr>
            <c:extLst>
              <c:ext xmlns:c16="http://schemas.microsoft.com/office/drawing/2014/chart" uri="{C3380CC4-5D6E-409C-BE32-E72D297353CC}">
                <c16:uniqueId val="{00000021-1D0E-40F7-B139-9783D423585A}"/>
              </c:ext>
            </c:extLst>
          </c:dPt>
          <c:dPt>
            <c:idx val="17"/>
            <c:bubble3D val="0"/>
            <c:spPr>
              <a:noFill/>
            </c:spPr>
            <c:extLst>
              <c:ext xmlns:c16="http://schemas.microsoft.com/office/drawing/2014/chart" uri="{C3380CC4-5D6E-409C-BE32-E72D297353CC}">
                <c16:uniqueId val="{00000023-1D0E-40F7-B139-9783D423585A}"/>
              </c:ext>
            </c:extLst>
          </c:dPt>
          <c:dPt>
            <c:idx val="18"/>
            <c:bubble3D val="0"/>
            <c:spPr>
              <a:noFill/>
            </c:spPr>
            <c:extLst>
              <c:ext xmlns:c16="http://schemas.microsoft.com/office/drawing/2014/chart" uri="{C3380CC4-5D6E-409C-BE32-E72D297353CC}">
                <c16:uniqueId val="{00000025-1D0E-40F7-B139-9783D423585A}"/>
              </c:ext>
            </c:extLst>
          </c:dPt>
          <c:dPt>
            <c:idx val="19"/>
            <c:bubble3D val="0"/>
            <c:spPr>
              <a:solidFill>
                <a:schemeClr val="tx1"/>
              </a:solidFill>
            </c:spPr>
            <c:extLst>
              <c:ext xmlns:c16="http://schemas.microsoft.com/office/drawing/2014/chart" uri="{C3380CC4-5D6E-409C-BE32-E72D297353CC}">
                <c16:uniqueId val="{00000027-1D0E-40F7-B139-9783D423585A}"/>
              </c:ext>
            </c:extLst>
          </c:dPt>
          <c:dPt>
            <c:idx val="20"/>
            <c:bubble3D val="0"/>
            <c:spPr>
              <a:noFill/>
            </c:spPr>
            <c:extLst>
              <c:ext xmlns:c16="http://schemas.microsoft.com/office/drawing/2014/chart" uri="{C3380CC4-5D6E-409C-BE32-E72D297353CC}">
                <c16:uniqueId val="{00000029-1D0E-40F7-B139-9783D423585A}"/>
              </c:ext>
            </c:extLst>
          </c:dPt>
          <c:dPt>
            <c:idx val="21"/>
            <c:bubble3D val="0"/>
            <c:spPr>
              <a:noFill/>
            </c:spPr>
            <c:extLst>
              <c:ext xmlns:c16="http://schemas.microsoft.com/office/drawing/2014/chart" uri="{C3380CC4-5D6E-409C-BE32-E72D297353CC}">
                <c16:uniqueId val="{0000002B-1D0E-40F7-B139-9783D423585A}"/>
              </c:ext>
            </c:extLst>
          </c:dPt>
          <c:dPt>
            <c:idx val="22"/>
            <c:bubble3D val="0"/>
            <c:spPr>
              <a:solidFill>
                <a:schemeClr val="tx1"/>
              </a:solidFill>
            </c:spPr>
            <c:extLst>
              <c:ext xmlns:c16="http://schemas.microsoft.com/office/drawing/2014/chart" uri="{C3380CC4-5D6E-409C-BE32-E72D297353CC}">
                <c16:uniqueId val="{0000002D-1D0E-40F7-B139-9783D423585A}"/>
              </c:ext>
            </c:extLst>
          </c:dPt>
          <c:dPt>
            <c:idx val="23"/>
            <c:bubble3D val="0"/>
            <c:spPr>
              <a:noFill/>
            </c:spPr>
            <c:extLst>
              <c:ext xmlns:c16="http://schemas.microsoft.com/office/drawing/2014/chart" uri="{C3380CC4-5D6E-409C-BE32-E72D297353CC}">
                <c16:uniqueId val="{0000002F-1D0E-40F7-B139-9783D423585A}"/>
              </c:ext>
            </c:extLst>
          </c:dPt>
          <c:dPt>
            <c:idx val="24"/>
            <c:bubble3D val="0"/>
            <c:spPr>
              <a:noFill/>
            </c:spPr>
            <c:extLst>
              <c:ext xmlns:c16="http://schemas.microsoft.com/office/drawing/2014/chart" uri="{C3380CC4-5D6E-409C-BE32-E72D297353CC}">
                <c16:uniqueId val="{00000031-1D0E-40F7-B139-9783D423585A}"/>
              </c:ext>
            </c:extLst>
          </c:dPt>
          <c:dPt>
            <c:idx val="25"/>
            <c:bubble3D val="0"/>
            <c:spPr>
              <a:solidFill>
                <a:schemeClr val="tx1"/>
              </a:solidFill>
            </c:spPr>
            <c:extLst>
              <c:ext xmlns:c16="http://schemas.microsoft.com/office/drawing/2014/chart" uri="{C3380CC4-5D6E-409C-BE32-E72D297353CC}">
                <c16:uniqueId val="{00000033-1D0E-40F7-B139-9783D423585A}"/>
              </c:ext>
            </c:extLst>
          </c:dPt>
          <c:dPt>
            <c:idx val="26"/>
            <c:bubble3D val="0"/>
            <c:spPr>
              <a:noFill/>
            </c:spPr>
            <c:extLst>
              <c:ext xmlns:c16="http://schemas.microsoft.com/office/drawing/2014/chart" uri="{C3380CC4-5D6E-409C-BE32-E72D297353CC}">
                <c16:uniqueId val="{00000035-1D0E-40F7-B139-9783D423585A}"/>
              </c:ext>
            </c:extLst>
          </c:dPt>
          <c:dPt>
            <c:idx val="27"/>
            <c:bubble3D val="0"/>
            <c:spPr>
              <a:noFill/>
            </c:spPr>
            <c:extLst>
              <c:ext xmlns:c16="http://schemas.microsoft.com/office/drawing/2014/chart" uri="{C3380CC4-5D6E-409C-BE32-E72D297353CC}">
                <c16:uniqueId val="{00000037-1D0E-40F7-B139-9783D423585A}"/>
              </c:ext>
            </c:extLst>
          </c:dPt>
          <c:dPt>
            <c:idx val="28"/>
            <c:bubble3D val="0"/>
            <c:spPr>
              <a:solidFill>
                <a:schemeClr val="tx1"/>
              </a:solidFill>
            </c:spPr>
            <c:extLst>
              <c:ext xmlns:c16="http://schemas.microsoft.com/office/drawing/2014/chart" uri="{C3380CC4-5D6E-409C-BE32-E72D297353CC}">
                <c16:uniqueId val="{00000039-1D0E-40F7-B139-9783D423585A}"/>
              </c:ext>
            </c:extLst>
          </c:dPt>
          <c:dPt>
            <c:idx val="29"/>
            <c:bubble3D val="0"/>
            <c:spPr>
              <a:noFill/>
            </c:spPr>
            <c:extLst>
              <c:ext xmlns:c16="http://schemas.microsoft.com/office/drawing/2014/chart" uri="{C3380CC4-5D6E-409C-BE32-E72D297353CC}">
                <c16:uniqueId val="{0000003B-1D0E-40F7-B139-9783D423585A}"/>
              </c:ext>
            </c:extLst>
          </c:dPt>
          <c:dPt>
            <c:idx val="30"/>
            <c:bubble3D val="0"/>
            <c:spPr>
              <a:noFill/>
            </c:spPr>
            <c:extLst>
              <c:ext xmlns:c16="http://schemas.microsoft.com/office/drawing/2014/chart" uri="{C3380CC4-5D6E-409C-BE32-E72D297353CC}">
                <c16:uniqueId val="{0000003D-1D0E-40F7-B139-9783D423585A}"/>
              </c:ext>
            </c:extLst>
          </c:dPt>
          <c:dPt>
            <c:idx val="31"/>
            <c:bubble3D val="0"/>
            <c:spPr>
              <a:solidFill>
                <a:schemeClr val="tx1"/>
              </a:solidFill>
            </c:spPr>
            <c:extLst>
              <c:ext xmlns:c16="http://schemas.microsoft.com/office/drawing/2014/chart" uri="{C3380CC4-5D6E-409C-BE32-E72D297353CC}">
                <c16:uniqueId val="{0000003F-1D0E-40F7-B139-9783D423585A}"/>
              </c:ext>
            </c:extLst>
          </c:dPt>
          <c:dPt>
            <c:idx val="32"/>
            <c:bubble3D val="0"/>
            <c:spPr>
              <a:noFill/>
            </c:spPr>
            <c:extLst>
              <c:ext xmlns:c16="http://schemas.microsoft.com/office/drawing/2014/chart" uri="{C3380CC4-5D6E-409C-BE32-E72D297353CC}">
                <c16:uniqueId val="{00000041-1D0E-40F7-B139-9783D423585A}"/>
              </c:ext>
            </c:extLst>
          </c:dPt>
          <c:dPt>
            <c:idx val="33"/>
            <c:bubble3D val="0"/>
            <c:spPr>
              <a:noFill/>
            </c:spPr>
            <c:extLst>
              <c:ext xmlns:c16="http://schemas.microsoft.com/office/drawing/2014/chart" uri="{C3380CC4-5D6E-409C-BE32-E72D297353CC}">
                <c16:uniqueId val="{00000043-1D0E-40F7-B139-9783D423585A}"/>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D0E-40F7-B139-9783D423585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6E98-4252-A2A3-5E4D2B8A5B81}"/>
              </c:ext>
            </c:extLst>
          </c:dPt>
          <c:dPt>
            <c:idx val="1"/>
            <c:bubble3D val="0"/>
            <c:spPr>
              <a:solidFill>
                <a:srgbClr val="054680"/>
              </a:solidFill>
              <a:ln>
                <a:noFill/>
              </a:ln>
            </c:spPr>
            <c:extLst>
              <c:ext xmlns:c16="http://schemas.microsoft.com/office/drawing/2014/chart" uri="{C3380CC4-5D6E-409C-BE32-E72D297353CC}">
                <c16:uniqueId val="{00000003-6E98-4252-A2A3-5E4D2B8A5B81}"/>
              </c:ext>
            </c:extLst>
          </c:dPt>
          <c:dPt>
            <c:idx val="2"/>
            <c:bubble3D val="0"/>
            <c:spPr>
              <a:noFill/>
            </c:spPr>
            <c:extLst>
              <c:ext xmlns:c16="http://schemas.microsoft.com/office/drawing/2014/chart" uri="{C3380CC4-5D6E-409C-BE32-E72D297353CC}">
                <c16:uniqueId val="{00000005-6E98-4252-A2A3-5E4D2B8A5B81}"/>
              </c:ext>
            </c:extLst>
          </c:dPt>
          <c:dPt>
            <c:idx val="3"/>
            <c:bubble3D val="0"/>
            <c:spPr>
              <a:solidFill>
                <a:srgbClr val="CBE4EB"/>
              </a:solidFill>
              <a:ln>
                <a:noFill/>
              </a:ln>
            </c:spPr>
            <c:extLst>
              <c:ext xmlns:c16="http://schemas.microsoft.com/office/drawing/2014/chart" uri="{C3380CC4-5D6E-409C-BE32-E72D297353CC}">
                <c16:uniqueId val="{00000007-6E98-4252-A2A3-5E4D2B8A5B81}"/>
              </c:ext>
            </c:extLst>
          </c:dPt>
          <c:dPt>
            <c:idx val="4"/>
            <c:bubble3D val="0"/>
            <c:spPr>
              <a:solidFill>
                <a:srgbClr val="007AC5"/>
              </a:solidFill>
              <a:ln>
                <a:noFill/>
              </a:ln>
            </c:spPr>
            <c:extLst>
              <c:ext xmlns:c16="http://schemas.microsoft.com/office/drawing/2014/chart" uri="{C3380CC4-5D6E-409C-BE32-E72D297353CC}">
                <c16:uniqueId val="{00000009-6E98-4252-A2A3-5E4D2B8A5B8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E98-4252-A2A3-5E4D2B8A5B8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70A-4711-B45E-EF09312F52F9}"/>
              </c:ext>
            </c:extLst>
          </c:dPt>
          <c:dPt>
            <c:idx val="1"/>
            <c:bubble3D val="0"/>
            <c:spPr>
              <a:solidFill>
                <a:schemeClr val="tx1"/>
              </a:solidFill>
              <a:ln>
                <a:noFill/>
              </a:ln>
            </c:spPr>
            <c:extLst>
              <c:ext xmlns:c16="http://schemas.microsoft.com/office/drawing/2014/chart" uri="{C3380CC4-5D6E-409C-BE32-E72D297353CC}">
                <c16:uniqueId val="{00000003-870A-4711-B45E-EF09312F52F9}"/>
              </c:ext>
            </c:extLst>
          </c:dPt>
          <c:dPt>
            <c:idx val="2"/>
            <c:bubble3D val="0"/>
            <c:spPr>
              <a:noFill/>
            </c:spPr>
            <c:extLst>
              <c:ext xmlns:c16="http://schemas.microsoft.com/office/drawing/2014/chart" uri="{C3380CC4-5D6E-409C-BE32-E72D297353CC}">
                <c16:uniqueId val="{00000005-870A-4711-B45E-EF09312F52F9}"/>
              </c:ext>
            </c:extLst>
          </c:dPt>
          <c:dPt>
            <c:idx val="3"/>
            <c:bubble3D val="0"/>
            <c:spPr>
              <a:noFill/>
            </c:spPr>
            <c:extLst>
              <c:ext xmlns:c16="http://schemas.microsoft.com/office/drawing/2014/chart" uri="{C3380CC4-5D6E-409C-BE32-E72D297353CC}">
                <c16:uniqueId val="{00000007-870A-4711-B45E-EF09312F52F9}"/>
              </c:ext>
            </c:extLst>
          </c:dPt>
          <c:dPt>
            <c:idx val="4"/>
            <c:bubble3D val="0"/>
            <c:spPr>
              <a:solidFill>
                <a:schemeClr val="tx1"/>
              </a:solidFill>
              <a:ln>
                <a:noFill/>
              </a:ln>
            </c:spPr>
            <c:extLst>
              <c:ext xmlns:c16="http://schemas.microsoft.com/office/drawing/2014/chart" uri="{C3380CC4-5D6E-409C-BE32-E72D297353CC}">
                <c16:uniqueId val="{00000009-870A-4711-B45E-EF09312F52F9}"/>
              </c:ext>
            </c:extLst>
          </c:dPt>
          <c:dPt>
            <c:idx val="5"/>
            <c:bubble3D val="0"/>
            <c:spPr>
              <a:noFill/>
            </c:spPr>
            <c:extLst>
              <c:ext xmlns:c16="http://schemas.microsoft.com/office/drawing/2014/chart" uri="{C3380CC4-5D6E-409C-BE32-E72D297353CC}">
                <c16:uniqueId val="{0000000B-870A-4711-B45E-EF09312F52F9}"/>
              </c:ext>
            </c:extLst>
          </c:dPt>
          <c:dPt>
            <c:idx val="6"/>
            <c:bubble3D val="0"/>
            <c:spPr>
              <a:noFill/>
            </c:spPr>
            <c:extLst>
              <c:ext xmlns:c16="http://schemas.microsoft.com/office/drawing/2014/chart" uri="{C3380CC4-5D6E-409C-BE32-E72D297353CC}">
                <c16:uniqueId val="{0000000D-870A-4711-B45E-EF09312F52F9}"/>
              </c:ext>
            </c:extLst>
          </c:dPt>
          <c:dPt>
            <c:idx val="7"/>
            <c:bubble3D val="0"/>
            <c:spPr>
              <a:solidFill>
                <a:schemeClr val="tx1"/>
              </a:solidFill>
              <a:ln>
                <a:noFill/>
              </a:ln>
            </c:spPr>
            <c:extLst>
              <c:ext xmlns:c16="http://schemas.microsoft.com/office/drawing/2014/chart" uri="{C3380CC4-5D6E-409C-BE32-E72D297353CC}">
                <c16:uniqueId val="{0000000F-870A-4711-B45E-EF09312F52F9}"/>
              </c:ext>
            </c:extLst>
          </c:dPt>
          <c:dPt>
            <c:idx val="8"/>
            <c:bubble3D val="0"/>
            <c:spPr>
              <a:noFill/>
            </c:spPr>
            <c:extLst>
              <c:ext xmlns:c16="http://schemas.microsoft.com/office/drawing/2014/chart" uri="{C3380CC4-5D6E-409C-BE32-E72D297353CC}">
                <c16:uniqueId val="{00000011-870A-4711-B45E-EF09312F52F9}"/>
              </c:ext>
            </c:extLst>
          </c:dPt>
          <c:dPt>
            <c:idx val="9"/>
            <c:bubble3D val="0"/>
            <c:spPr>
              <a:noFill/>
            </c:spPr>
            <c:extLst>
              <c:ext xmlns:c16="http://schemas.microsoft.com/office/drawing/2014/chart" uri="{C3380CC4-5D6E-409C-BE32-E72D297353CC}">
                <c16:uniqueId val="{00000013-870A-4711-B45E-EF09312F52F9}"/>
              </c:ext>
            </c:extLst>
          </c:dPt>
          <c:dPt>
            <c:idx val="10"/>
            <c:bubble3D val="0"/>
            <c:spPr>
              <a:solidFill>
                <a:schemeClr val="tx1"/>
              </a:solidFill>
            </c:spPr>
            <c:extLst>
              <c:ext xmlns:c16="http://schemas.microsoft.com/office/drawing/2014/chart" uri="{C3380CC4-5D6E-409C-BE32-E72D297353CC}">
                <c16:uniqueId val="{00000015-870A-4711-B45E-EF09312F52F9}"/>
              </c:ext>
            </c:extLst>
          </c:dPt>
          <c:dPt>
            <c:idx val="11"/>
            <c:bubble3D val="0"/>
            <c:spPr>
              <a:noFill/>
            </c:spPr>
            <c:extLst>
              <c:ext xmlns:c16="http://schemas.microsoft.com/office/drawing/2014/chart" uri="{C3380CC4-5D6E-409C-BE32-E72D297353CC}">
                <c16:uniqueId val="{00000017-870A-4711-B45E-EF09312F52F9}"/>
              </c:ext>
            </c:extLst>
          </c:dPt>
          <c:dPt>
            <c:idx val="12"/>
            <c:bubble3D val="0"/>
            <c:spPr>
              <a:noFill/>
            </c:spPr>
            <c:extLst>
              <c:ext xmlns:c16="http://schemas.microsoft.com/office/drawing/2014/chart" uri="{C3380CC4-5D6E-409C-BE32-E72D297353CC}">
                <c16:uniqueId val="{00000019-870A-4711-B45E-EF09312F52F9}"/>
              </c:ext>
            </c:extLst>
          </c:dPt>
          <c:dPt>
            <c:idx val="13"/>
            <c:bubble3D val="0"/>
            <c:spPr>
              <a:solidFill>
                <a:schemeClr val="tx1"/>
              </a:solidFill>
            </c:spPr>
            <c:extLst>
              <c:ext xmlns:c16="http://schemas.microsoft.com/office/drawing/2014/chart" uri="{C3380CC4-5D6E-409C-BE32-E72D297353CC}">
                <c16:uniqueId val="{0000001B-870A-4711-B45E-EF09312F52F9}"/>
              </c:ext>
            </c:extLst>
          </c:dPt>
          <c:dPt>
            <c:idx val="14"/>
            <c:bubble3D val="0"/>
            <c:spPr>
              <a:noFill/>
            </c:spPr>
            <c:extLst>
              <c:ext xmlns:c16="http://schemas.microsoft.com/office/drawing/2014/chart" uri="{C3380CC4-5D6E-409C-BE32-E72D297353CC}">
                <c16:uniqueId val="{0000001D-870A-4711-B45E-EF09312F52F9}"/>
              </c:ext>
            </c:extLst>
          </c:dPt>
          <c:dPt>
            <c:idx val="15"/>
            <c:bubble3D val="0"/>
            <c:spPr>
              <a:noFill/>
            </c:spPr>
            <c:extLst>
              <c:ext xmlns:c16="http://schemas.microsoft.com/office/drawing/2014/chart" uri="{C3380CC4-5D6E-409C-BE32-E72D297353CC}">
                <c16:uniqueId val="{0000001F-870A-4711-B45E-EF09312F52F9}"/>
              </c:ext>
            </c:extLst>
          </c:dPt>
          <c:dPt>
            <c:idx val="16"/>
            <c:bubble3D val="0"/>
            <c:spPr>
              <a:solidFill>
                <a:schemeClr val="tx1"/>
              </a:solidFill>
            </c:spPr>
            <c:extLst>
              <c:ext xmlns:c16="http://schemas.microsoft.com/office/drawing/2014/chart" uri="{C3380CC4-5D6E-409C-BE32-E72D297353CC}">
                <c16:uniqueId val="{00000021-870A-4711-B45E-EF09312F52F9}"/>
              </c:ext>
            </c:extLst>
          </c:dPt>
          <c:dPt>
            <c:idx val="17"/>
            <c:bubble3D val="0"/>
            <c:spPr>
              <a:noFill/>
            </c:spPr>
            <c:extLst>
              <c:ext xmlns:c16="http://schemas.microsoft.com/office/drawing/2014/chart" uri="{C3380CC4-5D6E-409C-BE32-E72D297353CC}">
                <c16:uniqueId val="{00000023-870A-4711-B45E-EF09312F52F9}"/>
              </c:ext>
            </c:extLst>
          </c:dPt>
          <c:dPt>
            <c:idx val="18"/>
            <c:bubble3D val="0"/>
            <c:spPr>
              <a:noFill/>
            </c:spPr>
            <c:extLst>
              <c:ext xmlns:c16="http://schemas.microsoft.com/office/drawing/2014/chart" uri="{C3380CC4-5D6E-409C-BE32-E72D297353CC}">
                <c16:uniqueId val="{00000025-870A-4711-B45E-EF09312F52F9}"/>
              </c:ext>
            </c:extLst>
          </c:dPt>
          <c:dPt>
            <c:idx val="19"/>
            <c:bubble3D val="0"/>
            <c:spPr>
              <a:solidFill>
                <a:schemeClr val="tx1"/>
              </a:solidFill>
            </c:spPr>
            <c:extLst>
              <c:ext xmlns:c16="http://schemas.microsoft.com/office/drawing/2014/chart" uri="{C3380CC4-5D6E-409C-BE32-E72D297353CC}">
                <c16:uniqueId val="{00000027-870A-4711-B45E-EF09312F52F9}"/>
              </c:ext>
            </c:extLst>
          </c:dPt>
          <c:dPt>
            <c:idx val="20"/>
            <c:bubble3D val="0"/>
            <c:spPr>
              <a:noFill/>
            </c:spPr>
            <c:extLst>
              <c:ext xmlns:c16="http://schemas.microsoft.com/office/drawing/2014/chart" uri="{C3380CC4-5D6E-409C-BE32-E72D297353CC}">
                <c16:uniqueId val="{00000029-870A-4711-B45E-EF09312F52F9}"/>
              </c:ext>
            </c:extLst>
          </c:dPt>
          <c:dPt>
            <c:idx val="21"/>
            <c:bubble3D val="0"/>
            <c:spPr>
              <a:noFill/>
            </c:spPr>
            <c:extLst>
              <c:ext xmlns:c16="http://schemas.microsoft.com/office/drawing/2014/chart" uri="{C3380CC4-5D6E-409C-BE32-E72D297353CC}">
                <c16:uniqueId val="{0000002B-870A-4711-B45E-EF09312F52F9}"/>
              </c:ext>
            </c:extLst>
          </c:dPt>
          <c:dPt>
            <c:idx val="22"/>
            <c:bubble3D val="0"/>
            <c:spPr>
              <a:solidFill>
                <a:schemeClr val="tx1"/>
              </a:solidFill>
            </c:spPr>
            <c:extLst>
              <c:ext xmlns:c16="http://schemas.microsoft.com/office/drawing/2014/chart" uri="{C3380CC4-5D6E-409C-BE32-E72D297353CC}">
                <c16:uniqueId val="{0000002D-870A-4711-B45E-EF09312F52F9}"/>
              </c:ext>
            </c:extLst>
          </c:dPt>
          <c:dPt>
            <c:idx val="23"/>
            <c:bubble3D val="0"/>
            <c:spPr>
              <a:noFill/>
            </c:spPr>
            <c:extLst>
              <c:ext xmlns:c16="http://schemas.microsoft.com/office/drawing/2014/chart" uri="{C3380CC4-5D6E-409C-BE32-E72D297353CC}">
                <c16:uniqueId val="{0000002F-870A-4711-B45E-EF09312F52F9}"/>
              </c:ext>
            </c:extLst>
          </c:dPt>
          <c:dPt>
            <c:idx val="24"/>
            <c:bubble3D val="0"/>
            <c:spPr>
              <a:noFill/>
            </c:spPr>
            <c:extLst>
              <c:ext xmlns:c16="http://schemas.microsoft.com/office/drawing/2014/chart" uri="{C3380CC4-5D6E-409C-BE32-E72D297353CC}">
                <c16:uniqueId val="{00000031-870A-4711-B45E-EF09312F52F9}"/>
              </c:ext>
            </c:extLst>
          </c:dPt>
          <c:dPt>
            <c:idx val="25"/>
            <c:bubble3D val="0"/>
            <c:spPr>
              <a:solidFill>
                <a:schemeClr val="tx1"/>
              </a:solidFill>
            </c:spPr>
            <c:extLst>
              <c:ext xmlns:c16="http://schemas.microsoft.com/office/drawing/2014/chart" uri="{C3380CC4-5D6E-409C-BE32-E72D297353CC}">
                <c16:uniqueId val="{00000033-870A-4711-B45E-EF09312F52F9}"/>
              </c:ext>
            </c:extLst>
          </c:dPt>
          <c:dPt>
            <c:idx val="26"/>
            <c:bubble3D val="0"/>
            <c:spPr>
              <a:noFill/>
            </c:spPr>
            <c:extLst>
              <c:ext xmlns:c16="http://schemas.microsoft.com/office/drawing/2014/chart" uri="{C3380CC4-5D6E-409C-BE32-E72D297353CC}">
                <c16:uniqueId val="{00000035-870A-4711-B45E-EF09312F52F9}"/>
              </c:ext>
            </c:extLst>
          </c:dPt>
          <c:dPt>
            <c:idx val="27"/>
            <c:bubble3D val="0"/>
            <c:spPr>
              <a:noFill/>
            </c:spPr>
            <c:extLst>
              <c:ext xmlns:c16="http://schemas.microsoft.com/office/drawing/2014/chart" uri="{C3380CC4-5D6E-409C-BE32-E72D297353CC}">
                <c16:uniqueId val="{00000037-870A-4711-B45E-EF09312F52F9}"/>
              </c:ext>
            </c:extLst>
          </c:dPt>
          <c:dPt>
            <c:idx val="28"/>
            <c:bubble3D val="0"/>
            <c:spPr>
              <a:solidFill>
                <a:schemeClr val="tx1"/>
              </a:solidFill>
            </c:spPr>
            <c:extLst>
              <c:ext xmlns:c16="http://schemas.microsoft.com/office/drawing/2014/chart" uri="{C3380CC4-5D6E-409C-BE32-E72D297353CC}">
                <c16:uniqueId val="{00000039-870A-4711-B45E-EF09312F52F9}"/>
              </c:ext>
            </c:extLst>
          </c:dPt>
          <c:dPt>
            <c:idx val="29"/>
            <c:bubble3D val="0"/>
            <c:spPr>
              <a:noFill/>
            </c:spPr>
            <c:extLst>
              <c:ext xmlns:c16="http://schemas.microsoft.com/office/drawing/2014/chart" uri="{C3380CC4-5D6E-409C-BE32-E72D297353CC}">
                <c16:uniqueId val="{0000003B-870A-4711-B45E-EF09312F52F9}"/>
              </c:ext>
            </c:extLst>
          </c:dPt>
          <c:dPt>
            <c:idx val="30"/>
            <c:bubble3D val="0"/>
            <c:spPr>
              <a:noFill/>
            </c:spPr>
            <c:extLst>
              <c:ext xmlns:c16="http://schemas.microsoft.com/office/drawing/2014/chart" uri="{C3380CC4-5D6E-409C-BE32-E72D297353CC}">
                <c16:uniqueId val="{0000003D-870A-4711-B45E-EF09312F52F9}"/>
              </c:ext>
            </c:extLst>
          </c:dPt>
          <c:dPt>
            <c:idx val="31"/>
            <c:bubble3D val="0"/>
            <c:spPr>
              <a:solidFill>
                <a:schemeClr val="tx1"/>
              </a:solidFill>
            </c:spPr>
            <c:extLst>
              <c:ext xmlns:c16="http://schemas.microsoft.com/office/drawing/2014/chart" uri="{C3380CC4-5D6E-409C-BE32-E72D297353CC}">
                <c16:uniqueId val="{0000003F-870A-4711-B45E-EF09312F52F9}"/>
              </c:ext>
            </c:extLst>
          </c:dPt>
          <c:dPt>
            <c:idx val="32"/>
            <c:bubble3D val="0"/>
            <c:spPr>
              <a:noFill/>
            </c:spPr>
            <c:extLst>
              <c:ext xmlns:c16="http://schemas.microsoft.com/office/drawing/2014/chart" uri="{C3380CC4-5D6E-409C-BE32-E72D297353CC}">
                <c16:uniqueId val="{00000041-870A-4711-B45E-EF09312F52F9}"/>
              </c:ext>
            </c:extLst>
          </c:dPt>
          <c:dPt>
            <c:idx val="33"/>
            <c:bubble3D val="0"/>
            <c:spPr>
              <a:noFill/>
            </c:spPr>
            <c:extLst>
              <c:ext xmlns:c16="http://schemas.microsoft.com/office/drawing/2014/chart" uri="{C3380CC4-5D6E-409C-BE32-E72D297353CC}">
                <c16:uniqueId val="{00000043-870A-4711-B45E-EF09312F52F9}"/>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70A-4711-B45E-EF09312F52F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AFE-40BD-9EDD-C3527A6171D0}"/>
              </c:ext>
            </c:extLst>
          </c:dPt>
          <c:dPt>
            <c:idx val="1"/>
            <c:bubble3D val="0"/>
            <c:spPr>
              <a:solidFill>
                <a:schemeClr val="accent3">
                  <a:lumMod val="50000"/>
                </a:schemeClr>
              </a:solidFill>
              <a:ln>
                <a:noFill/>
              </a:ln>
            </c:spPr>
            <c:extLst>
              <c:ext xmlns:c16="http://schemas.microsoft.com/office/drawing/2014/chart" uri="{C3380CC4-5D6E-409C-BE32-E72D297353CC}">
                <c16:uniqueId val="{00000003-6AFE-40BD-9EDD-C3527A6171D0}"/>
              </c:ext>
            </c:extLst>
          </c:dPt>
          <c:dPt>
            <c:idx val="2"/>
            <c:bubble3D val="0"/>
            <c:spPr>
              <a:noFill/>
            </c:spPr>
            <c:extLst>
              <c:ext xmlns:c16="http://schemas.microsoft.com/office/drawing/2014/chart" uri="{C3380CC4-5D6E-409C-BE32-E72D297353CC}">
                <c16:uniqueId val="{00000005-6AFE-40BD-9EDD-C3527A6171D0}"/>
              </c:ext>
            </c:extLst>
          </c:dPt>
          <c:dPt>
            <c:idx val="3"/>
            <c:bubble3D val="0"/>
            <c:spPr>
              <a:solidFill>
                <a:srgbClr val="CBE4EB"/>
              </a:solidFill>
              <a:ln>
                <a:noFill/>
              </a:ln>
            </c:spPr>
            <c:extLst>
              <c:ext xmlns:c16="http://schemas.microsoft.com/office/drawing/2014/chart" uri="{C3380CC4-5D6E-409C-BE32-E72D297353CC}">
                <c16:uniqueId val="{00000007-6AFE-40BD-9EDD-C3527A6171D0}"/>
              </c:ext>
            </c:extLst>
          </c:dPt>
          <c:dPt>
            <c:idx val="4"/>
            <c:bubble3D val="0"/>
            <c:spPr>
              <a:solidFill>
                <a:schemeClr val="accent3"/>
              </a:solidFill>
              <a:ln>
                <a:noFill/>
              </a:ln>
            </c:spPr>
            <c:extLst>
              <c:ext xmlns:c16="http://schemas.microsoft.com/office/drawing/2014/chart" uri="{C3380CC4-5D6E-409C-BE32-E72D297353CC}">
                <c16:uniqueId val="{00000009-6AFE-40BD-9EDD-C3527A6171D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AFE-40BD-9EDD-C3527A6171D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F47-4196-AEAB-D2407F70FB25}"/>
              </c:ext>
            </c:extLst>
          </c:dPt>
          <c:dPt>
            <c:idx val="1"/>
            <c:bubble3D val="0"/>
            <c:spPr>
              <a:solidFill>
                <a:schemeClr val="tx1"/>
              </a:solidFill>
              <a:ln>
                <a:noFill/>
              </a:ln>
            </c:spPr>
            <c:extLst>
              <c:ext xmlns:c16="http://schemas.microsoft.com/office/drawing/2014/chart" uri="{C3380CC4-5D6E-409C-BE32-E72D297353CC}">
                <c16:uniqueId val="{00000003-FF47-4196-AEAB-D2407F70FB25}"/>
              </c:ext>
            </c:extLst>
          </c:dPt>
          <c:dPt>
            <c:idx val="2"/>
            <c:bubble3D val="0"/>
            <c:spPr>
              <a:noFill/>
            </c:spPr>
            <c:extLst>
              <c:ext xmlns:c16="http://schemas.microsoft.com/office/drawing/2014/chart" uri="{C3380CC4-5D6E-409C-BE32-E72D297353CC}">
                <c16:uniqueId val="{00000005-FF47-4196-AEAB-D2407F70FB25}"/>
              </c:ext>
            </c:extLst>
          </c:dPt>
          <c:dPt>
            <c:idx val="3"/>
            <c:bubble3D val="0"/>
            <c:spPr>
              <a:noFill/>
            </c:spPr>
            <c:extLst>
              <c:ext xmlns:c16="http://schemas.microsoft.com/office/drawing/2014/chart" uri="{C3380CC4-5D6E-409C-BE32-E72D297353CC}">
                <c16:uniqueId val="{00000007-FF47-4196-AEAB-D2407F70FB25}"/>
              </c:ext>
            </c:extLst>
          </c:dPt>
          <c:dPt>
            <c:idx val="4"/>
            <c:bubble3D val="0"/>
            <c:spPr>
              <a:solidFill>
                <a:schemeClr val="tx1"/>
              </a:solidFill>
              <a:ln>
                <a:noFill/>
              </a:ln>
            </c:spPr>
            <c:extLst>
              <c:ext xmlns:c16="http://schemas.microsoft.com/office/drawing/2014/chart" uri="{C3380CC4-5D6E-409C-BE32-E72D297353CC}">
                <c16:uniqueId val="{00000009-FF47-4196-AEAB-D2407F70FB25}"/>
              </c:ext>
            </c:extLst>
          </c:dPt>
          <c:dPt>
            <c:idx val="5"/>
            <c:bubble3D val="0"/>
            <c:spPr>
              <a:noFill/>
            </c:spPr>
            <c:extLst>
              <c:ext xmlns:c16="http://schemas.microsoft.com/office/drawing/2014/chart" uri="{C3380CC4-5D6E-409C-BE32-E72D297353CC}">
                <c16:uniqueId val="{0000000B-FF47-4196-AEAB-D2407F70FB25}"/>
              </c:ext>
            </c:extLst>
          </c:dPt>
          <c:dPt>
            <c:idx val="6"/>
            <c:bubble3D val="0"/>
            <c:spPr>
              <a:noFill/>
            </c:spPr>
            <c:extLst>
              <c:ext xmlns:c16="http://schemas.microsoft.com/office/drawing/2014/chart" uri="{C3380CC4-5D6E-409C-BE32-E72D297353CC}">
                <c16:uniqueId val="{0000000D-FF47-4196-AEAB-D2407F70FB25}"/>
              </c:ext>
            </c:extLst>
          </c:dPt>
          <c:dPt>
            <c:idx val="7"/>
            <c:bubble3D val="0"/>
            <c:spPr>
              <a:solidFill>
                <a:schemeClr val="tx1"/>
              </a:solidFill>
              <a:ln>
                <a:noFill/>
              </a:ln>
            </c:spPr>
            <c:extLst>
              <c:ext xmlns:c16="http://schemas.microsoft.com/office/drawing/2014/chart" uri="{C3380CC4-5D6E-409C-BE32-E72D297353CC}">
                <c16:uniqueId val="{0000000F-FF47-4196-AEAB-D2407F70FB25}"/>
              </c:ext>
            </c:extLst>
          </c:dPt>
          <c:dPt>
            <c:idx val="8"/>
            <c:bubble3D val="0"/>
            <c:spPr>
              <a:noFill/>
            </c:spPr>
            <c:extLst>
              <c:ext xmlns:c16="http://schemas.microsoft.com/office/drawing/2014/chart" uri="{C3380CC4-5D6E-409C-BE32-E72D297353CC}">
                <c16:uniqueId val="{00000011-FF47-4196-AEAB-D2407F70FB25}"/>
              </c:ext>
            </c:extLst>
          </c:dPt>
          <c:dPt>
            <c:idx val="9"/>
            <c:bubble3D val="0"/>
            <c:spPr>
              <a:noFill/>
            </c:spPr>
            <c:extLst>
              <c:ext xmlns:c16="http://schemas.microsoft.com/office/drawing/2014/chart" uri="{C3380CC4-5D6E-409C-BE32-E72D297353CC}">
                <c16:uniqueId val="{00000013-FF47-4196-AEAB-D2407F70FB25}"/>
              </c:ext>
            </c:extLst>
          </c:dPt>
          <c:dPt>
            <c:idx val="10"/>
            <c:bubble3D val="0"/>
            <c:spPr>
              <a:solidFill>
                <a:schemeClr val="tx1"/>
              </a:solidFill>
            </c:spPr>
            <c:extLst>
              <c:ext xmlns:c16="http://schemas.microsoft.com/office/drawing/2014/chart" uri="{C3380CC4-5D6E-409C-BE32-E72D297353CC}">
                <c16:uniqueId val="{00000015-FF47-4196-AEAB-D2407F70FB25}"/>
              </c:ext>
            </c:extLst>
          </c:dPt>
          <c:dPt>
            <c:idx val="11"/>
            <c:bubble3D val="0"/>
            <c:spPr>
              <a:noFill/>
            </c:spPr>
            <c:extLst>
              <c:ext xmlns:c16="http://schemas.microsoft.com/office/drawing/2014/chart" uri="{C3380CC4-5D6E-409C-BE32-E72D297353CC}">
                <c16:uniqueId val="{00000017-FF47-4196-AEAB-D2407F70FB25}"/>
              </c:ext>
            </c:extLst>
          </c:dPt>
          <c:dPt>
            <c:idx val="12"/>
            <c:bubble3D val="0"/>
            <c:spPr>
              <a:noFill/>
            </c:spPr>
            <c:extLst>
              <c:ext xmlns:c16="http://schemas.microsoft.com/office/drawing/2014/chart" uri="{C3380CC4-5D6E-409C-BE32-E72D297353CC}">
                <c16:uniqueId val="{00000019-FF47-4196-AEAB-D2407F70FB25}"/>
              </c:ext>
            </c:extLst>
          </c:dPt>
          <c:dPt>
            <c:idx val="13"/>
            <c:bubble3D val="0"/>
            <c:spPr>
              <a:solidFill>
                <a:schemeClr val="tx1"/>
              </a:solidFill>
            </c:spPr>
            <c:extLst>
              <c:ext xmlns:c16="http://schemas.microsoft.com/office/drawing/2014/chart" uri="{C3380CC4-5D6E-409C-BE32-E72D297353CC}">
                <c16:uniqueId val="{0000001B-FF47-4196-AEAB-D2407F70FB25}"/>
              </c:ext>
            </c:extLst>
          </c:dPt>
          <c:dPt>
            <c:idx val="14"/>
            <c:bubble3D val="0"/>
            <c:spPr>
              <a:noFill/>
            </c:spPr>
            <c:extLst>
              <c:ext xmlns:c16="http://schemas.microsoft.com/office/drawing/2014/chart" uri="{C3380CC4-5D6E-409C-BE32-E72D297353CC}">
                <c16:uniqueId val="{0000001D-FF47-4196-AEAB-D2407F70FB25}"/>
              </c:ext>
            </c:extLst>
          </c:dPt>
          <c:dPt>
            <c:idx val="15"/>
            <c:bubble3D val="0"/>
            <c:spPr>
              <a:noFill/>
            </c:spPr>
            <c:extLst>
              <c:ext xmlns:c16="http://schemas.microsoft.com/office/drawing/2014/chart" uri="{C3380CC4-5D6E-409C-BE32-E72D297353CC}">
                <c16:uniqueId val="{0000001F-FF47-4196-AEAB-D2407F70FB25}"/>
              </c:ext>
            </c:extLst>
          </c:dPt>
          <c:dPt>
            <c:idx val="16"/>
            <c:bubble3D val="0"/>
            <c:spPr>
              <a:solidFill>
                <a:schemeClr val="tx1"/>
              </a:solidFill>
            </c:spPr>
            <c:extLst>
              <c:ext xmlns:c16="http://schemas.microsoft.com/office/drawing/2014/chart" uri="{C3380CC4-5D6E-409C-BE32-E72D297353CC}">
                <c16:uniqueId val="{00000021-FF47-4196-AEAB-D2407F70FB25}"/>
              </c:ext>
            </c:extLst>
          </c:dPt>
          <c:dPt>
            <c:idx val="17"/>
            <c:bubble3D val="0"/>
            <c:spPr>
              <a:noFill/>
            </c:spPr>
            <c:extLst>
              <c:ext xmlns:c16="http://schemas.microsoft.com/office/drawing/2014/chart" uri="{C3380CC4-5D6E-409C-BE32-E72D297353CC}">
                <c16:uniqueId val="{00000023-FF47-4196-AEAB-D2407F70FB25}"/>
              </c:ext>
            </c:extLst>
          </c:dPt>
          <c:dPt>
            <c:idx val="18"/>
            <c:bubble3D val="0"/>
            <c:spPr>
              <a:noFill/>
            </c:spPr>
            <c:extLst>
              <c:ext xmlns:c16="http://schemas.microsoft.com/office/drawing/2014/chart" uri="{C3380CC4-5D6E-409C-BE32-E72D297353CC}">
                <c16:uniqueId val="{00000025-FF47-4196-AEAB-D2407F70FB25}"/>
              </c:ext>
            </c:extLst>
          </c:dPt>
          <c:dPt>
            <c:idx val="19"/>
            <c:bubble3D val="0"/>
            <c:spPr>
              <a:solidFill>
                <a:schemeClr val="tx1"/>
              </a:solidFill>
            </c:spPr>
            <c:extLst>
              <c:ext xmlns:c16="http://schemas.microsoft.com/office/drawing/2014/chart" uri="{C3380CC4-5D6E-409C-BE32-E72D297353CC}">
                <c16:uniqueId val="{00000027-FF47-4196-AEAB-D2407F70FB25}"/>
              </c:ext>
            </c:extLst>
          </c:dPt>
          <c:dPt>
            <c:idx val="20"/>
            <c:bubble3D val="0"/>
            <c:spPr>
              <a:noFill/>
            </c:spPr>
            <c:extLst>
              <c:ext xmlns:c16="http://schemas.microsoft.com/office/drawing/2014/chart" uri="{C3380CC4-5D6E-409C-BE32-E72D297353CC}">
                <c16:uniqueId val="{00000029-FF47-4196-AEAB-D2407F70FB25}"/>
              </c:ext>
            </c:extLst>
          </c:dPt>
          <c:dPt>
            <c:idx val="21"/>
            <c:bubble3D val="0"/>
            <c:spPr>
              <a:noFill/>
            </c:spPr>
            <c:extLst>
              <c:ext xmlns:c16="http://schemas.microsoft.com/office/drawing/2014/chart" uri="{C3380CC4-5D6E-409C-BE32-E72D297353CC}">
                <c16:uniqueId val="{0000002B-FF47-4196-AEAB-D2407F70FB25}"/>
              </c:ext>
            </c:extLst>
          </c:dPt>
          <c:dPt>
            <c:idx val="22"/>
            <c:bubble3D val="0"/>
            <c:spPr>
              <a:solidFill>
                <a:schemeClr val="tx1"/>
              </a:solidFill>
            </c:spPr>
            <c:extLst>
              <c:ext xmlns:c16="http://schemas.microsoft.com/office/drawing/2014/chart" uri="{C3380CC4-5D6E-409C-BE32-E72D297353CC}">
                <c16:uniqueId val="{0000002D-FF47-4196-AEAB-D2407F70FB25}"/>
              </c:ext>
            </c:extLst>
          </c:dPt>
          <c:dPt>
            <c:idx val="23"/>
            <c:bubble3D val="0"/>
            <c:spPr>
              <a:noFill/>
            </c:spPr>
            <c:extLst>
              <c:ext xmlns:c16="http://schemas.microsoft.com/office/drawing/2014/chart" uri="{C3380CC4-5D6E-409C-BE32-E72D297353CC}">
                <c16:uniqueId val="{0000002F-FF47-4196-AEAB-D2407F70FB25}"/>
              </c:ext>
            </c:extLst>
          </c:dPt>
          <c:dPt>
            <c:idx val="24"/>
            <c:bubble3D val="0"/>
            <c:spPr>
              <a:noFill/>
            </c:spPr>
            <c:extLst>
              <c:ext xmlns:c16="http://schemas.microsoft.com/office/drawing/2014/chart" uri="{C3380CC4-5D6E-409C-BE32-E72D297353CC}">
                <c16:uniqueId val="{00000031-FF47-4196-AEAB-D2407F70FB25}"/>
              </c:ext>
            </c:extLst>
          </c:dPt>
          <c:dPt>
            <c:idx val="25"/>
            <c:bubble3D val="0"/>
            <c:spPr>
              <a:solidFill>
                <a:schemeClr val="tx1"/>
              </a:solidFill>
            </c:spPr>
            <c:extLst>
              <c:ext xmlns:c16="http://schemas.microsoft.com/office/drawing/2014/chart" uri="{C3380CC4-5D6E-409C-BE32-E72D297353CC}">
                <c16:uniqueId val="{00000033-FF47-4196-AEAB-D2407F70FB25}"/>
              </c:ext>
            </c:extLst>
          </c:dPt>
          <c:dPt>
            <c:idx val="26"/>
            <c:bubble3D val="0"/>
            <c:spPr>
              <a:noFill/>
            </c:spPr>
            <c:extLst>
              <c:ext xmlns:c16="http://schemas.microsoft.com/office/drawing/2014/chart" uri="{C3380CC4-5D6E-409C-BE32-E72D297353CC}">
                <c16:uniqueId val="{00000035-FF47-4196-AEAB-D2407F70FB25}"/>
              </c:ext>
            </c:extLst>
          </c:dPt>
          <c:dPt>
            <c:idx val="27"/>
            <c:bubble3D val="0"/>
            <c:spPr>
              <a:noFill/>
            </c:spPr>
            <c:extLst>
              <c:ext xmlns:c16="http://schemas.microsoft.com/office/drawing/2014/chart" uri="{C3380CC4-5D6E-409C-BE32-E72D297353CC}">
                <c16:uniqueId val="{00000037-FF47-4196-AEAB-D2407F70FB25}"/>
              </c:ext>
            </c:extLst>
          </c:dPt>
          <c:dPt>
            <c:idx val="28"/>
            <c:bubble3D val="0"/>
            <c:spPr>
              <a:solidFill>
                <a:schemeClr val="tx1"/>
              </a:solidFill>
            </c:spPr>
            <c:extLst>
              <c:ext xmlns:c16="http://schemas.microsoft.com/office/drawing/2014/chart" uri="{C3380CC4-5D6E-409C-BE32-E72D297353CC}">
                <c16:uniqueId val="{00000039-FF47-4196-AEAB-D2407F70FB25}"/>
              </c:ext>
            </c:extLst>
          </c:dPt>
          <c:dPt>
            <c:idx val="29"/>
            <c:bubble3D val="0"/>
            <c:spPr>
              <a:noFill/>
            </c:spPr>
            <c:extLst>
              <c:ext xmlns:c16="http://schemas.microsoft.com/office/drawing/2014/chart" uri="{C3380CC4-5D6E-409C-BE32-E72D297353CC}">
                <c16:uniqueId val="{0000003B-FF47-4196-AEAB-D2407F70FB25}"/>
              </c:ext>
            </c:extLst>
          </c:dPt>
          <c:dPt>
            <c:idx val="30"/>
            <c:bubble3D val="0"/>
            <c:spPr>
              <a:noFill/>
            </c:spPr>
            <c:extLst>
              <c:ext xmlns:c16="http://schemas.microsoft.com/office/drawing/2014/chart" uri="{C3380CC4-5D6E-409C-BE32-E72D297353CC}">
                <c16:uniqueId val="{0000003D-FF47-4196-AEAB-D2407F70FB25}"/>
              </c:ext>
            </c:extLst>
          </c:dPt>
          <c:dPt>
            <c:idx val="31"/>
            <c:bubble3D val="0"/>
            <c:spPr>
              <a:solidFill>
                <a:schemeClr val="tx1"/>
              </a:solidFill>
            </c:spPr>
            <c:extLst>
              <c:ext xmlns:c16="http://schemas.microsoft.com/office/drawing/2014/chart" uri="{C3380CC4-5D6E-409C-BE32-E72D297353CC}">
                <c16:uniqueId val="{0000003F-FF47-4196-AEAB-D2407F70FB25}"/>
              </c:ext>
            </c:extLst>
          </c:dPt>
          <c:dPt>
            <c:idx val="32"/>
            <c:bubble3D val="0"/>
            <c:spPr>
              <a:noFill/>
            </c:spPr>
            <c:extLst>
              <c:ext xmlns:c16="http://schemas.microsoft.com/office/drawing/2014/chart" uri="{C3380CC4-5D6E-409C-BE32-E72D297353CC}">
                <c16:uniqueId val="{00000041-FF47-4196-AEAB-D2407F70FB25}"/>
              </c:ext>
            </c:extLst>
          </c:dPt>
          <c:dPt>
            <c:idx val="33"/>
            <c:bubble3D val="0"/>
            <c:spPr>
              <a:noFill/>
            </c:spPr>
            <c:extLst>
              <c:ext xmlns:c16="http://schemas.microsoft.com/office/drawing/2014/chart" uri="{C3380CC4-5D6E-409C-BE32-E72D297353CC}">
                <c16:uniqueId val="{00000043-FF47-4196-AEAB-D2407F70FB25}"/>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F47-4196-AEAB-D2407F70FB2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41606033423039E-2"/>
          <c:y val="4.630463970282097E-2"/>
          <c:w val="0.90412217570858078"/>
          <c:h val="0.75944983296886759"/>
        </c:manualLayout>
      </c:layout>
      <c:lineChart>
        <c:grouping val="standard"/>
        <c:varyColors val="0"/>
        <c:ser>
          <c:idx val="0"/>
          <c:order val="0"/>
          <c:tx>
            <c:strRef>
              <c:f>tlGraphs!$B$338</c:f>
              <c:strCache>
                <c:ptCount val="1"/>
                <c:pt idx="0">
                  <c:v>Revenue</c:v>
                </c:pt>
              </c:strCache>
            </c:strRef>
          </c:tx>
          <c:cat>
            <c:strRef>
              <c:f>tlGraphs!$C$337:$D$337</c:f>
              <c:strCache>
                <c:ptCount val="2"/>
                <c:pt idx="0">
                  <c:v>This Year</c:v>
                </c:pt>
                <c:pt idx="1">
                  <c:v>Next Year</c:v>
                </c:pt>
              </c:strCache>
            </c:strRef>
          </c:cat>
          <c:val>
            <c:numRef>
              <c:f>tlGraphs!$C$338:$D$338</c:f>
              <c:numCache>
                <c:formatCode>"$"#,##0</c:formatCode>
                <c:ptCount val="2"/>
                <c:pt idx="0">
                  <c:v>200.51250505278992</c:v>
                </c:pt>
                <c:pt idx="1">
                  <c:v>419.01028236808935</c:v>
                </c:pt>
              </c:numCache>
            </c:numRef>
          </c:val>
          <c:smooth val="0"/>
          <c:extLst>
            <c:ext xmlns:c16="http://schemas.microsoft.com/office/drawing/2014/chart" uri="{C3380CC4-5D6E-409C-BE32-E72D297353CC}">
              <c16:uniqueId val="{00000000-C2D5-4FFE-AAC4-013E8BCF18EC}"/>
            </c:ext>
          </c:extLst>
        </c:ser>
        <c:ser>
          <c:idx val="1"/>
          <c:order val="1"/>
          <c:tx>
            <c:strRef>
              <c:f>tlGraphs!$B$339</c:f>
              <c:strCache>
                <c:ptCount val="1"/>
                <c:pt idx="0">
                  <c:v>Salary</c:v>
                </c:pt>
              </c:strCache>
            </c:strRef>
          </c:tx>
          <c:spPr>
            <a:ln>
              <a:solidFill>
                <a:schemeClr val="accent3">
                  <a:lumMod val="50000"/>
                </a:schemeClr>
              </a:solidFill>
            </a:ln>
          </c:spPr>
          <c:marker>
            <c:spPr>
              <a:solidFill>
                <a:schemeClr val="accent3">
                  <a:lumMod val="50000"/>
                </a:schemeClr>
              </a:solidFill>
              <a:ln>
                <a:solidFill>
                  <a:schemeClr val="accent3">
                    <a:lumMod val="50000"/>
                  </a:schemeClr>
                </a:solidFill>
              </a:ln>
            </c:spPr>
          </c:marker>
          <c:cat>
            <c:strRef>
              <c:f>tlGraphs!$C$337:$D$337</c:f>
              <c:strCache>
                <c:ptCount val="2"/>
                <c:pt idx="0">
                  <c:v>This Year</c:v>
                </c:pt>
                <c:pt idx="1">
                  <c:v>Next Year</c:v>
                </c:pt>
              </c:strCache>
            </c:strRef>
          </c:cat>
          <c:val>
            <c:numRef>
              <c:f>tlGraphs!$C$339:$D$339</c:f>
              <c:numCache>
                <c:formatCode>"$"#,##0</c:formatCode>
                <c:ptCount val="2"/>
                <c:pt idx="0">
                  <c:v>68.294386126361658</c:v>
                </c:pt>
                <c:pt idx="1">
                  <c:v>116.28700000000001</c:v>
                </c:pt>
              </c:numCache>
            </c:numRef>
          </c:val>
          <c:smooth val="0"/>
          <c:extLst>
            <c:ext xmlns:c16="http://schemas.microsoft.com/office/drawing/2014/chart" uri="{C3380CC4-5D6E-409C-BE32-E72D297353CC}">
              <c16:uniqueId val="{00000001-C2D5-4FFE-AAC4-013E8BCF18EC}"/>
            </c:ext>
          </c:extLst>
        </c:ser>
        <c:dLbls>
          <c:showLegendKey val="0"/>
          <c:showVal val="0"/>
          <c:showCatName val="0"/>
          <c:showSerName val="0"/>
          <c:showPercent val="0"/>
          <c:showBubbleSize val="0"/>
        </c:dLbls>
        <c:marker val="1"/>
        <c:smooth val="0"/>
        <c:axId val="196866544"/>
        <c:axId val="196866936"/>
      </c:lineChart>
      <c:catAx>
        <c:axId val="196866544"/>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66936"/>
        <c:crosses val="autoZero"/>
        <c:auto val="1"/>
        <c:lblAlgn val="ctr"/>
        <c:lblOffset val="100"/>
        <c:noMultiLvlLbl val="0"/>
      </c:catAx>
      <c:valAx>
        <c:axId val="196866936"/>
        <c:scaling>
          <c:orientation val="minMax"/>
        </c:scaling>
        <c:delete val="0"/>
        <c:axPos val="l"/>
        <c:numFmt formatCode="&quot;$&quot;#,##0" sourceLinked="1"/>
        <c:majorTickMark val="out"/>
        <c:minorTickMark val="none"/>
        <c:tickLblPos val="nextTo"/>
        <c:spPr>
          <a:ln>
            <a:solidFill>
              <a:schemeClr val="accent3">
                <a:lumMod val="50000"/>
              </a:schemeClr>
            </a:solidFill>
          </a:ln>
        </c:spPr>
        <c:crossAx val="196866544"/>
        <c:crosses val="autoZero"/>
        <c:crossBetween val="between"/>
      </c:valAx>
      <c:spPr>
        <a:noFill/>
      </c:spPr>
    </c:plotArea>
    <c:legend>
      <c:legendPos val="b"/>
      <c:layout>
        <c:manualLayout>
          <c:xMode val="edge"/>
          <c:yMode val="edge"/>
          <c:x val="0.30410255254352747"/>
          <c:y val="0.90857562804481784"/>
          <c:w val="0.39179489491294506"/>
          <c:h val="9.1424371955182201E-2"/>
        </c:manualLayout>
      </c:layout>
      <c:overlay val="0"/>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8550063094816E-3"/>
          <c:y val="0.13121788780101182"/>
          <c:w val="0.9574049225064325"/>
          <c:h val="0.75232327995870263"/>
        </c:manualLayout>
      </c:layout>
      <c:barChart>
        <c:barDir val="col"/>
        <c:grouping val="clustered"/>
        <c:varyColors val="0"/>
        <c:ser>
          <c:idx val="0"/>
          <c:order val="0"/>
          <c:tx>
            <c:strRef>
              <c:f>tlBusinessA!$H$13</c:f>
              <c:strCache>
                <c:ptCount val="1"/>
                <c:pt idx="0">
                  <c:v>CRM</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FE9C-47F9-828D-A16248EFDD64}"/>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FE9C-47F9-828D-A16248EFDD64}"/>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FE9C-47F9-828D-A16248EFDD64}"/>
              </c:ext>
            </c:extLst>
          </c:dPt>
          <c:dLbls>
            <c:dLbl>
              <c:idx val="0"/>
              <c:layout>
                <c:manualLayout>
                  <c:x val="2.7789021681858248E-3"/>
                  <c:y val="-1.4788227226942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E9C-47F9-828D-A16248EFDD64}"/>
                </c:ext>
              </c:extLst>
            </c:dLbl>
            <c:dLbl>
              <c:idx val="1"/>
              <c:layout>
                <c:manualLayout>
                  <c:x val="8.178930729343635E-3"/>
                  <c:y val="-9.69657887442548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E9C-47F9-828D-A16248EFDD64}"/>
                </c:ext>
              </c:extLst>
            </c:dLbl>
            <c:dLbl>
              <c:idx val="2"/>
              <c:layout>
                <c:manualLayout>
                  <c:x val="5.6773672521704018E-3"/>
                  <c:y val="-4.11777341527881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E9C-47F9-828D-A16248EFDD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tlBusinessA!$H$19</c:f>
              <c:numCache>
                <c:formatCode>0.0%</c:formatCode>
                <c:ptCount val="1"/>
                <c:pt idx="0">
                  <c:v>0.2</c:v>
                </c:pt>
              </c:numCache>
            </c:numRef>
          </c:val>
          <c:extLst>
            <c:ext xmlns:c16="http://schemas.microsoft.com/office/drawing/2014/chart" uri="{C3380CC4-5D6E-409C-BE32-E72D297353CC}">
              <c16:uniqueId val="{00000006-FE9C-47F9-828D-A16248EFDD64}"/>
            </c:ext>
          </c:extLst>
        </c:ser>
        <c:ser>
          <c:idx val="1"/>
          <c:order val="1"/>
          <c:tx>
            <c:strRef>
              <c:f>tlBusinessA!$J$13</c:f>
              <c:strCache>
                <c:ptCount val="1"/>
                <c:pt idx="0">
                  <c:v>HCM</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tlBusinessA!$J$19</c:f>
              <c:numCache>
                <c:formatCode>0.0%</c:formatCode>
                <c:ptCount val="1"/>
                <c:pt idx="0">
                  <c:v>0.2</c:v>
                </c:pt>
              </c:numCache>
            </c:numRef>
          </c:val>
          <c:extLst>
            <c:ext xmlns:c16="http://schemas.microsoft.com/office/drawing/2014/chart" uri="{C3380CC4-5D6E-409C-BE32-E72D297353CC}">
              <c16:uniqueId val="{00000007-FE9C-47F9-828D-A16248EFDD64}"/>
            </c:ext>
          </c:extLst>
        </c:ser>
        <c:ser>
          <c:idx val="2"/>
          <c:order val="2"/>
          <c:tx>
            <c:strRef>
              <c:f>tlBusinessA!$L$13</c:f>
              <c:strCache>
                <c:ptCount val="1"/>
                <c:pt idx="0">
                  <c:v>Futuria</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tlBusinessA!$L$19</c:f>
              <c:numCache>
                <c:formatCode>0.0%</c:formatCode>
                <c:ptCount val="1"/>
                <c:pt idx="0">
                  <c:v>0.2</c:v>
                </c:pt>
              </c:numCache>
            </c:numRef>
          </c:val>
          <c:extLst>
            <c:ext xmlns:c16="http://schemas.microsoft.com/office/drawing/2014/chart" uri="{C3380CC4-5D6E-409C-BE32-E72D297353CC}">
              <c16:uniqueId val="{00000008-FE9C-47F9-828D-A16248EFDD64}"/>
            </c:ext>
          </c:extLst>
        </c:ser>
        <c:dLbls>
          <c:showLegendKey val="0"/>
          <c:showVal val="0"/>
          <c:showCatName val="0"/>
          <c:showSerName val="0"/>
          <c:showPercent val="0"/>
          <c:showBubbleSize val="0"/>
        </c:dLbls>
        <c:gapWidth val="150"/>
        <c:axId val="196867720"/>
        <c:axId val="196868112"/>
      </c:barChart>
      <c:catAx>
        <c:axId val="196867720"/>
        <c:scaling>
          <c:orientation val="minMax"/>
        </c:scaling>
        <c:delete val="1"/>
        <c:axPos val="b"/>
        <c:majorTickMark val="out"/>
        <c:minorTickMark val="none"/>
        <c:tickLblPos val="nextTo"/>
        <c:crossAx val="196868112"/>
        <c:crosses val="autoZero"/>
        <c:auto val="1"/>
        <c:lblAlgn val="ctr"/>
        <c:lblOffset val="100"/>
        <c:noMultiLvlLbl val="0"/>
      </c:catAx>
      <c:valAx>
        <c:axId val="196868112"/>
        <c:scaling>
          <c:orientation val="minMax"/>
        </c:scaling>
        <c:delete val="0"/>
        <c:axPos val="l"/>
        <c:numFmt formatCode="0.0%" sourceLinked="1"/>
        <c:majorTickMark val="out"/>
        <c:minorTickMark val="none"/>
        <c:tickLblPos val="none"/>
        <c:spPr>
          <a:ln>
            <a:solidFill>
              <a:schemeClr val="accent3">
                <a:lumMod val="50000"/>
              </a:schemeClr>
            </a:solidFill>
          </a:ln>
        </c:spPr>
        <c:crossAx val="196867720"/>
        <c:crosses val="autoZero"/>
        <c:crossBetween val="between"/>
      </c:valAx>
      <c:spPr>
        <a:noFill/>
      </c:spPr>
    </c:plotArea>
    <c:legend>
      <c:legendPos val="b"/>
      <c:overlay val="0"/>
      <c:txPr>
        <a:bodyPr/>
        <a:lstStyle/>
        <a:p>
          <a:pPr>
            <a:defRPr sz="1200" b="1"/>
          </a:pPr>
          <a:endParaRPr lang="en-US"/>
        </a:p>
      </c:txPr>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E2A4-4DDF-BEF3-2A7B3D11E46D}"/>
              </c:ext>
            </c:extLst>
          </c:dPt>
          <c:dPt>
            <c:idx val="1"/>
            <c:bubble3D val="0"/>
            <c:spPr>
              <a:solidFill>
                <a:srgbClr val="054680"/>
              </a:solidFill>
              <a:ln>
                <a:noFill/>
              </a:ln>
            </c:spPr>
            <c:extLst>
              <c:ext xmlns:c16="http://schemas.microsoft.com/office/drawing/2014/chart" uri="{C3380CC4-5D6E-409C-BE32-E72D297353CC}">
                <c16:uniqueId val="{00000003-E2A4-4DDF-BEF3-2A7B3D11E46D}"/>
              </c:ext>
            </c:extLst>
          </c:dPt>
          <c:dPt>
            <c:idx val="2"/>
            <c:bubble3D val="0"/>
            <c:spPr>
              <a:noFill/>
            </c:spPr>
            <c:extLst>
              <c:ext xmlns:c16="http://schemas.microsoft.com/office/drawing/2014/chart" uri="{C3380CC4-5D6E-409C-BE32-E72D297353CC}">
                <c16:uniqueId val="{00000005-E2A4-4DDF-BEF3-2A7B3D11E46D}"/>
              </c:ext>
            </c:extLst>
          </c:dPt>
          <c:dPt>
            <c:idx val="3"/>
            <c:bubble3D val="0"/>
            <c:spPr>
              <a:solidFill>
                <a:srgbClr val="CBE4EB"/>
              </a:solidFill>
              <a:ln>
                <a:noFill/>
              </a:ln>
            </c:spPr>
            <c:extLst>
              <c:ext xmlns:c16="http://schemas.microsoft.com/office/drawing/2014/chart" uri="{C3380CC4-5D6E-409C-BE32-E72D297353CC}">
                <c16:uniqueId val="{00000007-E2A4-4DDF-BEF3-2A7B3D11E46D}"/>
              </c:ext>
            </c:extLst>
          </c:dPt>
          <c:dPt>
            <c:idx val="4"/>
            <c:bubble3D val="0"/>
            <c:spPr>
              <a:solidFill>
                <a:srgbClr val="007AC5"/>
              </a:solidFill>
              <a:ln>
                <a:noFill/>
              </a:ln>
            </c:spPr>
            <c:extLst>
              <c:ext xmlns:c16="http://schemas.microsoft.com/office/drawing/2014/chart" uri="{C3380CC4-5D6E-409C-BE32-E72D297353CC}">
                <c16:uniqueId val="{00000009-E2A4-4DDF-BEF3-2A7B3D11E46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2A4-4DDF-BEF3-2A7B3D11E46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5460-439A-8876-741ABB01BFD6}"/>
              </c:ext>
            </c:extLst>
          </c:dPt>
          <c:dPt>
            <c:idx val="1"/>
            <c:bubble3D val="0"/>
            <c:spPr>
              <a:solidFill>
                <a:schemeClr val="tx1"/>
              </a:solidFill>
              <a:ln>
                <a:noFill/>
              </a:ln>
            </c:spPr>
            <c:extLst>
              <c:ext xmlns:c16="http://schemas.microsoft.com/office/drawing/2014/chart" uri="{C3380CC4-5D6E-409C-BE32-E72D297353CC}">
                <c16:uniqueId val="{00000003-5460-439A-8876-741ABB01BFD6}"/>
              </c:ext>
            </c:extLst>
          </c:dPt>
          <c:dPt>
            <c:idx val="2"/>
            <c:bubble3D val="0"/>
            <c:spPr>
              <a:noFill/>
            </c:spPr>
            <c:extLst>
              <c:ext xmlns:c16="http://schemas.microsoft.com/office/drawing/2014/chart" uri="{C3380CC4-5D6E-409C-BE32-E72D297353CC}">
                <c16:uniqueId val="{00000005-5460-439A-8876-741ABB01BFD6}"/>
              </c:ext>
            </c:extLst>
          </c:dPt>
          <c:dPt>
            <c:idx val="3"/>
            <c:bubble3D val="0"/>
            <c:spPr>
              <a:noFill/>
            </c:spPr>
            <c:extLst>
              <c:ext xmlns:c16="http://schemas.microsoft.com/office/drawing/2014/chart" uri="{C3380CC4-5D6E-409C-BE32-E72D297353CC}">
                <c16:uniqueId val="{00000007-5460-439A-8876-741ABB01BFD6}"/>
              </c:ext>
            </c:extLst>
          </c:dPt>
          <c:dPt>
            <c:idx val="4"/>
            <c:bubble3D val="0"/>
            <c:spPr>
              <a:solidFill>
                <a:schemeClr val="tx1"/>
              </a:solidFill>
              <a:ln>
                <a:noFill/>
              </a:ln>
            </c:spPr>
            <c:extLst>
              <c:ext xmlns:c16="http://schemas.microsoft.com/office/drawing/2014/chart" uri="{C3380CC4-5D6E-409C-BE32-E72D297353CC}">
                <c16:uniqueId val="{00000009-5460-439A-8876-741ABB01BFD6}"/>
              </c:ext>
            </c:extLst>
          </c:dPt>
          <c:dPt>
            <c:idx val="5"/>
            <c:bubble3D val="0"/>
            <c:spPr>
              <a:noFill/>
            </c:spPr>
            <c:extLst>
              <c:ext xmlns:c16="http://schemas.microsoft.com/office/drawing/2014/chart" uri="{C3380CC4-5D6E-409C-BE32-E72D297353CC}">
                <c16:uniqueId val="{0000000B-5460-439A-8876-741ABB01BFD6}"/>
              </c:ext>
            </c:extLst>
          </c:dPt>
          <c:dPt>
            <c:idx val="6"/>
            <c:bubble3D val="0"/>
            <c:spPr>
              <a:noFill/>
            </c:spPr>
            <c:extLst>
              <c:ext xmlns:c16="http://schemas.microsoft.com/office/drawing/2014/chart" uri="{C3380CC4-5D6E-409C-BE32-E72D297353CC}">
                <c16:uniqueId val="{0000000D-5460-439A-8876-741ABB01BFD6}"/>
              </c:ext>
            </c:extLst>
          </c:dPt>
          <c:dPt>
            <c:idx val="7"/>
            <c:bubble3D val="0"/>
            <c:spPr>
              <a:solidFill>
                <a:schemeClr val="tx1"/>
              </a:solidFill>
              <a:ln>
                <a:noFill/>
              </a:ln>
            </c:spPr>
            <c:extLst>
              <c:ext xmlns:c16="http://schemas.microsoft.com/office/drawing/2014/chart" uri="{C3380CC4-5D6E-409C-BE32-E72D297353CC}">
                <c16:uniqueId val="{0000000F-5460-439A-8876-741ABB01BFD6}"/>
              </c:ext>
            </c:extLst>
          </c:dPt>
          <c:dPt>
            <c:idx val="8"/>
            <c:bubble3D val="0"/>
            <c:spPr>
              <a:noFill/>
            </c:spPr>
            <c:extLst>
              <c:ext xmlns:c16="http://schemas.microsoft.com/office/drawing/2014/chart" uri="{C3380CC4-5D6E-409C-BE32-E72D297353CC}">
                <c16:uniqueId val="{00000011-5460-439A-8876-741ABB01BFD6}"/>
              </c:ext>
            </c:extLst>
          </c:dPt>
          <c:dPt>
            <c:idx val="9"/>
            <c:bubble3D val="0"/>
            <c:spPr>
              <a:noFill/>
            </c:spPr>
            <c:extLst>
              <c:ext xmlns:c16="http://schemas.microsoft.com/office/drawing/2014/chart" uri="{C3380CC4-5D6E-409C-BE32-E72D297353CC}">
                <c16:uniqueId val="{00000013-5460-439A-8876-741ABB01BFD6}"/>
              </c:ext>
            </c:extLst>
          </c:dPt>
          <c:dPt>
            <c:idx val="10"/>
            <c:bubble3D val="0"/>
            <c:spPr>
              <a:solidFill>
                <a:schemeClr val="tx1"/>
              </a:solidFill>
            </c:spPr>
            <c:extLst>
              <c:ext xmlns:c16="http://schemas.microsoft.com/office/drawing/2014/chart" uri="{C3380CC4-5D6E-409C-BE32-E72D297353CC}">
                <c16:uniqueId val="{00000015-5460-439A-8876-741ABB01BFD6}"/>
              </c:ext>
            </c:extLst>
          </c:dPt>
          <c:dPt>
            <c:idx val="11"/>
            <c:bubble3D val="0"/>
            <c:spPr>
              <a:noFill/>
            </c:spPr>
            <c:extLst>
              <c:ext xmlns:c16="http://schemas.microsoft.com/office/drawing/2014/chart" uri="{C3380CC4-5D6E-409C-BE32-E72D297353CC}">
                <c16:uniqueId val="{00000017-5460-439A-8876-741ABB01BFD6}"/>
              </c:ext>
            </c:extLst>
          </c:dPt>
          <c:dPt>
            <c:idx val="12"/>
            <c:bubble3D val="0"/>
            <c:spPr>
              <a:noFill/>
            </c:spPr>
            <c:extLst>
              <c:ext xmlns:c16="http://schemas.microsoft.com/office/drawing/2014/chart" uri="{C3380CC4-5D6E-409C-BE32-E72D297353CC}">
                <c16:uniqueId val="{00000019-5460-439A-8876-741ABB01BFD6}"/>
              </c:ext>
            </c:extLst>
          </c:dPt>
          <c:dPt>
            <c:idx val="13"/>
            <c:bubble3D val="0"/>
            <c:spPr>
              <a:solidFill>
                <a:schemeClr val="tx1"/>
              </a:solidFill>
            </c:spPr>
            <c:extLst>
              <c:ext xmlns:c16="http://schemas.microsoft.com/office/drawing/2014/chart" uri="{C3380CC4-5D6E-409C-BE32-E72D297353CC}">
                <c16:uniqueId val="{0000001B-5460-439A-8876-741ABB01BFD6}"/>
              </c:ext>
            </c:extLst>
          </c:dPt>
          <c:dPt>
            <c:idx val="14"/>
            <c:bubble3D val="0"/>
            <c:spPr>
              <a:noFill/>
            </c:spPr>
            <c:extLst>
              <c:ext xmlns:c16="http://schemas.microsoft.com/office/drawing/2014/chart" uri="{C3380CC4-5D6E-409C-BE32-E72D297353CC}">
                <c16:uniqueId val="{0000001D-5460-439A-8876-741ABB01BFD6}"/>
              </c:ext>
            </c:extLst>
          </c:dPt>
          <c:dPt>
            <c:idx val="15"/>
            <c:bubble3D val="0"/>
            <c:spPr>
              <a:noFill/>
            </c:spPr>
            <c:extLst>
              <c:ext xmlns:c16="http://schemas.microsoft.com/office/drawing/2014/chart" uri="{C3380CC4-5D6E-409C-BE32-E72D297353CC}">
                <c16:uniqueId val="{0000001F-5460-439A-8876-741ABB01BFD6}"/>
              </c:ext>
            </c:extLst>
          </c:dPt>
          <c:dPt>
            <c:idx val="16"/>
            <c:bubble3D val="0"/>
            <c:spPr>
              <a:solidFill>
                <a:schemeClr val="tx1"/>
              </a:solidFill>
            </c:spPr>
            <c:extLst>
              <c:ext xmlns:c16="http://schemas.microsoft.com/office/drawing/2014/chart" uri="{C3380CC4-5D6E-409C-BE32-E72D297353CC}">
                <c16:uniqueId val="{00000021-5460-439A-8876-741ABB01BFD6}"/>
              </c:ext>
            </c:extLst>
          </c:dPt>
          <c:dPt>
            <c:idx val="17"/>
            <c:bubble3D val="0"/>
            <c:spPr>
              <a:noFill/>
            </c:spPr>
            <c:extLst>
              <c:ext xmlns:c16="http://schemas.microsoft.com/office/drawing/2014/chart" uri="{C3380CC4-5D6E-409C-BE32-E72D297353CC}">
                <c16:uniqueId val="{00000023-5460-439A-8876-741ABB01BFD6}"/>
              </c:ext>
            </c:extLst>
          </c:dPt>
          <c:dPt>
            <c:idx val="18"/>
            <c:bubble3D val="0"/>
            <c:spPr>
              <a:noFill/>
            </c:spPr>
            <c:extLst>
              <c:ext xmlns:c16="http://schemas.microsoft.com/office/drawing/2014/chart" uri="{C3380CC4-5D6E-409C-BE32-E72D297353CC}">
                <c16:uniqueId val="{00000025-5460-439A-8876-741ABB01BFD6}"/>
              </c:ext>
            </c:extLst>
          </c:dPt>
          <c:dPt>
            <c:idx val="19"/>
            <c:bubble3D val="0"/>
            <c:spPr>
              <a:solidFill>
                <a:schemeClr val="tx1"/>
              </a:solidFill>
            </c:spPr>
            <c:extLst>
              <c:ext xmlns:c16="http://schemas.microsoft.com/office/drawing/2014/chart" uri="{C3380CC4-5D6E-409C-BE32-E72D297353CC}">
                <c16:uniqueId val="{00000027-5460-439A-8876-741ABB01BFD6}"/>
              </c:ext>
            </c:extLst>
          </c:dPt>
          <c:dPt>
            <c:idx val="20"/>
            <c:bubble3D val="0"/>
            <c:spPr>
              <a:noFill/>
            </c:spPr>
            <c:extLst>
              <c:ext xmlns:c16="http://schemas.microsoft.com/office/drawing/2014/chart" uri="{C3380CC4-5D6E-409C-BE32-E72D297353CC}">
                <c16:uniqueId val="{00000029-5460-439A-8876-741ABB01BFD6}"/>
              </c:ext>
            </c:extLst>
          </c:dPt>
          <c:dPt>
            <c:idx val="21"/>
            <c:bubble3D val="0"/>
            <c:spPr>
              <a:noFill/>
            </c:spPr>
            <c:extLst>
              <c:ext xmlns:c16="http://schemas.microsoft.com/office/drawing/2014/chart" uri="{C3380CC4-5D6E-409C-BE32-E72D297353CC}">
                <c16:uniqueId val="{0000002B-5460-439A-8876-741ABB01BFD6}"/>
              </c:ext>
            </c:extLst>
          </c:dPt>
          <c:dPt>
            <c:idx val="22"/>
            <c:bubble3D val="0"/>
            <c:spPr>
              <a:solidFill>
                <a:schemeClr val="tx1"/>
              </a:solidFill>
            </c:spPr>
            <c:extLst>
              <c:ext xmlns:c16="http://schemas.microsoft.com/office/drawing/2014/chart" uri="{C3380CC4-5D6E-409C-BE32-E72D297353CC}">
                <c16:uniqueId val="{0000002D-5460-439A-8876-741ABB01BFD6}"/>
              </c:ext>
            </c:extLst>
          </c:dPt>
          <c:dPt>
            <c:idx val="23"/>
            <c:bubble3D val="0"/>
            <c:spPr>
              <a:noFill/>
            </c:spPr>
            <c:extLst>
              <c:ext xmlns:c16="http://schemas.microsoft.com/office/drawing/2014/chart" uri="{C3380CC4-5D6E-409C-BE32-E72D297353CC}">
                <c16:uniqueId val="{0000002F-5460-439A-8876-741ABB01BFD6}"/>
              </c:ext>
            </c:extLst>
          </c:dPt>
          <c:dPt>
            <c:idx val="24"/>
            <c:bubble3D val="0"/>
            <c:spPr>
              <a:noFill/>
            </c:spPr>
            <c:extLst>
              <c:ext xmlns:c16="http://schemas.microsoft.com/office/drawing/2014/chart" uri="{C3380CC4-5D6E-409C-BE32-E72D297353CC}">
                <c16:uniqueId val="{00000031-5460-439A-8876-741ABB01BFD6}"/>
              </c:ext>
            </c:extLst>
          </c:dPt>
          <c:dPt>
            <c:idx val="25"/>
            <c:bubble3D val="0"/>
            <c:spPr>
              <a:solidFill>
                <a:schemeClr val="tx1"/>
              </a:solidFill>
            </c:spPr>
            <c:extLst>
              <c:ext xmlns:c16="http://schemas.microsoft.com/office/drawing/2014/chart" uri="{C3380CC4-5D6E-409C-BE32-E72D297353CC}">
                <c16:uniqueId val="{00000033-5460-439A-8876-741ABB01BFD6}"/>
              </c:ext>
            </c:extLst>
          </c:dPt>
          <c:dPt>
            <c:idx val="26"/>
            <c:bubble3D val="0"/>
            <c:spPr>
              <a:noFill/>
            </c:spPr>
            <c:extLst>
              <c:ext xmlns:c16="http://schemas.microsoft.com/office/drawing/2014/chart" uri="{C3380CC4-5D6E-409C-BE32-E72D297353CC}">
                <c16:uniqueId val="{00000035-5460-439A-8876-741ABB01BFD6}"/>
              </c:ext>
            </c:extLst>
          </c:dPt>
          <c:dPt>
            <c:idx val="27"/>
            <c:bubble3D val="0"/>
            <c:spPr>
              <a:noFill/>
            </c:spPr>
            <c:extLst>
              <c:ext xmlns:c16="http://schemas.microsoft.com/office/drawing/2014/chart" uri="{C3380CC4-5D6E-409C-BE32-E72D297353CC}">
                <c16:uniqueId val="{00000037-5460-439A-8876-741ABB01BFD6}"/>
              </c:ext>
            </c:extLst>
          </c:dPt>
          <c:dPt>
            <c:idx val="28"/>
            <c:bubble3D val="0"/>
            <c:spPr>
              <a:solidFill>
                <a:schemeClr val="tx1"/>
              </a:solidFill>
            </c:spPr>
            <c:extLst>
              <c:ext xmlns:c16="http://schemas.microsoft.com/office/drawing/2014/chart" uri="{C3380CC4-5D6E-409C-BE32-E72D297353CC}">
                <c16:uniqueId val="{00000039-5460-439A-8876-741ABB01BFD6}"/>
              </c:ext>
            </c:extLst>
          </c:dPt>
          <c:dPt>
            <c:idx val="29"/>
            <c:bubble3D val="0"/>
            <c:spPr>
              <a:noFill/>
            </c:spPr>
            <c:extLst>
              <c:ext xmlns:c16="http://schemas.microsoft.com/office/drawing/2014/chart" uri="{C3380CC4-5D6E-409C-BE32-E72D297353CC}">
                <c16:uniqueId val="{0000003B-5460-439A-8876-741ABB01BFD6}"/>
              </c:ext>
            </c:extLst>
          </c:dPt>
          <c:dPt>
            <c:idx val="30"/>
            <c:bubble3D val="0"/>
            <c:spPr>
              <a:noFill/>
            </c:spPr>
            <c:extLst>
              <c:ext xmlns:c16="http://schemas.microsoft.com/office/drawing/2014/chart" uri="{C3380CC4-5D6E-409C-BE32-E72D297353CC}">
                <c16:uniqueId val="{0000003D-5460-439A-8876-741ABB01BFD6}"/>
              </c:ext>
            </c:extLst>
          </c:dPt>
          <c:dPt>
            <c:idx val="31"/>
            <c:bubble3D val="0"/>
            <c:spPr>
              <a:solidFill>
                <a:schemeClr val="tx1"/>
              </a:solidFill>
            </c:spPr>
            <c:extLst>
              <c:ext xmlns:c16="http://schemas.microsoft.com/office/drawing/2014/chart" uri="{C3380CC4-5D6E-409C-BE32-E72D297353CC}">
                <c16:uniqueId val="{0000003F-5460-439A-8876-741ABB01BFD6}"/>
              </c:ext>
            </c:extLst>
          </c:dPt>
          <c:dPt>
            <c:idx val="32"/>
            <c:bubble3D val="0"/>
            <c:spPr>
              <a:noFill/>
            </c:spPr>
            <c:extLst>
              <c:ext xmlns:c16="http://schemas.microsoft.com/office/drawing/2014/chart" uri="{C3380CC4-5D6E-409C-BE32-E72D297353CC}">
                <c16:uniqueId val="{00000041-5460-439A-8876-741ABB01BFD6}"/>
              </c:ext>
            </c:extLst>
          </c:dPt>
          <c:dPt>
            <c:idx val="33"/>
            <c:bubble3D val="0"/>
            <c:spPr>
              <a:noFill/>
            </c:spPr>
            <c:extLst>
              <c:ext xmlns:c16="http://schemas.microsoft.com/office/drawing/2014/chart" uri="{C3380CC4-5D6E-409C-BE32-E72D297353CC}">
                <c16:uniqueId val="{00000043-5460-439A-8876-741ABB01BFD6}"/>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460-439A-8876-741ABB01BFD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CDE3-412E-AEA2-FED1540533FA}"/>
              </c:ext>
            </c:extLst>
          </c:dPt>
          <c:dPt>
            <c:idx val="1"/>
            <c:bubble3D val="0"/>
            <c:spPr>
              <a:solidFill>
                <a:srgbClr val="054680"/>
              </a:solidFill>
              <a:ln>
                <a:noFill/>
              </a:ln>
            </c:spPr>
            <c:extLst>
              <c:ext xmlns:c16="http://schemas.microsoft.com/office/drawing/2014/chart" uri="{C3380CC4-5D6E-409C-BE32-E72D297353CC}">
                <c16:uniqueId val="{00000003-CDE3-412E-AEA2-FED1540533FA}"/>
              </c:ext>
            </c:extLst>
          </c:dPt>
          <c:dPt>
            <c:idx val="2"/>
            <c:bubble3D val="0"/>
            <c:spPr>
              <a:noFill/>
            </c:spPr>
            <c:extLst>
              <c:ext xmlns:c16="http://schemas.microsoft.com/office/drawing/2014/chart" uri="{C3380CC4-5D6E-409C-BE32-E72D297353CC}">
                <c16:uniqueId val="{00000005-CDE3-412E-AEA2-FED1540533FA}"/>
              </c:ext>
            </c:extLst>
          </c:dPt>
          <c:dPt>
            <c:idx val="3"/>
            <c:bubble3D val="0"/>
            <c:spPr>
              <a:solidFill>
                <a:srgbClr val="CBE4EB"/>
              </a:solidFill>
              <a:ln>
                <a:noFill/>
              </a:ln>
            </c:spPr>
            <c:extLst>
              <c:ext xmlns:c16="http://schemas.microsoft.com/office/drawing/2014/chart" uri="{C3380CC4-5D6E-409C-BE32-E72D297353CC}">
                <c16:uniqueId val="{00000007-CDE3-412E-AEA2-FED1540533FA}"/>
              </c:ext>
            </c:extLst>
          </c:dPt>
          <c:dPt>
            <c:idx val="4"/>
            <c:bubble3D val="0"/>
            <c:spPr>
              <a:solidFill>
                <a:srgbClr val="007AC5"/>
              </a:solidFill>
              <a:ln>
                <a:noFill/>
              </a:ln>
            </c:spPr>
            <c:extLst>
              <c:ext xmlns:c16="http://schemas.microsoft.com/office/drawing/2014/chart" uri="{C3380CC4-5D6E-409C-BE32-E72D297353CC}">
                <c16:uniqueId val="{00000009-CDE3-412E-AEA2-FED1540533F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CDE3-412E-AEA2-FED1540533F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831-4CE8-90C3-9E05DB1CCDF3}"/>
              </c:ext>
            </c:extLst>
          </c:dPt>
          <c:dPt>
            <c:idx val="1"/>
            <c:bubble3D val="0"/>
            <c:spPr>
              <a:solidFill>
                <a:schemeClr val="tx1"/>
              </a:solidFill>
              <a:ln>
                <a:noFill/>
              </a:ln>
            </c:spPr>
            <c:extLst>
              <c:ext xmlns:c16="http://schemas.microsoft.com/office/drawing/2014/chart" uri="{C3380CC4-5D6E-409C-BE32-E72D297353CC}">
                <c16:uniqueId val="{00000003-A831-4CE8-90C3-9E05DB1CCDF3}"/>
              </c:ext>
            </c:extLst>
          </c:dPt>
          <c:dPt>
            <c:idx val="2"/>
            <c:bubble3D val="0"/>
            <c:spPr>
              <a:noFill/>
            </c:spPr>
            <c:extLst>
              <c:ext xmlns:c16="http://schemas.microsoft.com/office/drawing/2014/chart" uri="{C3380CC4-5D6E-409C-BE32-E72D297353CC}">
                <c16:uniqueId val="{00000005-A831-4CE8-90C3-9E05DB1CCDF3}"/>
              </c:ext>
            </c:extLst>
          </c:dPt>
          <c:dPt>
            <c:idx val="3"/>
            <c:bubble3D val="0"/>
            <c:spPr>
              <a:noFill/>
            </c:spPr>
            <c:extLst>
              <c:ext xmlns:c16="http://schemas.microsoft.com/office/drawing/2014/chart" uri="{C3380CC4-5D6E-409C-BE32-E72D297353CC}">
                <c16:uniqueId val="{00000007-A831-4CE8-90C3-9E05DB1CCDF3}"/>
              </c:ext>
            </c:extLst>
          </c:dPt>
          <c:dPt>
            <c:idx val="4"/>
            <c:bubble3D val="0"/>
            <c:spPr>
              <a:solidFill>
                <a:schemeClr val="tx1"/>
              </a:solidFill>
              <a:ln>
                <a:noFill/>
              </a:ln>
            </c:spPr>
            <c:extLst>
              <c:ext xmlns:c16="http://schemas.microsoft.com/office/drawing/2014/chart" uri="{C3380CC4-5D6E-409C-BE32-E72D297353CC}">
                <c16:uniqueId val="{00000009-A831-4CE8-90C3-9E05DB1CCDF3}"/>
              </c:ext>
            </c:extLst>
          </c:dPt>
          <c:dPt>
            <c:idx val="5"/>
            <c:bubble3D val="0"/>
            <c:spPr>
              <a:noFill/>
            </c:spPr>
            <c:extLst>
              <c:ext xmlns:c16="http://schemas.microsoft.com/office/drawing/2014/chart" uri="{C3380CC4-5D6E-409C-BE32-E72D297353CC}">
                <c16:uniqueId val="{0000000B-A831-4CE8-90C3-9E05DB1CCDF3}"/>
              </c:ext>
            </c:extLst>
          </c:dPt>
          <c:dPt>
            <c:idx val="6"/>
            <c:bubble3D val="0"/>
            <c:spPr>
              <a:noFill/>
            </c:spPr>
            <c:extLst>
              <c:ext xmlns:c16="http://schemas.microsoft.com/office/drawing/2014/chart" uri="{C3380CC4-5D6E-409C-BE32-E72D297353CC}">
                <c16:uniqueId val="{0000000D-A831-4CE8-90C3-9E05DB1CCDF3}"/>
              </c:ext>
            </c:extLst>
          </c:dPt>
          <c:dPt>
            <c:idx val="7"/>
            <c:bubble3D val="0"/>
            <c:spPr>
              <a:solidFill>
                <a:schemeClr val="tx1"/>
              </a:solidFill>
              <a:ln>
                <a:noFill/>
              </a:ln>
            </c:spPr>
            <c:extLst>
              <c:ext xmlns:c16="http://schemas.microsoft.com/office/drawing/2014/chart" uri="{C3380CC4-5D6E-409C-BE32-E72D297353CC}">
                <c16:uniqueId val="{0000000F-A831-4CE8-90C3-9E05DB1CCDF3}"/>
              </c:ext>
            </c:extLst>
          </c:dPt>
          <c:dPt>
            <c:idx val="8"/>
            <c:bubble3D val="0"/>
            <c:spPr>
              <a:noFill/>
            </c:spPr>
            <c:extLst>
              <c:ext xmlns:c16="http://schemas.microsoft.com/office/drawing/2014/chart" uri="{C3380CC4-5D6E-409C-BE32-E72D297353CC}">
                <c16:uniqueId val="{00000011-A831-4CE8-90C3-9E05DB1CCDF3}"/>
              </c:ext>
            </c:extLst>
          </c:dPt>
          <c:dPt>
            <c:idx val="9"/>
            <c:bubble3D val="0"/>
            <c:spPr>
              <a:noFill/>
            </c:spPr>
            <c:extLst>
              <c:ext xmlns:c16="http://schemas.microsoft.com/office/drawing/2014/chart" uri="{C3380CC4-5D6E-409C-BE32-E72D297353CC}">
                <c16:uniqueId val="{00000013-A831-4CE8-90C3-9E05DB1CCDF3}"/>
              </c:ext>
            </c:extLst>
          </c:dPt>
          <c:dPt>
            <c:idx val="10"/>
            <c:bubble3D val="0"/>
            <c:spPr>
              <a:solidFill>
                <a:schemeClr val="tx1"/>
              </a:solidFill>
            </c:spPr>
            <c:extLst>
              <c:ext xmlns:c16="http://schemas.microsoft.com/office/drawing/2014/chart" uri="{C3380CC4-5D6E-409C-BE32-E72D297353CC}">
                <c16:uniqueId val="{00000015-A831-4CE8-90C3-9E05DB1CCDF3}"/>
              </c:ext>
            </c:extLst>
          </c:dPt>
          <c:dPt>
            <c:idx val="11"/>
            <c:bubble3D val="0"/>
            <c:spPr>
              <a:noFill/>
            </c:spPr>
            <c:extLst>
              <c:ext xmlns:c16="http://schemas.microsoft.com/office/drawing/2014/chart" uri="{C3380CC4-5D6E-409C-BE32-E72D297353CC}">
                <c16:uniqueId val="{00000017-A831-4CE8-90C3-9E05DB1CCDF3}"/>
              </c:ext>
            </c:extLst>
          </c:dPt>
          <c:dPt>
            <c:idx val="12"/>
            <c:bubble3D val="0"/>
            <c:spPr>
              <a:noFill/>
            </c:spPr>
            <c:extLst>
              <c:ext xmlns:c16="http://schemas.microsoft.com/office/drawing/2014/chart" uri="{C3380CC4-5D6E-409C-BE32-E72D297353CC}">
                <c16:uniqueId val="{00000019-A831-4CE8-90C3-9E05DB1CCDF3}"/>
              </c:ext>
            </c:extLst>
          </c:dPt>
          <c:dPt>
            <c:idx val="13"/>
            <c:bubble3D val="0"/>
            <c:spPr>
              <a:solidFill>
                <a:schemeClr val="tx1"/>
              </a:solidFill>
            </c:spPr>
            <c:extLst>
              <c:ext xmlns:c16="http://schemas.microsoft.com/office/drawing/2014/chart" uri="{C3380CC4-5D6E-409C-BE32-E72D297353CC}">
                <c16:uniqueId val="{0000001B-A831-4CE8-90C3-9E05DB1CCDF3}"/>
              </c:ext>
            </c:extLst>
          </c:dPt>
          <c:dPt>
            <c:idx val="14"/>
            <c:bubble3D val="0"/>
            <c:spPr>
              <a:noFill/>
            </c:spPr>
            <c:extLst>
              <c:ext xmlns:c16="http://schemas.microsoft.com/office/drawing/2014/chart" uri="{C3380CC4-5D6E-409C-BE32-E72D297353CC}">
                <c16:uniqueId val="{0000001D-A831-4CE8-90C3-9E05DB1CCDF3}"/>
              </c:ext>
            </c:extLst>
          </c:dPt>
          <c:dPt>
            <c:idx val="15"/>
            <c:bubble3D val="0"/>
            <c:spPr>
              <a:noFill/>
            </c:spPr>
            <c:extLst>
              <c:ext xmlns:c16="http://schemas.microsoft.com/office/drawing/2014/chart" uri="{C3380CC4-5D6E-409C-BE32-E72D297353CC}">
                <c16:uniqueId val="{0000001F-A831-4CE8-90C3-9E05DB1CCDF3}"/>
              </c:ext>
            </c:extLst>
          </c:dPt>
          <c:dPt>
            <c:idx val="16"/>
            <c:bubble3D val="0"/>
            <c:spPr>
              <a:solidFill>
                <a:schemeClr val="tx1"/>
              </a:solidFill>
            </c:spPr>
            <c:extLst>
              <c:ext xmlns:c16="http://schemas.microsoft.com/office/drawing/2014/chart" uri="{C3380CC4-5D6E-409C-BE32-E72D297353CC}">
                <c16:uniqueId val="{00000021-A831-4CE8-90C3-9E05DB1CCDF3}"/>
              </c:ext>
            </c:extLst>
          </c:dPt>
          <c:dPt>
            <c:idx val="17"/>
            <c:bubble3D val="0"/>
            <c:spPr>
              <a:noFill/>
            </c:spPr>
            <c:extLst>
              <c:ext xmlns:c16="http://schemas.microsoft.com/office/drawing/2014/chart" uri="{C3380CC4-5D6E-409C-BE32-E72D297353CC}">
                <c16:uniqueId val="{00000023-A831-4CE8-90C3-9E05DB1CCDF3}"/>
              </c:ext>
            </c:extLst>
          </c:dPt>
          <c:dPt>
            <c:idx val="18"/>
            <c:bubble3D val="0"/>
            <c:spPr>
              <a:noFill/>
            </c:spPr>
            <c:extLst>
              <c:ext xmlns:c16="http://schemas.microsoft.com/office/drawing/2014/chart" uri="{C3380CC4-5D6E-409C-BE32-E72D297353CC}">
                <c16:uniqueId val="{00000025-A831-4CE8-90C3-9E05DB1CCDF3}"/>
              </c:ext>
            </c:extLst>
          </c:dPt>
          <c:dPt>
            <c:idx val="19"/>
            <c:bubble3D val="0"/>
            <c:spPr>
              <a:solidFill>
                <a:schemeClr val="tx1"/>
              </a:solidFill>
            </c:spPr>
            <c:extLst>
              <c:ext xmlns:c16="http://schemas.microsoft.com/office/drawing/2014/chart" uri="{C3380CC4-5D6E-409C-BE32-E72D297353CC}">
                <c16:uniqueId val="{00000027-A831-4CE8-90C3-9E05DB1CCDF3}"/>
              </c:ext>
            </c:extLst>
          </c:dPt>
          <c:dPt>
            <c:idx val="20"/>
            <c:bubble3D val="0"/>
            <c:spPr>
              <a:noFill/>
            </c:spPr>
            <c:extLst>
              <c:ext xmlns:c16="http://schemas.microsoft.com/office/drawing/2014/chart" uri="{C3380CC4-5D6E-409C-BE32-E72D297353CC}">
                <c16:uniqueId val="{00000029-A831-4CE8-90C3-9E05DB1CCDF3}"/>
              </c:ext>
            </c:extLst>
          </c:dPt>
          <c:dPt>
            <c:idx val="21"/>
            <c:bubble3D val="0"/>
            <c:spPr>
              <a:noFill/>
            </c:spPr>
            <c:extLst>
              <c:ext xmlns:c16="http://schemas.microsoft.com/office/drawing/2014/chart" uri="{C3380CC4-5D6E-409C-BE32-E72D297353CC}">
                <c16:uniqueId val="{0000002B-A831-4CE8-90C3-9E05DB1CCDF3}"/>
              </c:ext>
            </c:extLst>
          </c:dPt>
          <c:dPt>
            <c:idx val="22"/>
            <c:bubble3D val="0"/>
            <c:spPr>
              <a:solidFill>
                <a:schemeClr val="tx1"/>
              </a:solidFill>
            </c:spPr>
            <c:extLst>
              <c:ext xmlns:c16="http://schemas.microsoft.com/office/drawing/2014/chart" uri="{C3380CC4-5D6E-409C-BE32-E72D297353CC}">
                <c16:uniqueId val="{0000002D-A831-4CE8-90C3-9E05DB1CCDF3}"/>
              </c:ext>
            </c:extLst>
          </c:dPt>
          <c:dPt>
            <c:idx val="23"/>
            <c:bubble3D val="0"/>
            <c:spPr>
              <a:noFill/>
            </c:spPr>
            <c:extLst>
              <c:ext xmlns:c16="http://schemas.microsoft.com/office/drawing/2014/chart" uri="{C3380CC4-5D6E-409C-BE32-E72D297353CC}">
                <c16:uniqueId val="{0000002F-A831-4CE8-90C3-9E05DB1CCDF3}"/>
              </c:ext>
            </c:extLst>
          </c:dPt>
          <c:dPt>
            <c:idx val="24"/>
            <c:bubble3D val="0"/>
            <c:spPr>
              <a:noFill/>
            </c:spPr>
            <c:extLst>
              <c:ext xmlns:c16="http://schemas.microsoft.com/office/drawing/2014/chart" uri="{C3380CC4-5D6E-409C-BE32-E72D297353CC}">
                <c16:uniqueId val="{00000031-A831-4CE8-90C3-9E05DB1CCDF3}"/>
              </c:ext>
            </c:extLst>
          </c:dPt>
          <c:dPt>
            <c:idx val="25"/>
            <c:bubble3D val="0"/>
            <c:spPr>
              <a:solidFill>
                <a:schemeClr val="tx1"/>
              </a:solidFill>
            </c:spPr>
            <c:extLst>
              <c:ext xmlns:c16="http://schemas.microsoft.com/office/drawing/2014/chart" uri="{C3380CC4-5D6E-409C-BE32-E72D297353CC}">
                <c16:uniqueId val="{00000033-A831-4CE8-90C3-9E05DB1CCDF3}"/>
              </c:ext>
            </c:extLst>
          </c:dPt>
          <c:dPt>
            <c:idx val="26"/>
            <c:bubble3D val="0"/>
            <c:spPr>
              <a:noFill/>
            </c:spPr>
            <c:extLst>
              <c:ext xmlns:c16="http://schemas.microsoft.com/office/drawing/2014/chart" uri="{C3380CC4-5D6E-409C-BE32-E72D297353CC}">
                <c16:uniqueId val="{00000035-A831-4CE8-90C3-9E05DB1CCDF3}"/>
              </c:ext>
            </c:extLst>
          </c:dPt>
          <c:dPt>
            <c:idx val="27"/>
            <c:bubble3D val="0"/>
            <c:spPr>
              <a:noFill/>
            </c:spPr>
            <c:extLst>
              <c:ext xmlns:c16="http://schemas.microsoft.com/office/drawing/2014/chart" uri="{C3380CC4-5D6E-409C-BE32-E72D297353CC}">
                <c16:uniqueId val="{00000037-A831-4CE8-90C3-9E05DB1CCDF3}"/>
              </c:ext>
            </c:extLst>
          </c:dPt>
          <c:dPt>
            <c:idx val="28"/>
            <c:bubble3D val="0"/>
            <c:spPr>
              <a:solidFill>
                <a:schemeClr val="tx1"/>
              </a:solidFill>
            </c:spPr>
            <c:extLst>
              <c:ext xmlns:c16="http://schemas.microsoft.com/office/drawing/2014/chart" uri="{C3380CC4-5D6E-409C-BE32-E72D297353CC}">
                <c16:uniqueId val="{00000039-A831-4CE8-90C3-9E05DB1CCDF3}"/>
              </c:ext>
            </c:extLst>
          </c:dPt>
          <c:dPt>
            <c:idx val="29"/>
            <c:bubble3D val="0"/>
            <c:spPr>
              <a:noFill/>
            </c:spPr>
            <c:extLst>
              <c:ext xmlns:c16="http://schemas.microsoft.com/office/drawing/2014/chart" uri="{C3380CC4-5D6E-409C-BE32-E72D297353CC}">
                <c16:uniqueId val="{0000003B-A831-4CE8-90C3-9E05DB1CCDF3}"/>
              </c:ext>
            </c:extLst>
          </c:dPt>
          <c:dPt>
            <c:idx val="30"/>
            <c:bubble3D val="0"/>
            <c:spPr>
              <a:noFill/>
            </c:spPr>
            <c:extLst>
              <c:ext xmlns:c16="http://schemas.microsoft.com/office/drawing/2014/chart" uri="{C3380CC4-5D6E-409C-BE32-E72D297353CC}">
                <c16:uniqueId val="{0000003D-A831-4CE8-90C3-9E05DB1CCDF3}"/>
              </c:ext>
            </c:extLst>
          </c:dPt>
          <c:dPt>
            <c:idx val="31"/>
            <c:bubble3D val="0"/>
            <c:spPr>
              <a:solidFill>
                <a:schemeClr val="tx1"/>
              </a:solidFill>
            </c:spPr>
            <c:extLst>
              <c:ext xmlns:c16="http://schemas.microsoft.com/office/drawing/2014/chart" uri="{C3380CC4-5D6E-409C-BE32-E72D297353CC}">
                <c16:uniqueId val="{0000003F-A831-4CE8-90C3-9E05DB1CCDF3}"/>
              </c:ext>
            </c:extLst>
          </c:dPt>
          <c:dPt>
            <c:idx val="32"/>
            <c:bubble3D val="0"/>
            <c:spPr>
              <a:noFill/>
            </c:spPr>
            <c:extLst>
              <c:ext xmlns:c16="http://schemas.microsoft.com/office/drawing/2014/chart" uri="{C3380CC4-5D6E-409C-BE32-E72D297353CC}">
                <c16:uniqueId val="{00000041-A831-4CE8-90C3-9E05DB1CCDF3}"/>
              </c:ext>
            </c:extLst>
          </c:dPt>
          <c:dPt>
            <c:idx val="33"/>
            <c:bubble3D val="0"/>
            <c:spPr>
              <a:noFill/>
            </c:spPr>
            <c:extLst>
              <c:ext xmlns:c16="http://schemas.microsoft.com/office/drawing/2014/chart" uri="{C3380CC4-5D6E-409C-BE32-E72D297353CC}">
                <c16:uniqueId val="{00000043-A831-4CE8-90C3-9E05DB1CCDF3}"/>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831-4CE8-90C3-9E05DB1CCDF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8F9A-4152-BAC3-790A6DAB2DCF}"/>
              </c:ext>
            </c:extLst>
          </c:dPt>
          <c:dPt>
            <c:idx val="1"/>
            <c:bubble3D val="0"/>
            <c:spPr>
              <a:solidFill>
                <a:srgbClr val="054680"/>
              </a:solidFill>
              <a:ln>
                <a:noFill/>
              </a:ln>
            </c:spPr>
            <c:extLst>
              <c:ext xmlns:c16="http://schemas.microsoft.com/office/drawing/2014/chart" uri="{C3380CC4-5D6E-409C-BE32-E72D297353CC}">
                <c16:uniqueId val="{00000003-8F9A-4152-BAC3-790A6DAB2DCF}"/>
              </c:ext>
            </c:extLst>
          </c:dPt>
          <c:dPt>
            <c:idx val="2"/>
            <c:bubble3D val="0"/>
            <c:spPr>
              <a:noFill/>
            </c:spPr>
            <c:extLst>
              <c:ext xmlns:c16="http://schemas.microsoft.com/office/drawing/2014/chart" uri="{C3380CC4-5D6E-409C-BE32-E72D297353CC}">
                <c16:uniqueId val="{00000005-8F9A-4152-BAC3-790A6DAB2DCF}"/>
              </c:ext>
            </c:extLst>
          </c:dPt>
          <c:dPt>
            <c:idx val="3"/>
            <c:bubble3D val="0"/>
            <c:spPr>
              <a:solidFill>
                <a:srgbClr val="CBE4EB"/>
              </a:solidFill>
              <a:ln>
                <a:noFill/>
              </a:ln>
            </c:spPr>
            <c:extLst>
              <c:ext xmlns:c16="http://schemas.microsoft.com/office/drawing/2014/chart" uri="{C3380CC4-5D6E-409C-BE32-E72D297353CC}">
                <c16:uniqueId val="{00000007-8F9A-4152-BAC3-790A6DAB2DCF}"/>
              </c:ext>
            </c:extLst>
          </c:dPt>
          <c:dPt>
            <c:idx val="4"/>
            <c:bubble3D val="0"/>
            <c:spPr>
              <a:solidFill>
                <a:srgbClr val="007AC5"/>
              </a:solidFill>
              <a:ln>
                <a:noFill/>
              </a:ln>
            </c:spPr>
            <c:extLst>
              <c:ext xmlns:c16="http://schemas.microsoft.com/office/drawing/2014/chart" uri="{C3380CC4-5D6E-409C-BE32-E72D297353CC}">
                <c16:uniqueId val="{00000009-8F9A-4152-BAC3-790A6DAB2DC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8F9A-4152-BAC3-790A6DAB2DC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1C5-41FF-8B8B-AF77DB724001}"/>
              </c:ext>
            </c:extLst>
          </c:dPt>
          <c:dPt>
            <c:idx val="1"/>
            <c:bubble3D val="0"/>
            <c:spPr>
              <a:solidFill>
                <a:schemeClr val="tx1"/>
              </a:solidFill>
              <a:ln>
                <a:noFill/>
              </a:ln>
            </c:spPr>
            <c:extLst>
              <c:ext xmlns:c16="http://schemas.microsoft.com/office/drawing/2014/chart" uri="{C3380CC4-5D6E-409C-BE32-E72D297353CC}">
                <c16:uniqueId val="{00000003-F1C5-41FF-8B8B-AF77DB724001}"/>
              </c:ext>
            </c:extLst>
          </c:dPt>
          <c:dPt>
            <c:idx val="2"/>
            <c:bubble3D val="0"/>
            <c:spPr>
              <a:noFill/>
            </c:spPr>
            <c:extLst>
              <c:ext xmlns:c16="http://schemas.microsoft.com/office/drawing/2014/chart" uri="{C3380CC4-5D6E-409C-BE32-E72D297353CC}">
                <c16:uniqueId val="{00000005-F1C5-41FF-8B8B-AF77DB724001}"/>
              </c:ext>
            </c:extLst>
          </c:dPt>
          <c:dPt>
            <c:idx val="3"/>
            <c:bubble3D val="0"/>
            <c:spPr>
              <a:noFill/>
            </c:spPr>
            <c:extLst>
              <c:ext xmlns:c16="http://schemas.microsoft.com/office/drawing/2014/chart" uri="{C3380CC4-5D6E-409C-BE32-E72D297353CC}">
                <c16:uniqueId val="{00000007-F1C5-41FF-8B8B-AF77DB724001}"/>
              </c:ext>
            </c:extLst>
          </c:dPt>
          <c:dPt>
            <c:idx val="4"/>
            <c:bubble3D val="0"/>
            <c:spPr>
              <a:solidFill>
                <a:schemeClr val="tx1"/>
              </a:solidFill>
              <a:ln>
                <a:noFill/>
              </a:ln>
            </c:spPr>
            <c:extLst>
              <c:ext xmlns:c16="http://schemas.microsoft.com/office/drawing/2014/chart" uri="{C3380CC4-5D6E-409C-BE32-E72D297353CC}">
                <c16:uniqueId val="{00000009-F1C5-41FF-8B8B-AF77DB724001}"/>
              </c:ext>
            </c:extLst>
          </c:dPt>
          <c:dPt>
            <c:idx val="5"/>
            <c:bubble3D val="0"/>
            <c:spPr>
              <a:noFill/>
            </c:spPr>
            <c:extLst>
              <c:ext xmlns:c16="http://schemas.microsoft.com/office/drawing/2014/chart" uri="{C3380CC4-5D6E-409C-BE32-E72D297353CC}">
                <c16:uniqueId val="{0000000B-F1C5-41FF-8B8B-AF77DB724001}"/>
              </c:ext>
            </c:extLst>
          </c:dPt>
          <c:dPt>
            <c:idx val="6"/>
            <c:bubble3D val="0"/>
            <c:spPr>
              <a:noFill/>
            </c:spPr>
            <c:extLst>
              <c:ext xmlns:c16="http://schemas.microsoft.com/office/drawing/2014/chart" uri="{C3380CC4-5D6E-409C-BE32-E72D297353CC}">
                <c16:uniqueId val="{0000000D-F1C5-41FF-8B8B-AF77DB724001}"/>
              </c:ext>
            </c:extLst>
          </c:dPt>
          <c:dPt>
            <c:idx val="7"/>
            <c:bubble3D val="0"/>
            <c:spPr>
              <a:solidFill>
                <a:schemeClr val="tx1"/>
              </a:solidFill>
              <a:ln>
                <a:noFill/>
              </a:ln>
            </c:spPr>
            <c:extLst>
              <c:ext xmlns:c16="http://schemas.microsoft.com/office/drawing/2014/chart" uri="{C3380CC4-5D6E-409C-BE32-E72D297353CC}">
                <c16:uniqueId val="{0000000F-F1C5-41FF-8B8B-AF77DB724001}"/>
              </c:ext>
            </c:extLst>
          </c:dPt>
          <c:dPt>
            <c:idx val="8"/>
            <c:bubble3D val="0"/>
            <c:spPr>
              <a:noFill/>
            </c:spPr>
            <c:extLst>
              <c:ext xmlns:c16="http://schemas.microsoft.com/office/drawing/2014/chart" uri="{C3380CC4-5D6E-409C-BE32-E72D297353CC}">
                <c16:uniqueId val="{00000011-F1C5-41FF-8B8B-AF77DB724001}"/>
              </c:ext>
            </c:extLst>
          </c:dPt>
          <c:dPt>
            <c:idx val="9"/>
            <c:bubble3D val="0"/>
            <c:spPr>
              <a:noFill/>
            </c:spPr>
            <c:extLst>
              <c:ext xmlns:c16="http://schemas.microsoft.com/office/drawing/2014/chart" uri="{C3380CC4-5D6E-409C-BE32-E72D297353CC}">
                <c16:uniqueId val="{00000013-F1C5-41FF-8B8B-AF77DB724001}"/>
              </c:ext>
            </c:extLst>
          </c:dPt>
          <c:dPt>
            <c:idx val="10"/>
            <c:bubble3D val="0"/>
            <c:spPr>
              <a:solidFill>
                <a:schemeClr val="tx1"/>
              </a:solidFill>
            </c:spPr>
            <c:extLst>
              <c:ext xmlns:c16="http://schemas.microsoft.com/office/drawing/2014/chart" uri="{C3380CC4-5D6E-409C-BE32-E72D297353CC}">
                <c16:uniqueId val="{00000015-F1C5-41FF-8B8B-AF77DB724001}"/>
              </c:ext>
            </c:extLst>
          </c:dPt>
          <c:dPt>
            <c:idx val="11"/>
            <c:bubble3D val="0"/>
            <c:spPr>
              <a:noFill/>
            </c:spPr>
            <c:extLst>
              <c:ext xmlns:c16="http://schemas.microsoft.com/office/drawing/2014/chart" uri="{C3380CC4-5D6E-409C-BE32-E72D297353CC}">
                <c16:uniqueId val="{00000017-F1C5-41FF-8B8B-AF77DB724001}"/>
              </c:ext>
            </c:extLst>
          </c:dPt>
          <c:dPt>
            <c:idx val="12"/>
            <c:bubble3D val="0"/>
            <c:spPr>
              <a:noFill/>
            </c:spPr>
            <c:extLst>
              <c:ext xmlns:c16="http://schemas.microsoft.com/office/drawing/2014/chart" uri="{C3380CC4-5D6E-409C-BE32-E72D297353CC}">
                <c16:uniqueId val="{00000019-F1C5-41FF-8B8B-AF77DB724001}"/>
              </c:ext>
            </c:extLst>
          </c:dPt>
          <c:dPt>
            <c:idx val="13"/>
            <c:bubble3D val="0"/>
            <c:spPr>
              <a:solidFill>
                <a:schemeClr val="tx1"/>
              </a:solidFill>
            </c:spPr>
            <c:extLst>
              <c:ext xmlns:c16="http://schemas.microsoft.com/office/drawing/2014/chart" uri="{C3380CC4-5D6E-409C-BE32-E72D297353CC}">
                <c16:uniqueId val="{0000001B-F1C5-41FF-8B8B-AF77DB724001}"/>
              </c:ext>
            </c:extLst>
          </c:dPt>
          <c:dPt>
            <c:idx val="14"/>
            <c:bubble3D val="0"/>
            <c:spPr>
              <a:noFill/>
            </c:spPr>
            <c:extLst>
              <c:ext xmlns:c16="http://schemas.microsoft.com/office/drawing/2014/chart" uri="{C3380CC4-5D6E-409C-BE32-E72D297353CC}">
                <c16:uniqueId val="{0000001D-F1C5-41FF-8B8B-AF77DB724001}"/>
              </c:ext>
            </c:extLst>
          </c:dPt>
          <c:dPt>
            <c:idx val="15"/>
            <c:bubble3D val="0"/>
            <c:spPr>
              <a:noFill/>
            </c:spPr>
            <c:extLst>
              <c:ext xmlns:c16="http://schemas.microsoft.com/office/drawing/2014/chart" uri="{C3380CC4-5D6E-409C-BE32-E72D297353CC}">
                <c16:uniqueId val="{0000001F-F1C5-41FF-8B8B-AF77DB724001}"/>
              </c:ext>
            </c:extLst>
          </c:dPt>
          <c:dPt>
            <c:idx val="16"/>
            <c:bubble3D val="0"/>
            <c:spPr>
              <a:solidFill>
                <a:schemeClr val="tx1"/>
              </a:solidFill>
            </c:spPr>
            <c:extLst>
              <c:ext xmlns:c16="http://schemas.microsoft.com/office/drawing/2014/chart" uri="{C3380CC4-5D6E-409C-BE32-E72D297353CC}">
                <c16:uniqueId val="{00000021-F1C5-41FF-8B8B-AF77DB724001}"/>
              </c:ext>
            </c:extLst>
          </c:dPt>
          <c:dPt>
            <c:idx val="17"/>
            <c:bubble3D val="0"/>
            <c:spPr>
              <a:noFill/>
            </c:spPr>
            <c:extLst>
              <c:ext xmlns:c16="http://schemas.microsoft.com/office/drawing/2014/chart" uri="{C3380CC4-5D6E-409C-BE32-E72D297353CC}">
                <c16:uniqueId val="{00000023-F1C5-41FF-8B8B-AF77DB724001}"/>
              </c:ext>
            </c:extLst>
          </c:dPt>
          <c:dPt>
            <c:idx val="18"/>
            <c:bubble3D val="0"/>
            <c:spPr>
              <a:noFill/>
            </c:spPr>
            <c:extLst>
              <c:ext xmlns:c16="http://schemas.microsoft.com/office/drawing/2014/chart" uri="{C3380CC4-5D6E-409C-BE32-E72D297353CC}">
                <c16:uniqueId val="{00000025-F1C5-41FF-8B8B-AF77DB724001}"/>
              </c:ext>
            </c:extLst>
          </c:dPt>
          <c:dPt>
            <c:idx val="19"/>
            <c:bubble3D val="0"/>
            <c:spPr>
              <a:solidFill>
                <a:schemeClr val="tx1"/>
              </a:solidFill>
            </c:spPr>
            <c:extLst>
              <c:ext xmlns:c16="http://schemas.microsoft.com/office/drawing/2014/chart" uri="{C3380CC4-5D6E-409C-BE32-E72D297353CC}">
                <c16:uniqueId val="{00000027-F1C5-41FF-8B8B-AF77DB724001}"/>
              </c:ext>
            </c:extLst>
          </c:dPt>
          <c:dPt>
            <c:idx val="20"/>
            <c:bubble3D val="0"/>
            <c:spPr>
              <a:noFill/>
            </c:spPr>
            <c:extLst>
              <c:ext xmlns:c16="http://schemas.microsoft.com/office/drawing/2014/chart" uri="{C3380CC4-5D6E-409C-BE32-E72D297353CC}">
                <c16:uniqueId val="{00000029-F1C5-41FF-8B8B-AF77DB724001}"/>
              </c:ext>
            </c:extLst>
          </c:dPt>
          <c:dPt>
            <c:idx val="21"/>
            <c:bubble3D val="0"/>
            <c:spPr>
              <a:noFill/>
            </c:spPr>
            <c:extLst>
              <c:ext xmlns:c16="http://schemas.microsoft.com/office/drawing/2014/chart" uri="{C3380CC4-5D6E-409C-BE32-E72D297353CC}">
                <c16:uniqueId val="{0000002B-F1C5-41FF-8B8B-AF77DB724001}"/>
              </c:ext>
            </c:extLst>
          </c:dPt>
          <c:dPt>
            <c:idx val="22"/>
            <c:bubble3D val="0"/>
            <c:spPr>
              <a:solidFill>
                <a:schemeClr val="tx1"/>
              </a:solidFill>
            </c:spPr>
            <c:extLst>
              <c:ext xmlns:c16="http://schemas.microsoft.com/office/drawing/2014/chart" uri="{C3380CC4-5D6E-409C-BE32-E72D297353CC}">
                <c16:uniqueId val="{0000002D-F1C5-41FF-8B8B-AF77DB724001}"/>
              </c:ext>
            </c:extLst>
          </c:dPt>
          <c:dPt>
            <c:idx val="23"/>
            <c:bubble3D val="0"/>
            <c:spPr>
              <a:noFill/>
            </c:spPr>
            <c:extLst>
              <c:ext xmlns:c16="http://schemas.microsoft.com/office/drawing/2014/chart" uri="{C3380CC4-5D6E-409C-BE32-E72D297353CC}">
                <c16:uniqueId val="{0000002F-F1C5-41FF-8B8B-AF77DB724001}"/>
              </c:ext>
            </c:extLst>
          </c:dPt>
          <c:dPt>
            <c:idx val="24"/>
            <c:bubble3D val="0"/>
            <c:spPr>
              <a:noFill/>
            </c:spPr>
            <c:extLst>
              <c:ext xmlns:c16="http://schemas.microsoft.com/office/drawing/2014/chart" uri="{C3380CC4-5D6E-409C-BE32-E72D297353CC}">
                <c16:uniqueId val="{00000031-F1C5-41FF-8B8B-AF77DB724001}"/>
              </c:ext>
            </c:extLst>
          </c:dPt>
          <c:dPt>
            <c:idx val="25"/>
            <c:bubble3D val="0"/>
            <c:spPr>
              <a:solidFill>
                <a:schemeClr val="tx1"/>
              </a:solidFill>
            </c:spPr>
            <c:extLst>
              <c:ext xmlns:c16="http://schemas.microsoft.com/office/drawing/2014/chart" uri="{C3380CC4-5D6E-409C-BE32-E72D297353CC}">
                <c16:uniqueId val="{00000033-F1C5-41FF-8B8B-AF77DB724001}"/>
              </c:ext>
            </c:extLst>
          </c:dPt>
          <c:dPt>
            <c:idx val="26"/>
            <c:bubble3D val="0"/>
            <c:spPr>
              <a:noFill/>
            </c:spPr>
            <c:extLst>
              <c:ext xmlns:c16="http://schemas.microsoft.com/office/drawing/2014/chart" uri="{C3380CC4-5D6E-409C-BE32-E72D297353CC}">
                <c16:uniqueId val="{00000035-F1C5-41FF-8B8B-AF77DB724001}"/>
              </c:ext>
            </c:extLst>
          </c:dPt>
          <c:dPt>
            <c:idx val="27"/>
            <c:bubble3D val="0"/>
            <c:spPr>
              <a:noFill/>
            </c:spPr>
            <c:extLst>
              <c:ext xmlns:c16="http://schemas.microsoft.com/office/drawing/2014/chart" uri="{C3380CC4-5D6E-409C-BE32-E72D297353CC}">
                <c16:uniqueId val="{00000037-F1C5-41FF-8B8B-AF77DB724001}"/>
              </c:ext>
            </c:extLst>
          </c:dPt>
          <c:dPt>
            <c:idx val="28"/>
            <c:bubble3D val="0"/>
            <c:spPr>
              <a:solidFill>
                <a:schemeClr val="tx1"/>
              </a:solidFill>
            </c:spPr>
            <c:extLst>
              <c:ext xmlns:c16="http://schemas.microsoft.com/office/drawing/2014/chart" uri="{C3380CC4-5D6E-409C-BE32-E72D297353CC}">
                <c16:uniqueId val="{00000039-F1C5-41FF-8B8B-AF77DB724001}"/>
              </c:ext>
            </c:extLst>
          </c:dPt>
          <c:dPt>
            <c:idx val="29"/>
            <c:bubble3D val="0"/>
            <c:spPr>
              <a:noFill/>
            </c:spPr>
            <c:extLst>
              <c:ext xmlns:c16="http://schemas.microsoft.com/office/drawing/2014/chart" uri="{C3380CC4-5D6E-409C-BE32-E72D297353CC}">
                <c16:uniqueId val="{0000003B-F1C5-41FF-8B8B-AF77DB724001}"/>
              </c:ext>
            </c:extLst>
          </c:dPt>
          <c:dPt>
            <c:idx val="30"/>
            <c:bubble3D val="0"/>
            <c:spPr>
              <a:noFill/>
            </c:spPr>
            <c:extLst>
              <c:ext xmlns:c16="http://schemas.microsoft.com/office/drawing/2014/chart" uri="{C3380CC4-5D6E-409C-BE32-E72D297353CC}">
                <c16:uniqueId val="{0000003D-F1C5-41FF-8B8B-AF77DB724001}"/>
              </c:ext>
            </c:extLst>
          </c:dPt>
          <c:dPt>
            <c:idx val="31"/>
            <c:bubble3D val="0"/>
            <c:spPr>
              <a:solidFill>
                <a:schemeClr val="tx1"/>
              </a:solidFill>
            </c:spPr>
            <c:extLst>
              <c:ext xmlns:c16="http://schemas.microsoft.com/office/drawing/2014/chart" uri="{C3380CC4-5D6E-409C-BE32-E72D297353CC}">
                <c16:uniqueId val="{0000003F-F1C5-41FF-8B8B-AF77DB724001}"/>
              </c:ext>
            </c:extLst>
          </c:dPt>
          <c:dPt>
            <c:idx val="32"/>
            <c:bubble3D val="0"/>
            <c:spPr>
              <a:noFill/>
            </c:spPr>
            <c:extLst>
              <c:ext xmlns:c16="http://schemas.microsoft.com/office/drawing/2014/chart" uri="{C3380CC4-5D6E-409C-BE32-E72D297353CC}">
                <c16:uniqueId val="{00000041-F1C5-41FF-8B8B-AF77DB724001}"/>
              </c:ext>
            </c:extLst>
          </c:dPt>
          <c:dPt>
            <c:idx val="33"/>
            <c:bubble3D val="0"/>
            <c:spPr>
              <a:noFill/>
            </c:spPr>
            <c:extLst>
              <c:ext xmlns:c16="http://schemas.microsoft.com/office/drawing/2014/chart" uri="{C3380CC4-5D6E-409C-BE32-E72D297353CC}">
                <c16:uniqueId val="{00000043-F1C5-41FF-8B8B-AF77DB724001}"/>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1C5-41FF-8B8B-AF77DB72400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370-44A4-B7E7-8C2019415460}"/>
              </c:ext>
            </c:extLst>
          </c:dPt>
          <c:dPt>
            <c:idx val="1"/>
            <c:bubble3D val="0"/>
            <c:spPr>
              <a:solidFill>
                <a:schemeClr val="accent3">
                  <a:lumMod val="50000"/>
                </a:schemeClr>
              </a:solidFill>
              <a:ln>
                <a:noFill/>
              </a:ln>
            </c:spPr>
            <c:extLst>
              <c:ext xmlns:c16="http://schemas.microsoft.com/office/drawing/2014/chart" uri="{C3380CC4-5D6E-409C-BE32-E72D297353CC}">
                <c16:uniqueId val="{00000003-6370-44A4-B7E7-8C2019415460}"/>
              </c:ext>
            </c:extLst>
          </c:dPt>
          <c:dPt>
            <c:idx val="2"/>
            <c:bubble3D val="0"/>
            <c:spPr>
              <a:noFill/>
            </c:spPr>
            <c:extLst>
              <c:ext xmlns:c16="http://schemas.microsoft.com/office/drawing/2014/chart" uri="{C3380CC4-5D6E-409C-BE32-E72D297353CC}">
                <c16:uniqueId val="{00000005-6370-44A4-B7E7-8C2019415460}"/>
              </c:ext>
            </c:extLst>
          </c:dPt>
          <c:dPt>
            <c:idx val="3"/>
            <c:bubble3D val="0"/>
            <c:spPr>
              <a:solidFill>
                <a:srgbClr val="CBE4EB"/>
              </a:solidFill>
              <a:ln>
                <a:noFill/>
              </a:ln>
            </c:spPr>
            <c:extLst>
              <c:ext xmlns:c16="http://schemas.microsoft.com/office/drawing/2014/chart" uri="{C3380CC4-5D6E-409C-BE32-E72D297353CC}">
                <c16:uniqueId val="{00000007-6370-44A4-B7E7-8C2019415460}"/>
              </c:ext>
            </c:extLst>
          </c:dPt>
          <c:dPt>
            <c:idx val="4"/>
            <c:bubble3D val="0"/>
            <c:spPr>
              <a:solidFill>
                <a:schemeClr val="accent3"/>
              </a:solidFill>
              <a:ln>
                <a:noFill/>
              </a:ln>
            </c:spPr>
            <c:extLst>
              <c:ext xmlns:c16="http://schemas.microsoft.com/office/drawing/2014/chart" uri="{C3380CC4-5D6E-409C-BE32-E72D297353CC}">
                <c16:uniqueId val="{00000009-6370-44A4-B7E7-8C201941546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370-44A4-B7E7-8C201941546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explosion val="80"/>
          <c:dPt>
            <c:idx val="0"/>
            <c:bubble3D val="0"/>
            <c:spPr>
              <a:noFill/>
            </c:spPr>
            <c:extLst>
              <c:ext xmlns:c16="http://schemas.microsoft.com/office/drawing/2014/chart" uri="{C3380CC4-5D6E-409C-BE32-E72D297353CC}">
                <c16:uniqueId val="{00000001-594C-4B8C-B5F8-006E84E286FF}"/>
              </c:ext>
            </c:extLst>
          </c:dPt>
          <c:dPt>
            <c:idx val="1"/>
            <c:bubble3D val="0"/>
            <c:spPr>
              <a:solidFill>
                <a:schemeClr val="tx1"/>
              </a:solidFill>
              <a:ln>
                <a:noFill/>
              </a:ln>
            </c:spPr>
            <c:extLst>
              <c:ext xmlns:c16="http://schemas.microsoft.com/office/drawing/2014/chart" uri="{C3380CC4-5D6E-409C-BE32-E72D297353CC}">
                <c16:uniqueId val="{00000003-594C-4B8C-B5F8-006E84E286FF}"/>
              </c:ext>
            </c:extLst>
          </c:dPt>
          <c:dPt>
            <c:idx val="2"/>
            <c:bubble3D val="0"/>
            <c:spPr>
              <a:noFill/>
            </c:spPr>
            <c:extLst>
              <c:ext xmlns:c16="http://schemas.microsoft.com/office/drawing/2014/chart" uri="{C3380CC4-5D6E-409C-BE32-E72D297353CC}">
                <c16:uniqueId val="{00000005-594C-4B8C-B5F8-006E84E286FF}"/>
              </c:ext>
            </c:extLst>
          </c:dPt>
          <c:dPt>
            <c:idx val="3"/>
            <c:bubble3D val="0"/>
            <c:spPr>
              <a:noFill/>
            </c:spPr>
            <c:extLst>
              <c:ext xmlns:c16="http://schemas.microsoft.com/office/drawing/2014/chart" uri="{C3380CC4-5D6E-409C-BE32-E72D297353CC}">
                <c16:uniqueId val="{00000007-594C-4B8C-B5F8-006E84E286FF}"/>
              </c:ext>
            </c:extLst>
          </c:dPt>
          <c:dPt>
            <c:idx val="4"/>
            <c:bubble3D val="0"/>
            <c:spPr>
              <a:solidFill>
                <a:schemeClr val="tx1"/>
              </a:solidFill>
              <a:ln>
                <a:noFill/>
              </a:ln>
            </c:spPr>
            <c:extLst>
              <c:ext xmlns:c16="http://schemas.microsoft.com/office/drawing/2014/chart" uri="{C3380CC4-5D6E-409C-BE32-E72D297353CC}">
                <c16:uniqueId val="{00000009-594C-4B8C-B5F8-006E84E286FF}"/>
              </c:ext>
            </c:extLst>
          </c:dPt>
          <c:dPt>
            <c:idx val="5"/>
            <c:bubble3D val="0"/>
            <c:spPr>
              <a:noFill/>
            </c:spPr>
            <c:extLst>
              <c:ext xmlns:c16="http://schemas.microsoft.com/office/drawing/2014/chart" uri="{C3380CC4-5D6E-409C-BE32-E72D297353CC}">
                <c16:uniqueId val="{0000000B-594C-4B8C-B5F8-006E84E286FF}"/>
              </c:ext>
            </c:extLst>
          </c:dPt>
          <c:dPt>
            <c:idx val="6"/>
            <c:bubble3D val="0"/>
            <c:spPr>
              <a:noFill/>
            </c:spPr>
            <c:extLst>
              <c:ext xmlns:c16="http://schemas.microsoft.com/office/drawing/2014/chart" uri="{C3380CC4-5D6E-409C-BE32-E72D297353CC}">
                <c16:uniqueId val="{0000000D-594C-4B8C-B5F8-006E84E286FF}"/>
              </c:ext>
            </c:extLst>
          </c:dPt>
          <c:dPt>
            <c:idx val="7"/>
            <c:bubble3D val="0"/>
            <c:spPr>
              <a:solidFill>
                <a:schemeClr val="tx1"/>
              </a:solidFill>
              <a:ln>
                <a:noFill/>
              </a:ln>
            </c:spPr>
            <c:extLst>
              <c:ext xmlns:c16="http://schemas.microsoft.com/office/drawing/2014/chart" uri="{C3380CC4-5D6E-409C-BE32-E72D297353CC}">
                <c16:uniqueId val="{0000000F-594C-4B8C-B5F8-006E84E286FF}"/>
              </c:ext>
            </c:extLst>
          </c:dPt>
          <c:dPt>
            <c:idx val="8"/>
            <c:bubble3D val="0"/>
            <c:spPr>
              <a:noFill/>
            </c:spPr>
            <c:extLst>
              <c:ext xmlns:c16="http://schemas.microsoft.com/office/drawing/2014/chart" uri="{C3380CC4-5D6E-409C-BE32-E72D297353CC}">
                <c16:uniqueId val="{00000011-594C-4B8C-B5F8-006E84E286FF}"/>
              </c:ext>
            </c:extLst>
          </c:dPt>
          <c:dPt>
            <c:idx val="9"/>
            <c:bubble3D val="0"/>
            <c:spPr>
              <a:noFill/>
            </c:spPr>
            <c:extLst>
              <c:ext xmlns:c16="http://schemas.microsoft.com/office/drawing/2014/chart" uri="{C3380CC4-5D6E-409C-BE32-E72D297353CC}">
                <c16:uniqueId val="{00000013-594C-4B8C-B5F8-006E84E286FF}"/>
              </c:ext>
            </c:extLst>
          </c:dPt>
          <c:dPt>
            <c:idx val="10"/>
            <c:bubble3D val="0"/>
            <c:spPr>
              <a:solidFill>
                <a:schemeClr val="tx1"/>
              </a:solidFill>
            </c:spPr>
            <c:extLst>
              <c:ext xmlns:c16="http://schemas.microsoft.com/office/drawing/2014/chart" uri="{C3380CC4-5D6E-409C-BE32-E72D297353CC}">
                <c16:uniqueId val="{00000015-594C-4B8C-B5F8-006E84E286FF}"/>
              </c:ext>
            </c:extLst>
          </c:dPt>
          <c:dPt>
            <c:idx val="11"/>
            <c:bubble3D val="0"/>
            <c:spPr>
              <a:noFill/>
            </c:spPr>
            <c:extLst>
              <c:ext xmlns:c16="http://schemas.microsoft.com/office/drawing/2014/chart" uri="{C3380CC4-5D6E-409C-BE32-E72D297353CC}">
                <c16:uniqueId val="{00000017-594C-4B8C-B5F8-006E84E286FF}"/>
              </c:ext>
            </c:extLst>
          </c:dPt>
          <c:dPt>
            <c:idx val="12"/>
            <c:bubble3D val="0"/>
            <c:spPr>
              <a:noFill/>
            </c:spPr>
            <c:extLst>
              <c:ext xmlns:c16="http://schemas.microsoft.com/office/drawing/2014/chart" uri="{C3380CC4-5D6E-409C-BE32-E72D297353CC}">
                <c16:uniqueId val="{00000019-594C-4B8C-B5F8-006E84E286FF}"/>
              </c:ext>
            </c:extLst>
          </c:dPt>
          <c:dPt>
            <c:idx val="13"/>
            <c:bubble3D val="0"/>
            <c:spPr>
              <a:solidFill>
                <a:schemeClr val="tx1"/>
              </a:solidFill>
            </c:spPr>
            <c:extLst>
              <c:ext xmlns:c16="http://schemas.microsoft.com/office/drawing/2014/chart" uri="{C3380CC4-5D6E-409C-BE32-E72D297353CC}">
                <c16:uniqueId val="{0000001B-594C-4B8C-B5F8-006E84E286FF}"/>
              </c:ext>
            </c:extLst>
          </c:dPt>
          <c:dPt>
            <c:idx val="14"/>
            <c:bubble3D val="0"/>
            <c:spPr>
              <a:noFill/>
            </c:spPr>
            <c:extLst>
              <c:ext xmlns:c16="http://schemas.microsoft.com/office/drawing/2014/chart" uri="{C3380CC4-5D6E-409C-BE32-E72D297353CC}">
                <c16:uniqueId val="{0000001D-594C-4B8C-B5F8-006E84E286FF}"/>
              </c:ext>
            </c:extLst>
          </c:dPt>
          <c:dPt>
            <c:idx val="15"/>
            <c:bubble3D val="0"/>
            <c:spPr>
              <a:noFill/>
            </c:spPr>
            <c:extLst>
              <c:ext xmlns:c16="http://schemas.microsoft.com/office/drawing/2014/chart" uri="{C3380CC4-5D6E-409C-BE32-E72D297353CC}">
                <c16:uniqueId val="{0000001F-594C-4B8C-B5F8-006E84E286FF}"/>
              </c:ext>
            </c:extLst>
          </c:dPt>
          <c:dPt>
            <c:idx val="16"/>
            <c:bubble3D val="0"/>
            <c:spPr>
              <a:solidFill>
                <a:schemeClr val="tx1"/>
              </a:solidFill>
            </c:spPr>
            <c:extLst>
              <c:ext xmlns:c16="http://schemas.microsoft.com/office/drawing/2014/chart" uri="{C3380CC4-5D6E-409C-BE32-E72D297353CC}">
                <c16:uniqueId val="{00000021-594C-4B8C-B5F8-006E84E286FF}"/>
              </c:ext>
            </c:extLst>
          </c:dPt>
          <c:dPt>
            <c:idx val="17"/>
            <c:bubble3D val="0"/>
            <c:spPr>
              <a:noFill/>
            </c:spPr>
            <c:extLst>
              <c:ext xmlns:c16="http://schemas.microsoft.com/office/drawing/2014/chart" uri="{C3380CC4-5D6E-409C-BE32-E72D297353CC}">
                <c16:uniqueId val="{00000023-594C-4B8C-B5F8-006E84E286FF}"/>
              </c:ext>
            </c:extLst>
          </c:dPt>
          <c:dPt>
            <c:idx val="18"/>
            <c:bubble3D val="0"/>
            <c:spPr>
              <a:noFill/>
            </c:spPr>
            <c:extLst>
              <c:ext xmlns:c16="http://schemas.microsoft.com/office/drawing/2014/chart" uri="{C3380CC4-5D6E-409C-BE32-E72D297353CC}">
                <c16:uniqueId val="{00000025-594C-4B8C-B5F8-006E84E286FF}"/>
              </c:ext>
            </c:extLst>
          </c:dPt>
          <c:dPt>
            <c:idx val="19"/>
            <c:bubble3D val="0"/>
            <c:spPr>
              <a:solidFill>
                <a:schemeClr val="tx1"/>
              </a:solidFill>
            </c:spPr>
            <c:extLst>
              <c:ext xmlns:c16="http://schemas.microsoft.com/office/drawing/2014/chart" uri="{C3380CC4-5D6E-409C-BE32-E72D297353CC}">
                <c16:uniqueId val="{00000027-594C-4B8C-B5F8-006E84E286FF}"/>
              </c:ext>
            </c:extLst>
          </c:dPt>
          <c:dPt>
            <c:idx val="20"/>
            <c:bubble3D val="0"/>
            <c:spPr>
              <a:noFill/>
            </c:spPr>
            <c:extLst>
              <c:ext xmlns:c16="http://schemas.microsoft.com/office/drawing/2014/chart" uri="{C3380CC4-5D6E-409C-BE32-E72D297353CC}">
                <c16:uniqueId val="{00000029-594C-4B8C-B5F8-006E84E286FF}"/>
              </c:ext>
            </c:extLst>
          </c:dPt>
          <c:dPt>
            <c:idx val="21"/>
            <c:bubble3D val="0"/>
            <c:spPr>
              <a:noFill/>
            </c:spPr>
            <c:extLst>
              <c:ext xmlns:c16="http://schemas.microsoft.com/office/drawing/2014/chart" uri="{C3380CC4-5D6E-409C-BE32-E72D297353CC}">
                <c16:uniqueId val="{0000002B-594C-4B8C-B5F8-006E84E286FF}"/>
              </c:ext>
            </c:extLst>
          </c:dPt>
          <c:dPt>
            <c:idx val="22"/>
            <c:bubble3D val="0"/>
            <c:spPr>
              <a:solidFill>
                <a:schemeClr val="tx1"/>
              </a:solidFill>
            </c:spPr>
            <c:extLst>
              <c:ext xmlns:c16="http://schemas.microsoft.com/office/drawing/2014/chart" uri="{C3380CC4-5D6E-409C-BE32-E72D297353CC}">
                <c16:uniqueId val="{0000002D-594C-4B8C-B5F8-006E84E286FF}"/>
              </c:ext>
            </c:extLst>
          </c:dPt>
          <c:dPt>
            <c:idx val="23"/>
            <c:bubble3D val="0"/>
            <c:spPr>
              <a:noFill/>
            </c:spPr>
            <c:extLst>
              <c:ext xmlns:c16="http://schemas.microsoft.com/office/drawing/2014/chart" uri="{C3380CC4-5D6E-409C-BE32-E72D297353CC}">
                <c16:uniqueId val="{0000002F-594C-4B8C-B5F8-006E84E286FF}"/>
              </c:ext>
            </c:extLst>
          </c:dPt>
          <c:dPt>
            <c:idx val="24"/>
            <c:bubble3D val="0"/>
            <c:spPr>
              <a:noFill/>
            </c:spPr>
            <c:extLst>
              <c:ext xmlns:c16="http://schemas.microsoft.com/office/drawing/2014/chart" uri="{C3380CC4-5D6E-409C-BE32-E72D297353CC}">
                <c16:uniqueId val="{00000031-594C-4B8C-B5F8-006E84E286FF}"/>
              </c:ext>
            </c:extLst>
          </c:dPt>
          <c:dPt>
            <c:idx val="25"/>
            <c:bubble3D val="0"/>
            <c:spPr>
              <a:solidFill>
                <a:schemeClr val="tx1"/>
              </a:solidFill>
            </c:spPr>
            <c:extLst>
              <c:ext xmlns:c16="http://schemas.microsoft.com/office/drawing/2014/chart" uri="{C3380CC4-5D6E-409C-BE32-E72D297353CC}">
                <c16:uniqueId val="{00000033-594C-4B8C-B5F8-006E84E286FF}"/>
              </c:ext>
            </c:extLst>
          </c:dPt>
          <c:dPt>
            <c:idx val="26"/>
            <c:bubble3D val="0"/>
            <c:spPr>
              <a:noFill/>
            </c:spPr>
            <c:extLst>
              <c:ext xmlns:c16="http://schemas.microsoft.com/office/drawing/2014/chart" uri="{C3380CC4-5D6E-409C-BE32-E72D297353CC}">
                <c16:uniqueId val="{00000035-594C-4B8C-B5F8-006E84E286FF}"/>
              </c:ext>
            </c:extLst>
          </c:dPt>
          <c:dPt>
            <c:idx val="27"/>
            <c:bubble3D val="0"/>
            <c:spPr>
              <a:noFill/>
            </c:spPr>
            <c:extLst>
              <c:ext xmlns:c16="http://schemas.microsoft.com/office/drawing/2014/chart" uri="{C3380CC4-5D6E-409C-BE32-E72D297353CC}">
                <c16:uniqueId val="{00000037-594C-4B8C-B5F8-006E84E286FF}"/>
              </c:ext>
            </c:extLst>
          </c:dPt>
          <c:dPt>
            <c:idx val="28"/>
            <c:bubble3D val="0"/>
            <c:spPr>
              <a:solidFill>
                <a:schemeClr val="tx1"/>
              </a:solidFill>
            </c:spPr>
            <c:extLst>
              <c:ext xmlns:c16="http://schemas.microsoft.com/office/drawing/2014/chart" uri="{C3380CC4-5D6E-409C-BE32-E72D297353CC}">
                <c16:uniqueId val="{00000039-594C-4B8C-B5F8-006E84E286FF}"/>
              </c:ext>
            </c:extLst>
          </c:dPt>
          <c:dPt>
            <c:idx val="29"/>
            <c:bubble3D val="0"/>
            <c:spPr>
              <a:noFill/>
            </c:spPr>
            <c:extLst>
              <c:ext xmlns:c16="http://schemas.microsoft.com/office/drawing/2014/chart" uri="{C3380CC4-5D6E-409C-BE32-E72D297353CC}">
                <c16:uniqueId val="{0000003B-594C-4B8C-B5F8-006E84E286FF}"/>
              </c:ext>
            </c:extLst>
          </c:dPt>
          <c:dPt>
            <c:idx val="30"/>
            <c:bubble3D val="0"/>
            <c:spPr>
              <a:noFill/>
            </c:spPr>
            <c:extLst>
              <c:ext xmlns:c16="http://schemas.microsoft.com/office/drawing/2014/chart" uri="{C3380CC4-5D6E-409C-BE32-E72D297353CC}">
                <c16:uniqueId val="{0000003D-594C-4B8C-B5F8-006E84E286FF}"/>
              </c:ext>
            </c:extLst>
          </c:dPt>
          <c:dPt>
            <c:idx val="31"/>
            <c:bubble3D val="0"/>
            <c:spPr>
              <a:solidFill>
                <a:schemeClr val="tx1"/>
              </a:solidFill>
            </c:spPr>
            <c:extLst>
              <c:ext xmlns:c16="http://schemas.microsoft.com/office/drawing/2014/chart" uri="{C3380CC4-5D6E-409C-BE32-E72D297353CC}">
                <c16:uniqueId val="{0000003F-594C-4B8C-B5F8-006E84E286FF}"/>
              </c:ext>
            </c:extLst>
          </c:dPt>
          <c:dPt>
            <c:idx val="32"/>
            <c:bubble3D val="0"/>
            <c:spPr>
              <a:noFill/>
            </c:spPr>
            <c:extLst>
              <c:ext xmlns:c16="http://schemas.microsoft.com/office/drawing/2014/chart" uri="{C3380CC4-5D6E-409C-BE32-E72D297353CC}">
                <c16:uniqueId val="{00000041-594C-4B8C-B5F8-006E84E286FF}"/>
              </c:ext>
            </c:extLst>
          </c:dPt>
          <c:dPt>
            <c:idx val="33"/>
            <c:bubble3D val="0"/>
            <c:spPr>
              <a:noFill/>
            </c:spPr>
            <c:extLst>
              <c:ext xmlns:c16="http://schemas.microsoft.com/office/drawing/2014/chart" uri="{C3380CC4-5D6E-409C-BE32-E72D297353CC}">
                <c16:uniqueId val="{00000043-594C-4B8C-B5F8-006E84E286FF}"/>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94C-4B8C-B5F8-006E84E286FF}"/>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E145-4184-9A9D-6F13405DF678}"/>
              </c:ext>
            </c:extLst>
          </c:dPt>
          <c:dPt>
            <c:idx val="1"/>
            <c:bubble3D val="0"/>
            <c:spPr>
              <a:solidFill>
                <a:srgbClr val="054680"/>
              </a:solidFill>
              <a:ln>
                <a:noFill/>
              </a:ln>
            </c:spPr>
            <c:extLst>
              <c:ext xmlns:c16="http://schemas.microsoft.com/office/drawing/2014/chart" uri="{C3380CC4-5D6E-409C-BE32-E72D297353CC}">
                <c16:uniqueId val="{00000003-E145-4184-9A9D-6F13405DF678}"/>
              </c:ext>
            </c:extLst>
          </c:dPt>
          <c:dPt>
            <c:idx val="2"/>
            <c:bubble3D val="0"/>
            <c:spPr>
              <a:noFill/>
            </c:spPr>
            <c:extLst>
              <c:ext xmlns:c16="http://schemas.microsoft.com/office/drawing/2014/chart" uri="{C3380CC4-5D6E-409C-BE32-E72D297353CC}">
                <c16:uniqueId val="{00000005-E145-4184-9A9D-6F13405DF678}"/>
              </c:ext>
            </c:extLst>
          </c:dPt>
          <c:dPt>
            <c:idx val="3"/>
            <c:bubble3D val="0"/>
            <c:spPr>
              <a:solidFill>
                <a:srgbClr val="CBE4EB"/>
              </a:solidFill>
              <a:ln>
                <a:noFill/>
              </a:ln>
            </c:spPr>
            <c:extLst>
              <c:ext xmlns:c16="http://schemas.microsoft.com/office/drawing/2014/chart" uri="{C3380CC4-5D6E-409C-BE32-E72D297353CC}">
                <c16:uniqueId val="{00000007-E145-4184-9A9D-6F13405DF678}"/>
              </c:ext>
            </c:extLst>
          </c:dPt>
          <c:dPt>
            <c:idx val="4"/>
            <c:bubble3D val="0"/>
            <c:spPr>
              <a:solidFill>
                <a:srgbClr val="007AC5"/>
              </a:solidFill>
              <a:ln>
                <a:noFill/>
              </a:ln>
            </c:spPr>
            <c:extLst>
              <c:ext xmlns:c16="http://schemas.microsoft.com/office/drawing/2014/chart" uri="{C3380CC4-5D6E-409C-BE32-E72D297353CC}">
                <c16:uniqueId val="{00000009-E145-4184-9A9D-6F13405DF678}"/>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145-4184-9A9D-6F13405DF678}"/>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1EC-43AC-8B41-47FB6DE22B6D}"/>
              </c:ext>
            </c:extLst>
          </c:dPt>
          <c:dPt>
            <c:idx val="1"/>
            <c:bubble3D val="0"/>
            <c:spPr>
              <a:solidFill>
                <a:schemeClr val="tx1"/>
              </a:solidFill>
              <a:ln>
                <a:noFill/>
              </a:ln>
            </c:spPr>
            <c:extLst>
              <c:ext xmlns:c16="http://schemas.microsoft.com/office/drawing/2014/chart" uri="{C3380CC4-5D6E-409C-BE32-E72D297353CC}">
                <c16:uniqueId val="{00000003-21EC-43AC-8B41-47FB6DE22B6D}"/>
              </c:ext>
            </c:extLst>
          </c:dPt>
          <c:dPt>
            <c:idx val="2"/>
            <c:bubble3D val="0"/>
            <c:spPr>
              <a:noFill/>
            </c:spPr>
            <c:extLst>
              <c:ext xmlns:c16="http://schemas.microsoft.com/office/drawing/2014/chart" uri="{C3380CC4-5D6E-409C-BE32-E72D297353CC}">
                <c16:uniqueId val="{00000005-21EC-43AC-8B41-47FB6DE22B6D}"/>
              </c:ext>
            </c:extLst>
          </c:dPt>
          <c:dPt>
            <c:idx val="3"/>
            <c:bubble3D val="0"/>
            <c:spPr>
              <a:noFill/>
            </c:spPr>
            <c:extLst>
              <c:ext xmlns:c16="http://schemas.microsoft.com/office/drawing/2014/chart" uri="{C3380CC4-5D6E-409C-BE32-E72D297353CC}">
                <c16:uniqueId val="{00000007-21EC-43AC-8B41-47FB6DE22B6D}"/>
              </c:ext>
            </c:extLst>
          </c:dPt>
          <c:dPt>
            <c:idx val="4"/>
            <c:bubble3D val="0"/>
            <c:spPr>
              <a:solidFill>
                <a:schemeClr val="tx1"/>
              </a:solidFill>
              <a:ln>
                <a:noFill/>
              </a:ln>
            </c:spPr>
            <c:extLst>
              <c:ext xmlns:c16="http://schemas.microsoft.com/office/drawing/2014/chart" uri="{C3380CC4-5D6E-409C-BE32-E72D297353CC}">
                <c16:uniqueId val="{00000009-21EC-43AC-8B41-47FB6DE22B6D}"/>
              </c:ext>
            </c:extLst>
          </c:dPt>
          <c:dPt>
            <c:idx val="5"/>
            <c:bubble3D val="0"/>
            <c:spPr>
              <a:noFill/>
            </c:spPr>
            <c:extLst>
              <c:ext xmlns:c16="http://schemas.microsoft.com/office/drawing/2014/chart" uri="{C3380CC4-5D6E-409C-BE32-E72D297353CC}">
                <c16:uniqueId val="{0000000B-21EC-43AC-8B41-47FB6DE22B6D}"/>
              </c:ext>
            </c:extLst>
          </c:dPt>
          <c:dPt>
            <c:idx val="6"/>
            <c:bubble3D val="0"/>
            <c:spPr>
              <a:noFill/>
            </c:spPr>
            <c:extLst>
              <c:ext xmlns:c16="http://schemas.microsoft.com/office/drawing/2014/chart" uri="{C3380CC4-5D6E-409C-BE32-E72D297353CC}">
                <c16:uniqueId val="{0000000D-21EC-43AC-8B41-47FB6DE22B6D}"/>
              </c:ext>
            </c:extLst>
          </c:dPt>
          <c:dPt>
            <c:idx val="7"/>
            <c:bubble3D val="0"/>
            <c:spPr>
              <a:solidFill>
                <a:schemeClr val="tx1"/>
              </a:solidFill>
              <a:ln>
                <a:noFill/>
              </a:ln>
            </c:spPr>
            <c:extLst>
              <c:ext xmlns:c16="http://schemas.microsoft.com/office/drawing/2014/chart" uri="{C3380CC4-5D6E-409C-BE32-E72D297353CC}">
                <c16:uniqueId val="{0000000F-21EC-43AC-8B41-47FB6DE22B6D}"/>
              </c:ext>
            </c:extLst>
          </c:dPt>
          <c:dPt>
            <c:idx val="8"/>
            <c:bubble3D val="0"/>
            <c:spPr>
              <a:noFill/>
            </c:spPr>
            <c:extLst>
              <c:ext xmlns:c16="http://schemas.microsoft.com/office/drawing/2014/chart" uri="{C3380CC4-5D6E-409C-BE32-E72D297353CC}">
                <c16:uniqueId val="{00000011-21EC-43AC-8B41-47FB6DE22B6D}"/>
              </c:ext>
            </c:extLst>
          </c:dPt>
          <c:dPt>
            <c:idx val="9"/>
            <c:bubble3D val="0"/>
            <c:spPr>
              <a:noFill/>
            </c:spPr>
            <c:extLst>
              <c:ext xmlns:c16="http://schemas.microsoft.com/office/drawing/2014/chart" uri="{C3380CC4-5D6E-409C-BE32-E72D297353CC}">
                <c16:uniqueId val="{00000013-21EC-43AC-8B41-47FB6DE22B6D}"/>
              </c:ext>
            </c:extLst>
          </c:dPt>
          <c:dPt>
            <c:idx val="10"/>
            <c:bubble3D val="0"/>
            <c:spPr>
              <a:solidFill>
                <a:schemeClr val="tx1"/>
              </a:solidFill>
            </c:spPr>
            <c:extLst>
              <c:ext xmlns:c16="http://schemas.microsoft.com/office/drawing/2014/chart" uri="{C3380CC4-5D6E-409C-BE32-E72D297353CC}">
                <c16:uniqueId val="{00000015-21EC-43AC-8B41-47FB6DE22B6D}"/>
              </c:ext>
            </c:extLst>
          </c:dPt>
          <c:dPt>
            <c:idx val="11"/>
            <c:bubble3D val="0"/>
            <c:spPr>
              <a:noFill/>
            </c:spPr>
            <c:extLst>
              <c:ext xmlns:c16="http://schemas.microsoft.com/office/drawing/2014/chart" uri="{C3380CC4-5D6E-409C-BE32-E72D297353CC}">
                <c16:uniqueId val="{00000017-21EC-43AC-8B41-47FB6DE22B6D}"/>
              </c:ext>
            </c:extLst>
          </c:dPt>
          <c:dPt>
            <c:idx val="12"/>
            <c:bubble3D val="0"/>
            <c:spPr>
              <a:noFill/>
            </c:spPr>
            <c:extLst>
              <c:ext xmlns:c16="http://schemas.microsoft.com/office/drawing/2014/chart" uri="{C3380CC4-5D6E-409C-BE32-E72D297353CC}">
                <c16:uniqueId val="{00000019-21EC-43AC-8B41-47FB6DE22B6D}"/>
              </c:ext>
            </c:extLst>
          </c:dPt>
          <c:dPt>
            <c:idx val="13"/>
            <c:bubble3D val="0"/>
            <c:spPr>
              <a:solidFill>
                <a:schemeClr val="tx1"/>
              </a:solidFill>
            </c:spPr>
            <c:extLst>
              <c:ext xmlns:c16="http://schemas.microsoft.com/office/drawing/2014/chart" uri="{C3380CC4-5D6E-409C-BE32-E72D297353CC}">
                <c16:uniqueId val="{0000001B-21EC-43AC-8B41-47FB6DE22B6D}"/>
              </c:ext>
            </c:extLst>
          </c:dPt>
          <c:dPt>
            <c:idx val="14"/>
            <c:bubble3D val="0"/>
            <c:spPr>
              <a:noFill/>
            </c:spPr>
            <c:extLst>
              <c:ext xmlns:c16="http://schemas.microsoft.com/office/drawing/2014/chart" uri="{C3380CC4-5D6E-409C-BE32-E72D297353CC}">
                <c16:uniqueId val="{0000001D-21EC-43AC-8B41-47FB6DE22B6D}"/>
              </c:ext>
            </c:extLst>
          </c:dPt>
          <c:dPt>
            <c:idx val="15"/>
            <c:bubble3D val="0"/>
            <c:spPr>
              <a:noFill/>
            </c:spPr>
            <c:extLst>
              <c:ext xmlns:c16="http://schemas.microsoft.com/office/drawing/2014/chart" uri="{C3380CC4-5D6E-409C-BE32-E72D297353CC}">
                <c16:uniqueId val="{0000001F-21EC-43AC-8B41-47FB6DE22B6D}"/>
              </c:ext>
            </c:extLst>
          </c:dPt>
          <c:dPt>
            <c:idx val="16"/>
            <c:bubble3D val="0"/>
            <c:spPr>
              <a:solidFill>
                <a:schemeClr val="tx1"/>
              </a:solidFill>
            </c:spPr>
            <c:extLst>
              <c:ext xmlns:c16="http://schemas.microsoft.com/office/drawing/2014/chart" uri="{C3380CC4-5D6E-409C-BE32-E72D297353CC}">
                <c16:uniqueId val="{00000021-21EC-43AC-8B41-47FB6DE22B6D}"/>
              </c:ext>
            </c:extLst>
          </c:dPt>
          <c:dPt>
            <c:idx val="17"/>
            <c:bubble3D val="0"/>
            <c:spPr>
              <a:noFill/>
            </c:spPr>
            <c:extLst>
              <c:ext xmlns:c16="http://schemas.microsoft.com/office/drawing/2014/chart" uri="{C3380CC4-5D6E-409C-BE32-E72D297353CC}">
                <c16:uniqueId val="{00000023-21EC-43AC-8B41-47FB6DE22B6D}"/>
              </c:ext>
            </c:extLst>
          </c:dPt>
          <c:dPt>
            <c:idx val="18"/>
            <c:bubble3D val="0"/>
            <c:spPr>
              <a:noFill/>
            </c:spPr>
            <c:extLst>
              <c:ext xmlns:c16="http://schemas.microsoft.com/office/drawing/2014/chart" uri="{C3380CC4-5D6E-409C-BE32-E72D297353CC}">
                <c16:uniqueId val="{00000025-21EC-43AC-8B41-47FB6DE22B6D}"/>
              </c:ext>
            </c:extLst>
          </c:dPt>
          <c:dPt>
            <c:idx val="19"/>
            <c:bubble3D val="0"/>
            <c:spPr>
              <a:solidFill>
                <a:schemeClr val="tx1"/>
              </a:solidFill>
            </c:spPr>
            <c:extLst>
              <c:ext xmlns:c16="http://schemas.microsoft.com/office/drawing/2014/chart" uri="{C3380CC4-5D6E-409C-BE32-E72D297353CC}">
                <c16:uniqueId val="{00000027-21EC-43AC-8B41-47FB6DE22B6D}"/>
              </c:ext>
            </c:extLst>
          </c:dPt>
          <c:dPt>
            <c:idx val="20"/>
            <c:bubble3D val="0"/>
            <c:spPr>
              <a:noFill/>
            </c:spPr>
            <c:extLst>
              <c:ext xmlns:c16="http://schemas.microsoft.com/office/drawing/2014/chart" uri="{C3380CC4-5D6E-409C-BE32-E72D297353CC}">
                <c16:uniqueId val="{00000029-21EC-43AC-8B41-47FB6DE22B6D}"/>
              </c:ext>
            </c:extLst>
          </c:dPt>
          <c:dPt>
            <c:idx val="21"/>
            <c:bubble3D val="0"/>
            <c:spPr>
              <a:noFill/>
            </c:spPr>
            <c:extLst>
              <c:ext xmlns:c16="http://schemas.microsoft.com/office/drawing/2014/chart" uri="{C3380CC4-5D6E-409C-BE32-E72D297353CC}">
                <c16:uniqueId val="{0000002B-21EC-43AC-8B41-47FB6DE22B6D}"/>
              </c:ext>
            </c:extLst>
          </c:dPt>
          <c:dPt>
            <c:idx val="22"/>
            <c:bubble3D val="0"/>
            <c:spPr>
              <a:solidFill>
                <a:schemeClr val="tx1"/>
              </a:solidFill>
            </c:spPr>
            <c:extLst>
              <c:ext xmlns:c16="http://schemas.microsoft.com/office/drawing/2014/chart" uri="{C3380CC4-5D6E-409C-BE32-E72D297353CC}">
                <c16:uniqueId val="{0000002D-21EC-43AC-8B41-47FB6DE22B6D}"/>
              </c:ext>
            </c:extLst>
          </c:dPt>
          <c:dPt>
            <c:idx val="23"/>
            <c:bubble3D val="0"/>
            <c:spPr>
              <a:noFill/>
            </c:spPr>
            <c:extLst>
              <c:ext xmlns:c16="http://schemas.microsoft.com/office/drawing/2014/chart" uri="{C3380CC4-5D6E-409C-BE32-E72D297353CC}">
                <c16:uniqueId val="{0000002F-21EC-43AC-8B41-47FB6DE22B6D}"/>
              </c:ext>
            </c:extLst>
          </c:dPt>
          <c:dPt>
            <c:idx val="24"/>
            <c:bubble3D val="0"/>
            <c:spPr>
              <a:noFill/>
            </c:spPr>
            <c:extLst>
              <c:ext xmlns:c16="http://schemas.microsoft.com/office/drawing/2014/chart" uri="{C3380CC4-5D6E-409C-BE32-E72D297353CC}">
                <c16:uniqueId val="{00000031-21EC-43AC-8B41-47FB6DE22B6D}"/>
              </c:ext>
            </c:extLst>
          </c:dPt>
          <c:dPt>
            <c:idx val="25"/>
            <c:bubble3D val="0"/>
            <c:spPr>
              <a:solidFill>
                <a:schemeClr val="tx1"/>
              </a:solidFill>
            </c:spPr>
            <c:extLst>
              <c:ext xmlns:c16="http://schemas.microsoft.com/office/drawing/2014/chart" uri="{C3380CC4-5D6E-409C-BE32-E72D297353CC}">
                <c16:uniqueId val="{00000033-21EC-43AC-8B41-47FB6DE22B6D}"/>
              </c:ext>
            </c:extLst>
          </c:dPt>
          <c:dPt>
            <c:idx val="26"/>
            <c:bubble3D val="0"/>
            <c:spPr>
              <a:noFill/>
            </c:spPr>
            <c:extLst>
              <c:ext xmlns:c16="http://schemas.microsoft.com/office/drawing/2014/chart" uri="{C3380CC4-5D6E-409C-BE32-E72D297353CC}">
                <c16:uniqueId val="{00000035-21EC-43AC-8B41-47FB6DE22B6D}"/>
              </c:ext>
            </c:extLst>
          </c:dPt>
          <c:dPt>
            <c:idx val="27"/>
            <c:bubble3D val="0"/>
            <c:spPr>
              <a:noFill/>
            </c:spPr>
            <c:extLst>
              <c:ext xmlns:c16="http://schemas.microsoft.com/office/drawing/2014/chart" uri="{C3380CC4-5D6E-409C-BE32-E72D297353CC}">
                <c16:uniqueId val="{00000037-21EC-43AC-8B41-47FB6DE22B6D}"/>
              </c:ext>
            </c:extLst>
          </c:dPt>
          <c:dPt>
            <c:idx val="28"/>
            <c:bubble3D val="0"/>
            <c:spPr>
              <a:solidFill>
                <a:schemeClr val="tx1"/>
              </a:solidFill>
            </c:spPr>
            <c:extLst>
              <c:ext xmlns:c16="http://schemas.microsoft.com/office/drawing/2014/chart" uri="{C3380CC4-5D6E-409C-BE32-E72D297353CC}">
                <c16:uniqueId val="{00000039-21EC-43AC-8B41-47FB6DE22B6D}"/>
              </c:ext>
            </c:extLst>
          </c:dPt>
          <c:dPt>
            <c:idx val="29"/>
            <c:bubble3D val="0"/>
            <c:spPr>
              <a:noFill/>
            </c:spPr>
            <c:extLst>
              <c:ext xmlns:c16="http://schemas.microsoft.com/office/drawing/2014/chart" uri="{C3380CC4-5D6E-409C-BE32-E72D297353CC}">
                <c16:uniqueId val="{0000003B-21EC-43AC-8B41-47FB6DE22B6D}"/>
              </c:ext>
            </c:extLst>
          </c:dPt>
          <c:dPt>
            <c:idx val="30"/>
            <c:bubble3D val="0"/>
            <c:spPr>
              <a:noFill/>
            </c:spPr>
            <c:extLst>
              <c:ext xmlns:c16="http://schemas.microsoft.com/office/drawing/2014/chart" uri="{C3380CC4-5D6E-409C-BE32-E72D297353CC}">
                <c16:uniqueId val="{0000003D-21EC-43AC-8B41-47FB6DE22B6D}"/>
              </c:ext>
            </c:extLst>
          </c:dPt>
          <c:dPt>
            <c:idx val="31"/>
            <c:bubble3D val="0"/>
            <c:spPr>
              <a:solidFill>
                <a:schemeClr val="tx1"/>
              </a:solidFill>
            </c:spPr>
            <c:extLst>
              <c:ext xmlns:c16="http://schemas.microsoft.com/office/drawing/2014/chart" uri="{C3380CC4-5D6E-409C-BE32-E72D297353CC}">
                <c16:uniqueId val="{0000003F-21EC-43AC-8B41-47FB6DE22B6D}"/>
              </c:ext>
            </c:extLst>
          </c:dPt>
          <c:dPt>
            <c:idx val="32"/>
            <c:bubble3D val="0"/>
            <c:spPr>
              <a:noFill/>
            </c:spPr>
            <c:extLst>
              <c:ext xmlns:c16="http://schemas.microsoft.com/office/drawing/2014/chart" uri="{C3380CC4-5D6E-409C-BE32-E72D297353CC}">
                <c16:uniqueId val="{00000041-21EC-43AC-8B41-47FB6DE22B6D}"/>
              </c:ext>
            </c:extLst>
          </c:dPt>
          <c:dPt>
            <c:idx val="33"/>
            <c:bubble3D val="0"/>
            <c:spPr>
              <a:noFill/>
            </c:spPr>
            <c:extLst>
              <c:ext xmlns:c16="http://schemas.microsoft.com/office/drawing/2014/chart" uri="{C3380CC4-5D6E-409C-BE32-E72D297353CC}">
                <c16:uniqueId val="{00000043-21EC-43AC-8B41-47FB6DE22B6D}"/>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1EC-43AC-8B41-47FB6DE22B6D}"/>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430-4BDC-9063-5A273D8785DF}"/>
              </c:ext>
            </c:extLst>
          </c:dPt>
          <c:dPt>
            <c:idx val="1"/>
            <c:bubble3D val="0"/>
            <c:spPr>
              <a:solidFill>
                <a:srgbClr val="054680"/>
              </a:solidFill>
              <a:ln>
                <a:noFill/>
              </a:ln>
            </c:spPr>
            <c:extLst>
              <c:ext xmlns:c16="http://schemas.microsoft.com/office/drawing/2014/chart" uri="{C3380CC4-5D6E-409C-BE32-E72D297353CC}">
                <c16:uniqueId val="{00000003-1430-4BDC-9063-5A273D8785DF}"/>
              </c:ext>
            </c:extLst>
          </c:dPt>
          <c:dPt>
            <c:idx val="2"/>
            <c:bubble3D val="0"/>
            <c:spPr>
              <a:noFill/>
            </c:spPr>
            <c:extLst>
              <c:ext xmlns:c16="http://schemas.microsoft.com/office/drawing/2014/chart" uri="{C3380CC4-5D6E-409C-BE32-E72D297353CC}">
                <c16:uniqueId val="{00000005-1430-4BDC-9063-5A273D8785DF}"/>
              </c:ext>
            </c:extLst>
          </c:dPt>
          <c:dPt>
            <c:idx val="3"/>
            <c:bubble3D val="0"/>
            <c:spPr>
              <a:solidFill>
                <a:srgbClr val="CBE4EB"/>
              </a:solidFill>
              <a:ln>
                <a:noFill/>
              </a:ln>
            </c:spPr>
            <c:extLst>
              <c:ext xmlns:c16="http://schemas.microsoft.com/office/drawing/2014/chart" uri="{C3380CC4-5D6E-409C-BE32-E72D297353CC}">
                <c16:uniqueId val="{00000007-1430-4BDC-9063-5A273D8785DF}"/>
              </c:ext>
            </c:extLst>
          </c:dPt>
          <c:dPt>
            <c:idx val="4"/>
            <c:bubble3D val="0"/>
            <c:spPr>
              <a:solidFill>
                <a:srgbClr val="007AC5"/>
              </a:solidFill>
              <a:ln>
                <a:noFill/>
              </a:ln>
            </c:spPr>
            <c:extLst>
              <c:ext xmlns:c16="http://schemas.microsoft.com/office/drawing/2014/chart" uri="{C3380CC4-5D6E-409C-BE32-E72D297353CC}">
                <c16:uniqueId val="{00000009-1430-4BDC-9063-5A273D8785D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430-4BDC-9063-5A273D8785D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D228-40FF-AC53-C72A8E8ACC6D}"/>
              </c:ext>
            </c:extLst>
          </c:dPt>
          <c:dPt>
            <c:idx val="1"/>
            <c:bubble3D val="0"/>
            <c:spPr>
              <a:solidFill>
                <a:schemeClr val="tx1"/>
              </a:solidFill>
              <a:ln>
                <a:noFill/>
              </a:ln>
            </c:spPr>
            <c:extLst>
              <c:ext xmlns:c16="http://schemas.microsoft.com/office/drawing/2014/chart" uri="{C3380CC4-5D6E-409C-BE32-E72D297353CC}">
                <c16:uniqueId val="{00000003-D228-40FF-AC53-C72A8E8ACC6D}"/>
              </c:ext>
            </c:extLst>
          </c:dPt>
          <c:dPt>
            <c:idx val="2"/>
            <c:bubble3D val="0"/>
            <c:spPr>
              <a:noFill/>
            </c:spPr>
            <c:extLst>
              <c:ext xmlns:c16="http://schemas.microsoft.com/office/drawing/2014/chart" uri="{C3380CC4-5D6E-409C-BE32-E72D297353CC}">
                <c16:uniqueId val="{00000005-D228-40FF-AC53-C72A8E8ACC6D}"/>
              </c:ext>
            </c:extLst>
          </c:dPt>
          <c:dPt>
            <c:idx val="3"/>
            <c:bubble3D val="0"/>
            <c:spPr>
              <a:noFill/>
            </c:spPr>
            <c:extLst>
              <c:ext xmlns:c16="http://schemas.microsoft.com/office/drawing/2014/chart" uri="{C3380CC4-5D6E-409C-BE32-E72D297353CC}">
                <c16:uniqueId val="{00000007-D228-40FF-AC53-C72A8E8ACC6D}"/>
              </c:ext>
            </c:extLst>
          </c:dPt>
          <c:dPt>
            <c:idx val="4"/>
            <c:bubble3D val="0"/>
            <c:spPr>
              <a:solidFill>
                <a:schemeClr val="tx1"/>
              </a:solidFill>
              <a:ln>
                <a:noFill/>
              </a:ln>
            </c:spPr>
            <c:extLst>
              <c:ext xmlns:c16="http://schemas.microsoft.com/office/drawing/2014/chart" uri="{C3380CC4-5D6E-409C-BE32-E72D297353CC}">
                <c16:uniqueId val="{00000009-D228-40FF-AC53-C72A8E8ACC6D}"/>
              </c:ext>
            </c:extLst>
          </c:dPt>
          <c:dPt>
            <c:idx val="5"/>
            <c:bubble3D val="0"/>
            <c:spPr>
              <a:noFill/>
            </c:spPr>
            <c:extLst>
              <c:ext xmlns:c16="http://schemas.microsoft.com/office/drawing/2014/chart" uri="{C3380CC4-5D6E-409C-BE32-E72D297353CC}">
                <c16:uniqueId val="{0000000B-D228-40FF-AC53-C72A8E8ACC6D}"/>
              </c:ext>
            </c:extLst>
          </c:dPt>
          <c:dPt>
            <c:idx val="6"/>
            <c:bubble3D val="0"/>
            <c:spPr>
              <a:noFill/>
            </c:spPr>
            <c:extLst>
              <c:ext xmlns:c16="http://schemas.microsoft.com/office/drawing/2014/chart" uri="{C3380CC4-5D6E-409C-BE32-E72D297353CC}">
                <c16:uniqueId val="{0000000D-D228-40FF-AC53-C72A8E8ACC6D}"/>
              </c:ext>
            </c:extLst>
          </c:dPt>
          <c:dPt>
            <c:idx val="7"/>
            <c:bubble3D val="0"/>
            <c:spPr>
              <a:solidFill>
                <a:schemeClr val="tx1"/>
              </a:solidFill>
              <a:ln>
                <a:noFill/>
              </a:ln>
            </c:spPr>
            <c:extLst>
              <c:ext xmlns:c16="http://schemas.microsoft.com/office/drawing/2014/chart" uri="{C3380CC4-5D6E-409C-BE32-E72D297353CC}">
                <c16:uniqueId val="{0000000F-D228-40FF-AC53-C72A8E8ACC6D}"/>
              </c:ext>
            </c:extLst>
          </c:dPt>
          <c:dPt>
            <c:idx val="8"/>
            <c:bubble3D val="0"/>
            <c:spPr>
              <a:noFill/>
            </c:spPr>
            <c:extLst>
              <c:ext xmlns:c16="http://schemas.microsoft.com/office/drawing/2014/chart" uri="{C3380CC4-5D6E-409C-BE32-E72D297353CC}">
                <c16:uniqueId val="{00000011-D228-40FF-AC53-C72A8E8ACC6D}"/>
              </c:ext>
            </c:extLst>
          </c:dPt>
          <c:dPt>
            <c:idx val="9"/>
            <c:bubble3D val="0"/>
            <c:spPr>
              <a:noFill/>
            </c:spPr>
            <c:extLst>
              <c:ext xmlns:c16="http://schemas.microsoft.com/office/drawing/2014/chart" uri="{C3380CC4-5D6E-409C-BE32-E72D297353CC}">
                <c16:uniqueId val="{00000013-D228-40FF-AC53-C72A8E8ACC6D}"/>
              </c:ext>
            </c:extLst>
          </c:dPt>
          <c:dPt>
            <c:idx val="10"/>
            <c:bubble3D val="0"/>
            <c:spPr>
              <a:solidFill>
                <a:schemeClr val="tx1"/>
              </a:solidFill>
            </c:spPr>
            <c:extLst>
              <c:ext xmlns:c16="http://schemas.microsoft.com/office/drawing/2014/chart" uri="{C3380CC4-5D6E-409C-BE32-E72D297353CC}">
                <c16:uniqueId val="{00000015-D228-40FF-AC53-C72A8E8ACC6D}"/>
              </c:ext>
            </c:extLst>
          </c:dPt>
          <c:dPt>
            <c:idx val="11"/>
            <c:bubble3D val="0"/>
            <c:spPr>
              <a:noFill/>
            </c:spPr>
            <c:extLst>
              <c:ext xmlns:c16="http://schemas.microsoft.com/office/drawing/2014/chart" uri="{C3380CC4-5D6E-409C-BE32-E72D297353CC}">
                <c16:uniqueId val="{00000017-D228-40FF-AC53-C72A8E8ACC6D}"/>
              </c:ext>
            </c:extLst>
          </c:dPt>
          <c:dPt>
            <c:idx val="12"/>
            <c:bubble3D val="0"/>
            <c:spPr>
              <a:noFill/>
            </c:spPr>
            <c:extLst>
              <c:ext xmlns:c16="http://schemas.microsoft.com/office/drawing/2014/chart" uri="{C3380CC4-5D6E-409C-BE32-E72D297353CC}">
                <c16:uniqueId val="{00000019-D228-40FF-AC53-C72A8E8ACC6D}"/>
              </c:ext>
            </c:extLst>
          </c:dPt>
          <c:dPt>
            <c:idx val="13"/>
            <c:bubble3D val="0"/>
            <c:spPr>
              <a:solidFill>
                <a:schemeClr val="tx1"/>
              </a:solidFill>
            </c:spPr>
            <c:extLst>
              <c:ext xmlns:c16="http://schemas.microsoft.com/office/drawing/2014/chart" uri="{C3380CC4-5D6E-409C-BE32-E72D297353CC}">
                <c16:uniqueId val="{0000001B-D228-40FF-AC53-C72A8E8ACC6D}"/>
              </c:ext>
            </c:extLst>
          </c:dPt>
          <c:dPt>
            <c:idx val="14"/>
            <c:bubble3D val="0"/>
            <c:spPr>
              <a:noFill/>
            </c:spPr>
            <c:extLst>
              <c:ext xmlns:c16="http://schemas.microsoft.com/office/drawing/2014/chart" uri="{C3380CC4-5D6E-409C-BE32-E72D297353CC}">
                <c16:uniqueId val="{0000001D-D228-40FF-AC53-C72A8E8ACC6D}"/>
              </c:ext>
            </c:extLst>
          </c:dPt>
          <c:dPt>
            <c:idx val="15"/>
            <c:bubble3D val="0"/>
            <c:spPr>
              <a:noFill/>
            </c:spPr>
            <c:extLst>
              <c:ext xmlns:c16="http://schemas.microsoft.com/office/drawing/2014/chart" uri="{C3380CC4-5D6E-409C-BE32-E72D297353CC}">
                <c16:uniqueId val="{0000001F-D228-40FF-AC53-C72A8E8ACC6D}"/>
              </c:ext>
            </c:extLst>
          </c:dPt>
          <c:dPt>
            <c:idx val="16"/>
            <c:bubble3D val="0"/>
            <c:spPr>
              <a:solidFill>
                <a:schemeClr val="tx1"/>
              </a:solidFill>
            </c:spPr>
            <c:extLst>
              <c:ext xmlns:c16="http://schemas.microsoft.com/office/drawing/2014/chart" uri="{C3380CC4-5D6E-409C-BE32-E72D297353CC}">
                <c16:uniqueId val="{00000021-D228-40FF-AC53-C72A8E8ACC6D}"/>
              </c:ext>
            </c:extLst>
          </c:dPt>
          <c:dPt>
            <c:idx val="17"/>
            <c:bubble3D val="0"/>
            <c:spPr>
              <a:noFill/>
            </c:spPr>
            <c:extLst>
              <c:ext xmlns:c16="http://schemas.microsoft.com/office/drawing/2014/chart" uri="{C3380CC4-5D6E-409C-BE32-E72D297353CC}">
                <c16:uniqueId val="{00000023-D228-40FF-AC53-C72A8E8ACC6D}"/>
              </c:ext>
            </c:extLst>
          </c:dPt>
          <c:dPt>
            <c:idx val="18"/>
            <c:bubble3D val="0"/>
            <c:spPr>
              <a:noFill/>
            </c:spPr>
            <c:extLst>
              <c:ext xmlns:c16="http://schemas.microsoft.com/office/drawing/2014/chart" uri="{C3380CC4-5D6E-409C-BE32-E72D297353CC}">
                <c16:uniqueId val="{00000025-D228-40FF-AC53-C72A8E8ACC6D}"/>
              </c:ext>
            </c:extLst>
          </c:dPt>
          <c:dPt>
            <c:idx val="19"/>
            <c:bubble3D val="0"/>
            <c:spPr>
              <a:solidFill>
                <a:schemeClr val="tx1"/>
              </a:solidFill>
            </c:spPr>
            <c:extLst>
              <c:ext xmlns:c16="http://schemas.microsoft.com/office/drawing/2014/chart" uri="{C3380CC4-5D6E-409C-BE32-E72D297353CC}">
                <c16:uniqueId val="{00000027-D228-40FF-AC53-C72A8E8ACC6D}"/>
              </c:ext>
            </c:extLst>
          </c:dPt>
          <c:dPt>
            <c:idx val="20"/>
            <c:bubble3D val="0"/>
            <c:spPr>
              <a:noFill/>
            </c:spPr>
            <c:extLst>
              <c:ext xmlns:c16="http://schemas.microsoft.com/office/drawing/2014/chart" uri="{C3380CC4-5D6E-409C-BE32-E72D297353CC}">
                <c16:uniqueId val="{00000029-D228-40FF-AC53-C72A8E8ACC6D}"/>
              </c:ext>
            </c:extLst>
          </c:dPt>
          <c:dPt>
            <c:idx val="21"/>
            <c:bubble3D val="0"/>
            <c:spPr>
              <a:noFill/>
            </c:spPr>
            <c:extLst>
              <c:ext xmlns:c16="http://schemas.microsoft.com/office/drawing/2014/chart" uri="{C3380CC4-5D6E-409C-BE32-E72D297353CC}">
                <c16:uniqueId val="{0000002B-D228-40FF-AC53-C72A8E8ACC6D}"/>
              </c:ext>
            </c:extLst>
          </c:dPt>
          <c:dPt>
            <c:idx val="22"/>
            <c:bubble3D val="0"/>
            <c:spPr>
              <a:solidFill>
                <a:schemeClr val="tx1"/>
              </a:solidFill>
            </c:spPr>
            <c:extLst>
              <c:ext xmlns:c16="http://schemas.microsoft.com/office/drawing/2014/chart" uri="{C3380CC4-5D6E-409C-BE32-E72D297353CC}">
                <c16:uniqueId val="{0000002D-D228-40FF-AC53-C72A8E8ACC6D}"/>
              </c:ext>
            </c:extLst>
          </c:dPt>
          <c:dPt>
            <c:idx val="23"/>
            <c:bubble3D val="0"/>
            <c:spPr>
              <a:noFill/>
            </c:spPr>
            <c:extLst>
              <c:ext xmlns:c16="http://schemas.microsoft.com/office/drawing/2014/chart" uri="{C3380CC4-5D6E-409C-BE32-E72D297353CC}">
                <c16:uniqueId val="{0000002F-D228-40FF-AC53-C72A8E8ACC6D}"/>
              </c:ext>
            </c:extLst>
          </c:dPt>
          <c:dPt>
            <c:idx val="24"/>
            <c:bubble3D val="0"/>
            <c:spPr>
              <a:noFill/>
            </c:spPr>
            <c:extLst>
              <c:ext xmlns:c16="http://schemas.microsoft.com/office/drawing/2014/chart" uri="{C3380CC4-5D6E-409C-BE32-E72D297353CC}">
                <c16:uniqueId val="{00000031-D228-40FF-AC53-C72A8E8ACC6D}"/>
              </c:ext>
            </c:extLst>
          </c:dPt>
          <c:dPt>
            <c:idx val="25"/>
            <c:bubble3D val="0"/>
            <c:spPr>
              <a:solidFill>
                <a:schemeClr val="tx1"/>
              </a:solidFill>
            </c:spPr>
            <c:extLst>
              <c:ext xmlns:c16="http://schemas.microsoft.com/office/drawing/2014/chart" uri="{C3380CC4-5D6E-409C-BE32-E72D297353CC}">
                <c16:uniqueId val="{00000033-D228-40FF-AC53-C72A8E8ACC6D}"/>
              </c:ext>
            </c:extLst>
          </c:dPt>
          <c:dPt>
            <c:idx val="26"/>
            <c:bubble3D val="0"/>
            <c:spPr>
              <a:noFill/>
            </c:spPr>
            <c:extLst>
              <c:ext xmlns:c16="http://schemas.microsoft.com/office/drawing/2014/chart" uri="{C3380CC4-5D6E-409C-BE32-E72D297353CC}">
                <c16:uniqueId val="{00000035-D228-40FF-AC53-C72A8E8ACC6D}"/>
              </c:ext>
            </c:extLst>
          </c:dPt>
          <c:dPt>
            <c:idx val="27"/>
            <c:bubble3D val="0"/>
            <c:spPr>
              <a:noFill/>
            </c:spPr>
            <c:extLst>
              <c:ext xmlns:c16="http://schemas.microsoft.com/office/drawing/2014/chart" uri="{C3380CC4-5D6E-409C-BE32-E72D297353CC}">
                <c16:uniqueId val="{00000037-D228-40FF-AC53-C72A8E8ACC6D}"/>
              </c:ext>
            </c:extLst>
          </c:dPt>
          <c:dPt>
            <c:idx val="28"/>
            <c:bubble3D val="0"/>
            <c:spPr>
              <a:solidFill>
                <a:schemeClr val="tx1"/>
              </a:solidFill>
            </c:spPr>
            <c:extLst>
              <c:ext xmlns:c16="http://schemas.microsoft.com/office/drawing/2014/chart" uri="{C3380CC4-5D6E-409C-BE32-E72D297353CC}">
                <c16:uniqueId val="{00000039-D228-40FF-AC53-C72A8E8ACC6D}"/>
              </c:ext>
            </c:extLst>
          </c:dPt>
          <c:dPt>
            <c:idx val="29"/>
            <c:bubble3D val="0"/>
            <c:spPr>
              <a:noFill/>
            </c:spPr>
            <c:extLst>
              <c:ext xmlns:c16="http://schemas.microsoft.com/office/drawing/2014/chart" uri="{C3380CC4-5D6E-409C-BE32-E72D297353CC}">
                <c16:uniqueId val="{0000003B-D228-40FF-AC53-C72A8E8ACC6D}"/>
              </c:ext>
            </c:extLst>
          </c:dPt>
          <c:dPt>
            <c:idx val="30"/>
            <c:bubble3D val="0"/>
            <c:spPr>
              <a:noFill/>
            </c:spPr>
            <c:extLst>
              <c:ext xmlns:c16="http://schemas.microsoft.com/office/drawing/2014/chart" uri="{C3380CC4-5D6E-409C-BE32-E72D297353CC}">
                <c16:uniqueId val="{0000003D-D228-40FF-AC53-C72A8E8ACC6D}"/>
              </c:ext>
            </c:extLst>
          </c:dPt>
          <c:dPt>
            <c:idx val="31"/>
            <c:bubble3D val="0"/>
            <c:spPr>
              <a:solidFill>
                <a:schemeClr val="tx1"/>
              </a:solidFill>
            </c:spPr>
            <c:extLst>
              <c:ext xmlns:c16="http://schemas.microsoft.com/office/drawing/2014/chart" uri="{C3380CC4-5D6E-409C-BE32-E72D297353CC}">
                <c16:uniqueId val="{0000003F-D228-40FF-AC53-C72A8E8ACC6D}"/>
              </c:ext>
            </c:extLst>
          </c:dPt>
          <c:dPt>
            <c:idx val="32"/>
            <c:bubble3D val="0"/>
            <c:spPr>
              <a:noFill/>
            </c:spPr>
            <c:extLst>
              <c:ext xmlns:c16="http://schemas.microsoft.com/office/drawing/2014/chart" uri="{C3380CC4-5D6E-409C-BE32-E72D297353CC}">
                <c16:uniqueId val="{00000041-D228-40FF-AC53-C72A8E8ACC6D}"/>
              </c:ext>
            </c:extLst>
          </c:dPt>
          <c:dPt>
            <c:idx val="33"/>
            <c:bubble3D val="0"/>
            <c:spPr>
              <a:noFill/>
            </c:spPr>
            <c:extLst>
              <c:ext xmlns:c16="http://schemas.microsoft.com/office/drawing/2014/chart" uri="{C3380CC4-5D6E-409C-BE32-E72D297353CC}">
                <c16:uniqueId val="{00000043-D228-40FF-AC53-C72A8E8ACC6D}"/>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D228-40FF-AC53-C72A8E8ACC6D}"/>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F50-4770-AE3C-4BC2389351F1}"/>
              </c:ext>
            </c:extLst>
          </c:dPt>
          <c:dPt>
            <c:idx val="1"/>
            <c:bubble3D val="0"/>
            <c:spPr>
              <a:solidFill>
                <a:srgbClr val="054680"/>
              </a:solidFill>
              <a:ln>
                <a:noFill/>
              </a:ln>
            </c:spPr>
            <c:extLst>
              <c:ext xmlns:c16="http://schemas.microsoft.com/office/drawing/2014/chart" uri="{C3380CC4-5D6E-409C-BE32-E72D297353CC}">
                <c16:uniqueId val="{00000003-1F50-4770-AE3C-4BC2389351F1}"/>
              </c:ext>
            </c:extLst>
          </c:dPt>
          <c:dPt>
            <c:idx val="2"/>
            <c:bubble3D val="0"/>
            <c:spPr>
              <a:noFill/>
            </c:spPr>
            <c:extLst>
              <c:ext xmlns:c16="http://schemas.microsoft.com/office/drawing/2014/chart" uri="{C3380CC4-5D6E-409C-BE32-E72D297353CC}">
                <c16:uniqueId val="{00000005-1F50-4770-AE3C-4BC2389351F1}"/>
              </c:ext>
            </c:extLst>
          </c:dPt>
          <c:dPt>
            <c:idx val="3"/>
            <c:bubble3D val="0"/>
            <c:spPr>
              <a:solidFill>
                <a:srgbClr val="CBE4EB"/>
              </a:solidFill>
              <a:ln>
                <a:noFill/>
              </a:ln>
            </c:spPr>
            <c:extLst>
              <c:ext xmlns:c16="http://schemas.microsoft.com/office/drawing/2014/chart" uri="{C3380CC4-5D6E-409C-BE32-E72D297353CC}">
                <c16:uniqueId val="{00000007-1F50-4770-AE3C-4BC2389351F1}"/>
              </c:ext>
            </c:extLst>
          </c:dPt>
          <c:dPt>
            <c:idx val="4"/>
            <c:bubble3D val="0"/>
            <c:spPr>
              <a:solidFill>
                <a:srgbClr val="007AC5"/>
              </a:solidFill>
              <a:ln>
                <a:noFill/>
              </a:ln>
            </c:spPr>
            <c:extLst>
              <c:ext xmlns:c16="http://schemas.microsoft.com/office/drawing/2014/chart" uri="{C3380CC4-5D6E-409C-BE32-E72D297353CC}">
                <c16:uniqueId val="{00000009-1F50-4770-AE3C-4BC2389351F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F50-4770-AE3C-4BC2389351F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45B-4B0C-B32F-528D4DEE0A1E}"/>
              </c:ext>
            </c:extLst>
          </c:dPt>
          <c:dPt>
            <c:idx val="1"/>
            <c:bubble3D val="0"/>
            <c:spPr>
              <a:solidFill>
                <a:schemeClr val="tx1"/>
              </a:solidFill>
              <a:ln>
                <a:noFill/>
              </a:ln>
            </c:spPr>
            <c:extLst>
              <c:ext xmlns:c16="http://schemas.microsoft.com/office/drawing/2014/chart" uri="{C3380CC4-5D6E-409C-BE32-E72D297353CC}">
                <c16:uniqueId val="{00000003-F45B-4B0C-B32F-528D4DEE0A1E}"/>
              </c:ext>
            </c:extLst>
          </c:dPt>
          <c:dPt>
            <c:idx val="2"/>
            <c:bubble3D val="0"/>
            <c:spPr>
              <a:noFill/>
            </c:spPr>
            <c:extLst>
              <c:ext xmlns:c16="http://schemas.microsoft.com/office/drawing/2014/chart" uri="{C3380CC4-5D6E-409C-BE32-E72D297353CC}">
                <c16:uniqueId val="{00000005-F45B-4B0C-B32F-528D4DEE0A1E}"/>
              </c:ext>
            </c:extLst>
          </c:dPt>
          <c:dPt>
            <c:idx val="3"/>
            <c:bubble3D val="0"/>
            <c:spPr>
              <a:noFill/>
            </c:spPr>
            <c:extLst>
              <c:ext xmlns:c16="http://schemas.microsoft.com/office/drawing/2014/chart" uri="{C3380CC4-5D6E-409C-BE32-E72D297353CC}">
                <c16:uniqueId val="{00000007-F45B-4B0C-B32F-528D4DEE0A1E}"/>
              </c:ext>
            </c:extLst>
          </c:dPt>
          <c:dPt>
            <c:idx val="4"/>
            <c:bubble3D val="0"/>
            <c:spPr>
              <a:solidFill>
                <a:schemeClr val="tx1"/>
              </a:solidFill>
              <a:ln>
                <a:noFill/>
              </a:ln>
            </c:spPr>
            <c:extLst>
              <c:ext xmlns:c16="http://schemas.microsoft.com/office/drawing/2014/chart" uri="{C3380CC4-5D6E-409C-BE32-E72D297353CC}">
                <c16:uniqueId val="{00000009-F45B-4B0C-B32F-528D4DEE0A1E}"/>
              </c:ext>
            </c:extLst>
          </c:dPt>
          <c:dPt>
            <c:idx val="5"/>
            <c:bubble3D val="0"/>
            <c:spPr>
              <a:noFill/>
            </c:spPr>
            <c:extLst>
              <c:ext xmlns:c16="http://schemas.microsoft.com/office/drawing/2014/chart" uri="{C3380CC4-5D6E-409C-BE32-E72D297353CC}">
                <c16:uniqueId val="{0000000B-F45B-4B0C-B32F-528D4DEE0A1E}"/>
              </c:ext>
            </c:extLst>
          </c:dPt>
          <c:dPt>
            <c:idx val="6"/>
            <c:bubble3D val="0"/>
            <c:spPr>
              <a:noFill/>
            </c:spPr>
            <c:extLst>
              <c:ext xmlns:c16="http://schemas.microsoft.com/office/drawing/2014/chart" uri="{C3380CC4-5D6E-409C-BE32-E72D297353CC}">
                <c16:uniqueId val="{0000000D-F45B-4B0C-B32F-528D4DEE0A1E}"/>
              </c:ext>
            </c:extLst>
          </c:dPt>
          <c:dPt>
            <c:idx val="7"/>
            <c:bubble3D val="0"/>
            <c:spPr>
              <a:solidFill>
                <a:schemeClr val="tx1"/>
              </a:solidFill>
              <a:ln>
                <a:noFill/>
              </a:ln>
            </c:spPr>
            <c:extLst>
              <c:ext xmlns:c16="http://schemas.microsoft.com/office/drawing/2014/chart" uri="{C3380CC4-5D6E-409C-BE32-E72D297353CC}">
                <c16:uniqueId val="{0000000F-F45B-4B0C-B32F-528D4DEE0A1E}"/>
              </c:ext>
            </c:extLst>
          </c:dPt>
          <c:dPt>
            <c:idx val="8"/>
            <c:bubble3D val="0"/>
            <c:spPr>
              <a:noFill/>
            </c:spPr>
            <c:extLst>
              <c:ext xmlns:c16="http://schemas.microsoft.com/office/drawing/2014/chart" uri="{C3380CC4-5D6E-409C-BE32-E72D297353CC}">
                <c16:uniqueId val="{00000011-F45B-4B0C-B32F-528D4DEE0A1E}"/>
              </c:ext>
            </c:extLst>
          </c:dPt>
          <c:dPt>
            <c:idx val="9"/>
            <c:bubble3D val="0"/>
            <c:spPr>
              <a:noFill/>
            </c:spPr>
            <c:extLst>
              <c:ext xmlns:c16="http://schemas.microsoft.com/office/drawing/2014/chart" uri="{C3380CC4-5D6E-409C-BE32-E72D297353CC}">
                <c16:uniqueId val="{00000013-F45B-4B0C-B32F-528D4DEE0A1E}"/>
              </c:ext>
            </c:extLst>
          </c:dPt>
          <c:dPt>
            <c:idx val="10"/>
            <c:bubble3D val="0"/>
            <c:spPr>
              <a:solidFill>
                <a:schemeClr val="tx1"/>
              </a:solidFill>
            </c:spPr>
            <c:extLst>
              <c:ext xmlns:c16="http://schemas.microsoft.com/office/drawing/2014/chart" uri="{C3380CC4-5D6E-409C-BE32-E72D297353CC}">
                <c16:uniqueId val="{00000015-F45B-4B0C-B32F-528D4DEE0A1E}"/>
              </c:ext>
            </c:extLst>
          </c:dPt>
          <c:dPt>
            <c:idx val="11"/>
            <c:bubble3D val="0"/>
            <c:spPr>
              <a:noFill/>
            </c:spPr>
            <c:extLst>
              <c:ext xmlns:c16="http://schemas.microsoft.com/office/drawing/2014/chart" uri="{C3380CC4-5D6E-409C-BE32-E72D297353CC}">
                <c16:uniqueId val="{00000017-F45B-4B0C-B32F-528D4DEE0A1E}"/>
              </c:ext>
            </c:extLst>
          </c:dPt>
          <c:dPt>
            <c:idx val="12"/>
            <c:bubble3D val="0"/>
            <c:spPr>
              <a:noFill/>
            </c:spPr>
            <c:extLst>
              <c:ext xmlns:c16="http://schemas.microsoft.com/office/drawing/2014/chart" uri="{C3380CC4-5D6E-409C-BE32-E72D297353CC}">
                <c16:uniqueId val="{00000019-F45B-4B0C-B32F-528D4DEE0A1E}"/>
              </c:ext>
            </c:extLst>
          </c:dPt>
          <c:dPt>
            <c:idx val="13"/>
            <c:bubble3D val="0"/>
            <c:spPr>
              <a:solidFill>
                <a:schemeClr val="tx1"/>
              </a:solidFill>
            </c:spPr>
            <c:extLst>
              <c:ext xmlns:c16="http://schemas.microsoft.com/office/drawing/2014/chart" uri="{C3380CC4-5D6E-409C-BE32-E72D297353CC}">
                <c16:uniqueId val="{0000001B-F45B-4B0C-B32F-528D4DEE0A1E}"/>
              </c:ext>
            </c:extLst>
          </c:dPt>
          <c:dPt>
            <c:idx val="14"/>
            <c:bubble3D val="0"/>
            <c:spPr>
              <a:noFill/>
            </c:spPr>
            <c:extLst>
              <c:ext xmlns:c16="http://schemas.microsoft.com/office/drawing/2014/chart" uri="{C3380CC4-5D6E-409C-BE32-E72D297353CC}">
                <c16:uniqueId val="{0000001D-F45B-4B0C-B32F-528D4DEE0A1E}"/>
              </c:ext>
            </c:extLst>
          </c:dPt>
          <c:dPt>
            <c:idx val="15"/>
            <c:bubble3D val="0"/>
            <c:spPr>
              <a:noFill/>
            </c:spPr>
            <c:extLst>
              <c:ext xmlns:c16="http://schemas.microsoft.com/office/drawing/2014/chart" uri="{C3380CC4-5D6E-409C-BE32-E72D297353CC}">
                <c16:uniqueId val="{0000001F-F45B-4B0C-B32F-528D4DEE0A1E}"/>
              </c:ext>
            </c:extLst>
          </c:dPt>
          <c:dPt>
            <c:idx val="16"/>
            <c:bubble3D val="0"/>
            <c:spPr>
              <a:solidFill>
                <a:schemeClr val="tx1"/>
              </a:solidFill>
            </c:spPr>
            <c:extLst>
              <c:ext xmlns:c16="http://schemas.microsoft.com/office/drawing/2014/chart" uri="{C3380CC4-5D6E-409C-BE32-E72D297353CC}">
                <c16:uniqueId val="{00000021-F45B-4B0C-B32F-528D4DEE0A1E}"/>
              </c:ext>
            </c:extLst>
          </c:dPt>
          <c:dPt>
            <c:idx val="17"/>
            <c:bubble3D val="0"/>
            <c:spPr>
              <a:noFill/>
            </c:spPr>
            <c:extLst>
              <c:ext xmlns:c16="http://schemas.microsoft.com/office/drawing/2014/chart" uri="{C3380CC4-5D6E-409C-BE32-E72D297353CC}">
                <c16:uniqueId val="{00000023-F45B-4B0C-B32F-528D4DEE0A1E}"/>
              </c:ext>
            </c:extLst>
          </c:dPt>
          <c:dPt>
            <c:idx val="18"/>
            <c:bubble3D val="0"/>
            <c:spPr>
              <a:noFill/>
            </c:spPr>
            <c:extLst>
              <c:ext xmlns:c16="http://schemas.microsoft.com/office/drawing/2014/chart" uri="{C3380CC4-5D6E-409C-BE32-E72D297353CC}">
                <c16:uniqueId val="{00000025-F45B-4B0C-B32F-528D4DEE0A1E}"/>
              </c:ext>
            </c:extLst>
          </c:dPt>
          <c:dPt>
            <c:idx val="19"/>
            <c:bubble3D val="0"/>
            <c:spPr>
              <a:solidFill>
                <a:schemeClr val="tx1"/>
              </a:solidFill>
            </c:spPr>
            <c:extLst>
              <c:ext xmlns:c16="http://schemas.microsoft.com/office/drawing/2014/chart" uri="{C3380CC4-5D6E-409C-BE32-E72D297353CC}">
                <c16:uniqueId val="{00000027-F45B-4B0C-B32F-528D4DEE0A1E}"/>
              </c:ext>
            </c:extLst>
          </c:dPt>
          <c:dPt>
            <c:idx val="20"/>
            <c:bubble3D val="0"/>
            <c:spPr>
              <a:noFill/>
            </c:spPr>
            <c:extLst>
              <c:ext xmlns:c16="http://schemas.microsoft.com/office/drawing/2014/chart" uri="{C3380CC4-5D6E-409C-BE32-E72D297353CC}">
                <c16:uniqueId val="{00000029-F45B-4B0C-B32F-528D4DEE0A1E}"/>
              </c:ext>
            </c:extLst>
          </c:dPt>
          <c:dPt>
            <c:idx val="21"/>
            <c:bubble3D val="0"/>
            <c:spPr>
              <a:noFill/>
            </c:spPr>
            <c:extLst>
              <c:ext xmlns:c16="http://schemas.microsoft.com/office/drawing/2014/chart" uri="{C3380CC4-5D6E-409C-BE32-E72D297353CC}">
                <c16:uniqueId val="{0000002B-F45B-4B0C-B32F-528D4DEE0A1E}"/>
              </c:ext>
            </c:extLst>
          </c:dPt>
          <c:dPt>
            <c:idx val="22"/>
            <c:bubble3D val="0"/>
            <c:spPr>
              <a:solidFill>
                <a:schemeClr val="tx1"/>
              </a:solidFill>
            </c:spPr>
            <c:extLst>
              <c:ext xmlns:c16="http://schemas.microsoft.com/office/drawing/2014/chart" uri="{C3380CC4-5D6E-409C-BE32-E72D297353CC}">
                <c16:uniqueId val="{0000002D-F45B-4B0C-B32F-528D4DEE0A1E}"/>
              </c:ext>
            </c:extLst>
          </c:dPt>
          <c:dPt>
            <c:idx val="23"/>
            <c:bubble3D val="0"/>
            <c:spPr>
              <a:noFill/>
            </c:spPr>
            <c:extLst>
              <c:ext xmlns:c16="http://schemas.microsoft.com/office/drawing/2014/chart" uri="{C3380CC4-5D6E-409C-BE32-E72D297353CC}">
                <c16:uniqueId val="{0000002F-F45B-4B0C-B32F-528D4DEE0A1E}"/>
              </c:ext>
            </c:extLst>
          </c:dPt>
          <c:dPt>
            <c:idx val="24"/>
            <c:bubble3D val="0"/>
            <c:spPr>
              <a:noFill/>
            </c:spPr>
            <c:extLst>
              <c:ext xmlns:c16="http://schemas.microsoft.com/office/drawing/2014/chart" uri="{C3380CC4-5D6E-409C-BE32-E72D297353CC}">
                <c16:uniqueId val="{00000031-F45B-4B0C-B32F-528D4DEE0A1E}"/>
              </c:ext>
            </c:extLst>
          </c:dPt>
          <c:dPt>
            <c:idx val="25"/>
            <c:bubble3D val="0"/>
            <c:spPr>
              <a:solidFill>
                <a:schemeClr val="tx1"/>
              </a:solidFill>
            </c:spPr>
            <c:extLst>
              <c:ext xmlns:c16="http://schemas.microsoft.com/office/drawing/2014/chart" uri="{C3380CC4-5D6E-409C-BE32-E72D297353CC}">
                <c16:uniqueId val="{00000033-F45B-4B0C-B32F-528D4DEE0A1E}"/>
              </c:ext>
            </c:extLst>
          </c:dPt>
          <c:dPt>
            <c:idx val="26"/>
            <c:bubble3D val="0"/>
            <c:spPr>
              <a:noFill/>
            </c:spPr>
            <c:extLst>
              <c:ext xmlns:c16="http://schemas.microsoft.com/office/drawing/2014/chart" uri="{C3380CC4-5D6E-409C-BE32-E72D297353CC}">
                <c16:uniqueId val="{00000035-F45B-4B0C-B32F-528D4DEE0A1E}"/>
              </c:ext>
            </c:extLst>
          </c:dPt>
          <c:dPt>
            <c:idx val="27"/>
            <c:bubble3D val="0"/>
            <c:spPr>
              <a:noFill/>
            </c:spPr>
            <c:extLst>
              <c:ext xmlns:c16="http://schemas.microsoft.com/office/drawing/2014/chart" uri="{C3380CC4-5D6E-409C-BE32-E72D297353CC}">
                <c16:uniqueId val="{00000037-F45B-4B0C-B32F-528D4DEE0A1E}"/>
              </c:ext>
            </c:extLst>
          </c:dPt>
          <c:dPt>
            <c:idx val="28"/>
            <c:bubble3D val="0"/>
            <c:spPr>
              <a:solidFill>
                <a:schemeClr val="tx1"/>
              </a:solidFill>
            </c:spPr>
            <c:extLst>
              <c:ext xmlns:c16="http://schemas.microsoft.com/office/drawing/2014/chart" uri="{C3380CC4-5D6E-409C-BE32-E72D297353CC}">
                <c16:uniqueId val="{00000039-F45B-4B0C-B32F-528D4DEE0A1E}"/>
              </c:ext>
            </c:extLst>
          </c:dPt>
          <c:dPt>
            <c:idx val="29"/>
            <c:bubble3D val="0"/>
            <c:spPr>
              <a:noFill/>
            </c:spPr>
            <c:extLst>
              <c:ext xmlns:c16="http://schemas.microsoft.com/office/drawing/2014/chart" uri="{C3380CC4-5D6E-409C-BE32-E72D297353CC}">
                <c16:uniqueId val="{0000003B-F45B-4B0C-B32F-528D4DEE0A1E}"/>
              </c:ext>
            </c:extLst>
          </c:dPt>
          <c:dPt>
            <c:idx val="30"/>
            <c:bubble3D val="0"/>
            <c:spPr>
              <a:noFill/>
            </c:spPr>
            <c:extLst>
              <c:ext xmlns:c16="http://schemas.microsoft.com/office/drawing/2014/chart" uri="{C3380CC4-5D6E-409C-BE32-E72D297353CC}">
                <c16:uniqueId val="{0000003D-F45B-4B0C-B32F-528D4DEE0A1E}"/>
              </c:ext>
            </c:extLst>
          </c:dPt>
          <c:dPt>
            <c:idx val="31"/>
            <c:bubble3D val="0"/>
            <c:spPr>
              <a:solidFill>
                <a:schemeClr val="tx1"/>
              </a:solidFill>
            </c:spPr>
            <c:extLst>
              <c:ext xmlns:c16="http://schemas.microsoft.com/office/drawing/2014/chart" uri="{C3380CC4-5D6E-409C-BE32-E72D297353CC}">
                <c16:uniqueId val="{0000003F-F45B-4B0C-B32F-528D4DEE0A1E}"/>
              </c:ext>
            </c:extLst>
          </c:dPt>
          <c:dPt>
            <c:idx val="32"/>
            <c:bubble3D val="0"/>
            <c:spPr>
              <a:noFill/>
            </c:spPr>
            <c:extLst>
              <c:ext xmlns:c16="http://schemas.microsoft.com/office/drawing/2014/chart" uri="{C3380CC4-5D6E-409C-BE32-E72D297353CC}">
                <c16:uniqueId val="{00000041-F45B-4B0C-B32F-528D4DEE0A1E}"/>
              </c:ext>
            </c:extLst>
          </c:dPt>
          <c:dPt>
            <c:idx val="33"/>
            <c:bubble3D val="0"/>
            <c:spPr>
              <a:noFill/>
            </c:spPr>
            <c:extLst>
              <c:ext xmlns:c16="http://schemas.microsoft.com/office/drawing/2014/chart" uri="{C3380CC4-5D6E-409C-BE32-E72D297353CC}">
                <c16:uniqueId val="{00000043-F45B-4B0C-B32F-528D4DEE0A1E}"/>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45B-4B0C-B32F-528D4DEE0A1E}"/>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162C-46D0-961F-8C3F58946EBF}"/>
              </c:ext>
            </c:extLst>
          </c:dPt>
          <c:dPt>
            <c:idx val="1"/>
            <c:bubble3D val="0"/>
            <c:spPr>
              <a:solidFill>
                <a:schemeClr val="accent3">
                  <a:lumMod val="50000"/>
                </a:schemeClr>
              </a:solidFill>
              <a:ln>
                <a:noFill/>
              </a:ln>
            </c:spPr>
            <c:extLst>
              <c:ext xmlns:c16="http://schemas.microsoft.com/office/drawing/2014/chart" uri="{C3380CC4-5D6E-409C-BE32-E72D297353CC}">
                <c16:uniqueId val="{00000003-162C-46D0-961F-8C3F58946EBF}"/>
              </c:ext>
            </c:extLst>
          </c:dPt>
          <c:dPt>
            <c:idx val="2"/>
            <c:bubble3D val="0"/>
            <c:spPr>
              <a:noFill/>
            </c:spPr>
            <c:extLst>
              <c:ext xmlns:c16="http://schemas.microsoft.com/office/drawing/2014/chart" uri="{C3380CC4-5D6E-409C-BE32-E72D297353CC}">
                <c16:uniqueId val="{00000005-162C-46D0-961F-8C3F58946EBF}"/>
              </c:ext>
            </c:extLst>
          </c:dPt>
          <c:dPt>
            <c:idx val="3"/>
            <c:bubble3D val="0"/>
            <c:spPr>
              <a:solidFill>
                <a:srgbClr val="CBE4EB"/>
              </a:solidFill>
              <a:ln>
                <a:noFill/>
              </a:ln>
            </c:spPr>
            <c:extLst>
              <c:ext xmlns:c16="http://schemas.microsoft.com/office/drawing/2014/chart" uri="{C3380CC4-5D6E-409C-BE32-E72D297353CC}">
                <c16:uniqueId val="{00000007-162C-46D0-961F-8C3F58946EBF}"/>
              </c:ext>
            </c:extLst>
          </c:dPt>
          <c:dPt>
            <c:idx val="4"/>
            <c:bubble3D val="0"/>
            <c:spPr>
              <a:solidFill>
                <a:schemeClr val="accent3"/>
              </a:solidFill>
              <a:ln>
                <a:noFill/>
              </a:ln>
            </c:spPr>
            <c:extLst>
              <c:ext xmlns:c16="http://schemas.microsoft.com/office/drawing/2014/chart" uri="{C3380CC4-5D6E-409C-BE32-E72D297353CC}">
                <c16:uniqueId val="{00000009-162C-46D0-961F-8C3F58946EB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62C-46D0-961F-8C3F58946EB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4388-47A4-B783-7865F10AD6D5}"/>
              </c:ext>
            </c:extLst>
          </c:dPt>
          <c:dPt>
            <c:idx val="1"/>
            <c:bubble3D val="0"/>
            <c:spPr>
              <a:solidFill>
                <a:schemeClr val="tx1"/>
              </a:solidFill>
              <a:ln>
                <a:noFill/>
              </a:ln>
            </c:spPr>
            <c:extLst>
              <c:ext xmlns:c16="http://schemas.microsoft.com/office/drawing/2014/chart" uri="{C3380CC4-5D6E-409C-BE32-E72D297353CC}">
                <c16:uniqueId val="{00000003-4388-47A4-B783-7865F10AD6D5}"/>
              </c:ext>
            </c:extLst>
          </c:dPt>
          <c:dPt>
            <c:idx val="2"/>
            <c:bubble3D val="0"/>
            <c:spPr>
              <a:noFill/>
            </c:spPr>
            <c:extLst>
              <c:ext xmlns:c16="http://schemas.microsoft.com/office/drawing/2014/chart" uri="{C3380CC4-5D6E-409C-BE32-E72D297353CC}">
                <c16:uniqueId val="{00000005-4388-47A4-B783-7865F10AD6D5}"/>
              </c:ext>
            </c:extLst>
          </c:dPt>
          <c:dPt>
            <c:idx val="3"/>
            <c:bubble3D val="0"/>
            <c:spPr>
              <a:noFill/>
            </c:spPr>
            <c:extLst>
              <c:ext xmlns:c16="http://schemas.microsoft.com/office/drawing/2014/chart" uri="{C3380CC4-5D6E-409C-BE32-E72D297353CC}">
                <c16:uniqueId val="{00000007-4388-47A4-B783-7865F10AD6D5}"/>
              </c:ext>
            </c:extLst>
          </c:dPt>
          <c:dPt>
            <c:idx val="4"/>
            <c:bubble3D val="0"/>
            <c:spPr>
              <a:solidFill>
                <a:schemeClr val="tx1"/>
              </a:solidFill>
              <a:ln>
                <a:noFill/>
              </a:ln>
            </c:spPr>
            <c:extLst>
              <c:ext xmlns:c16="http://schemas.microsoft.com/office/drawing/2014/chart" uri="{C3380CC4-5D6E-409C-BE32-E72D297353CC}">
                <c16:uniqueId val="{00000009-4388-47A4-B783-7865F10AD6D5}"/>
              </c:ext>
            </c:extLst>
          </c:dPt>
          <c:dPt>
            <c:idx val="5"/>
            <c:bubble3D val="0"/>
            <c:spPr>
              <a:noFill/>
            </c:spPr>
            <c:extLst>
              <c:ext xmlns:c16="http://schemas.microsoft.com/office/drawing/2014/chart" uri="{C3380CC4-5D6E-409C-BE32-E72D297353CC}">
                <c16:uniqueId val="{0000000B-4388-47A4-B783-7865F10AD6D5}"/>
              </c:ext>
            </c:extLst>
          </c:dPt>
          <c:dPt>
            <c:idx val="6"/>
            <c:bubble3D val="0"/>
            <c:spPr>
              <a:noFill/>
            </c:spPr>
            <c:extLst>
              <c:ext xmlns:c16="http://schemas.microsoft.com/office/drawing/2014/chart" uri="{C3380CC4-5D6E-409C-BE32-E72D297353CC}">
                <c16:uniqueId val="{0000000D-4388-47A4-B783-7865F10AD6D5}"/>
              </c:ext>
            </c:extLst>
          </c:dPt>
          <c:dPt>
            <c:idx val="7"/>
            <c:bubble3D val="0"/>
            <c:spPr>
              <a:solidFill>
                <a:schemeClr val="tx1"/>
              </a:solidFill>
              <a:ln>
                <a:noFill/>
              </a:ln>
            </c:spPr>
            <c:extLst>
              <c:ext xmlns:c16="http://schemas.microsoft.com/office/drawing/2014/chart" uri="{C3380CC4-5D6E-409C-BE32-E72D297353CC}">
                <c16:uniqueId val="{0000000F-4388-47A4-B783-7865F10AD6D5}"/>
              </c:ext>
            </c:extLst>
          </c:dPt>
          <c:dPt>
            <c:idx val="8"/>
            <c:bubble3D val="0"/>
            <c:spPr>
              <a:noFill/>
            </c:spPr>
            <c:extLst>
              <c:ext xmlns:c16="http://schemas.microsoft.com/office/drawing/2014/chart" uri="{C3380CC4-5D6E-409C-BE32-E72D297353CC}">
                <c16:uniqueId val="{00000011-4388-47A4-B783-7865F10AD6D5}"/>
              </c:ext>
            </c:extLst>
          </c:dPt>
          <c:dPt>
            <c:idx val="9"/>
            <c:bubble3D val="0"/>
            <c:spPr>
              <a:noFill/>
            </c:spPr>
            <c:extLst>
              <c:ext xmlns:c16="http://schemas.microsoft.com/office/drawing/2014/chart" uri="{C3380CC4-5D6E-409C-BE32-E72D297353CC}">
                <c16:uniqueId val="{00000013-4388-47A4-B783-7865F10AD6D5}"/>
              </c:ext>
            </c:extLst>
          </c:dPt>
          <c:dPt>
            <c:idx val="10"/>
            <c:bubble3D val="0"/>
            <c:spPr>
              <a:solidFill>
                <a:schemeClr val="tx1"/>
              </a:solidFill>
            </c:spPr>
            <c:extLst>
              <c:ext xmlns:c16="http://schemas.microsoft.com/office/drawing/2014/chart" uri="{C3380CC4-5D6E-409C-BE32-E72D297353CC}">
                <c16:uniqueId val="{00000015-4388-47A4-B783-7865F10AD6D5}"/>
              </c:ext>
            </c:extLst>
          </c:dPt>
          <c:dPt>
            <c:idx val="11"/>
            <c:bubble3D val="0"/>
            <c:spPr>
              <a:noFill/>
            </c:spPr>
            <c:extLst>
              <c:ext xmlns:c16="http://schemas.microsoft.com/office/drawing/2014/chart" uri="{C3380CC4-5D6E-409C-BE32-E72D297353CC}">
                <c16:uniqueId val="{00000017-4388-47A4-B783-7865F10AD6D5}"/>
              </c:ext>
            </c:extLst>
          </c:dPt>
          <c:dPt>
            <c:idx val="12"/>
            <c:bubble3D val="0"/>
            <c:spPr>
              <a:noFill/>
            </c:spPr>
            <c:extLst>
              <c:ext xmlns:c16="http://schemas.microsoft.com/office/drawing/2014/chart" uri="{C3380CC4-5D6E-409C-BE32-E72D297353CC}">
                <c16:uniqueId val="{00000019-4388-47A4-B783-7865F10AD6D5}"/>
              </c:ext>
            </c:extLst>
          </c:dPt>
          <c:dPt>
            <c:idx val="13"/>
            <c:bubble3D val="0"/>
            <c:spPr>
              <a:solidFill>
                <a:schemeClr val="tx1"/>
              </a:solidFill>
            </c:spPr>
            <c:extLst>
              <c:ext xmlns:c16="http://schemas.microsoft.com/office/drawing/2014/chart" uri="{C3380CC4-5D6E-409C-BE32-E72D297353CC}">
                <c16:uniqueId val="{0000001B-4388-47A4-B783-7865F10AD6D5}"/>
              </c:ext>
            </c:extLst>
          </c:dPt>
          <c:dPt>
            <c:idx val="14"/>
            <c:bubble3D val="0"/>
            <c:spPr>
              <a:noFill/>
            </c:spPr>
            <c:extLst>
              <c:ext xmlns:c16="http://schemas.microsoft.com/office/drawing/2014/chart" uri="{C3380CC4-5D6E-409C-BE32-E72D297353CC}">
                <c16:uniqueId val="{0000001D-4388-47A4-B783-7865F10AD6D5}"/>
              </c:ext>
            </c:extLst>
          </c:dPt>
          <c:dPt>
            <c:idx val="15"/>
            <c:bubble3D val="0"/>
            <c:spPr>
              <a:noFill/>
            </c:spPr>
            <c:extLst>
              <c:ext xmlns:c16="http://schemas.microsoft.com/office/drawing/2014/chart" uri="{C3380CC4-5D6E-409C-BE32-E72D297353CC}">
                <c16:uniqueId val="{0000001F-4388-47A4-B783-7865F10AD6D5}"/>
              </c:ext>
            </c:extLst>
          </c:dPt>
          <c:dPt>
            <c:idx val="16"/>
            <c:bubble3D val="0"/>
            <c:spPr>
              <a:solidFill>
                <a:schemeClr val="tx1"/>
              </a:solidFill>
            </c:spPr>
            <c:extLst>
              <c:ext xmlns:c16="http://schemas.microsoft.com/office/drawing/2014/chart" uri="{C3380CC4-5D6E-409C-BE32-E72D297353CC}">
                <c16:uniqueId val="{00000021-4388-47A4-B783-7865F10AD6D5}"/>
              </c:ext>
            </c:extLst>
          </c:dPt>
          <c:dPt>
            <c:idx val="17"/>
            <c:bubble3D val="0"/>
            <c:spPr>
              <a:noFill/>
            </c:spPr>
            <c:extLst>
              <c:ext xmlns:c16="http://schemas.microsoft.com/office/drawing/2014/chart" uri="{C3380CC4-5D6E-409C-BE32-E72D297353CC}">
                <c16:uniqueId val="{00000023-4388-47A4-B783-7865F10AD6D5}"/>
              </c:ext>
            </c:extLst>
          </c:dPt>
          <c:dPt>
            <c:idx val="18"/>
            <c:bubble3D val="0"/>
            <c:spPr>
              <a:noFill/>
            </c:spPr>
            <c:extLst>
              <c:ext xmlns:c16="http://schemas.microsoft.com/office/drawing/2014/chart" uri="{C3380CC4-5D6E-409C-BE32-E72D297353CC}">
                <c16:uniqueId val="{00000025-4388-47A4-B783-7865F10AD6D5}"/>
              </c:ext>
            </c:extLst>
          </c:dPt>
          <c:dPt>
            <c:idx val="19"/>
            <c:bubble3D val="0"/>
            <c:spPr>
              <a:solidFill>
                <a:schemeClr val="tx1"/>
              </a:solidFill>
            </c:spPr>
            <c:extLst>
              <c:ext xmlns:c16="http://schemas.microsoft.com/office/drawing/2014/chart" uri="{C3380CC4-5D6E-409C-BE32-E72D297353CC}">
                <c16:uniqueId val="{00000027-4388-47A4-B783-7865F10AD6D5}"/>
              </c:ext>
            </c:extLst>
          </c:dPt>
          <c:dPt>
            <c:idx val="20"/>
            <c:bubble3D val="0"/>
            <c:spPr>
              <a:noFill/>
            </c:spPr>
            <c:extLst>
              <c:ext xmlns:c16="http://schemas.microsoft.com/office/drawing/2014/chart" uri="{C3380CC4-5D6E-409C-BE32-E72D297353CC}">
                <c16:uniqueId val="{00000029-4388-47A4-B783-7865F10AD6D5}"/>
              </c:ext>
            </c:extLst>
          </c:dPt>
          <c:dPt>
            <c:idx val="21"/>
            <c:bubble3D val="0"/>
            <c:spPr>
              <a:noFill/>
            </c:spPr>
            <c:extLst>
              <c:ext xmlns:c16="http://schemas.microsoft.com/office/drawing/2014/chart" uri="{C3380CC4-5D6E-409C-BE32-E72D297353CC}">
                <c16:uniqueId val="{0000002B-4388-47A4-B783-7865F10AD6D5}"/>
              </c:ext>
            </c:extLst>
          </c:dPt>
          <c:dPt>
            <c:idx val="22"/>
            <c:bubble3D val="0"/>
            <c:spPr>
              <a:solidFill>
                <a:schemeClr val="tx1"/>
              </a:solidFill>
            </c:spPr>
            <c:extLst>
              <c:ext xmlns:c16="http://schemas.microsoft.com/office/drawing/2014/chart" uri="{C3380CC4-5D6E-409C-BE32-E72D297353CC}">
                <c16:uniqueId val="{0000002D-4388-47A4-B783-7865F10AD6D5}"/>
              </c:ext>
            </c:extLst>
          </c:dPt>
          <c:dPt>
            <c:idx val="23"/>
            <c:bubble3D val="0"/>
            <c:spPr>
              <a:noFill/>
            </c:spPr>
            <c:extLst>
              <c:ext xmlns:c16="http://schemas.microsoft.com/office/drawing/2014/chart" uri="{C3380CC4-5D6E-409C-BE32-E72D297353CC}">
                <c16:uniqueId val="{0000002F-4388-47A4-B783-7865F10AD6D5}"/>
              </c:ext>
            </c:extLst>
          </c:dPt>
          <c:dPt>
            <c:idx val="24"/>
            <c:bubble3D val="0"/>
            <c:spPr>
              <a:noFill/>
            </c:spPr>
            <c:extLst>
              <c:ext xmlns:c16="http://schemas.microsoft.com/office/drawing/2014/chart" uri="{C3380CC4-5D6E-409C-BE32-E72D297353CC}">
                <c16:uniqueId val="{00000031-4388-47A4-B783-7865F10AD6D5}"/>
              </c:ext>
            </c:extLst>
          </c:dPt>
          <c:dPt>
            <c:idx val="25"/>
            <c:bubble3D val="0"/>
            <c:spPr>
              <a:solidFill>
                <a:schemeClr val="tx1"/>
              </a:solidFill>
            </c:spPr>
            <c:extLst>
              <c:ext xmlns:c16="http://schemas.microsoft.com/office/drawing/2014/chart" uri="{C3380CC4-5D6E-409C-BE32-E72D297353CC}">
                <c16:uniqueId val="{00000033-4388-47A4-B783-7865F10AD6D5}"/>
              </c:ext>
            </c:extLst>
          </c:dPt>
          <c:dPt>
            <c:idx val="26"/>
            <c:bubble3D val="0"/>
            <c:spPr>
              <a:noFill/>
            </c:spPr>
            <c:extLst>
              <c:ext xmlns:c16="http://schemas.microsoft.com/office/drawing/2014/chart" uri="{C3380CC4-5D6E-409C-BE32-E72D297353CC}">
                <c16:uniqueId val="{00000035-4388-47A4-B783-7865F10AD6D5}"/>
              </c:ext>
            </c:extLst>
          </c:dPt>
          <c:dPt>
            <c:idx val="27"/>
            <c:bubble3D val="0"/>
            <c:spPr>
              <a:noFill/>
            </c:spPr>
            <c:extLst>
              <c:ext xmlns:c16="http://schemas.microsoft.com/office/drawing/2014/chart" uri="{C3380CC4-5D6E-409C-BE32-E72D297353CC}">
                <c16:uniqueId val="{00000037-4388-47A4-B783-7865F10AD6D5}"/>
              </c:ext>
            </c:extLst>
          </c:dPt>
          <c:dPt>
            <c:idx val="28"/>
            <c:bubble3D val="0"/>
            <c:spPr>
              <a:solidFill>
                <a:schemeClr val="tx1"/>
              </a:solidFill>
            </c:spPr>
            <c:extLst>
              <c:ext xmlns:c16="http://schemas.microsoft.com/office/drawing/2014/chart" uri="{C3380CC4-5D6E-409C-BE32-E72D297353CC}">
                <c16:uniqueId val="{00000039-4388-47A4-B783-7865F10AD6D5}"/>
              </c:ext>
            </c:extLst>
          </c:dPt>
          <c:dPt>
            <c:idx val="29"/>
            <c:bubble3D val="0"/>
            <c:spPr>
              <a:noFill/>
            </c:spPr>
            <c:extLst>
              <c:ext xmlns:c16="http://schemas.microsoft.com/office/drawing/2014/chart" uri="{C3380CC4-5D6E-409C-BE32-E72D297353CC}">
                <c16:uniqueId val="{0000003B-4388-47A4-B783-7865F10AD6D5}"/>
              </c:ext>
            </c:extLst>
          </c:dPt>
          <c:dPt>
            <c:idx val="30"/>
            <c:bubble3D val="0"/>
            <c:spPr>
              <a:noFill/>
            </c:spPr>
            <c:extLst>
              <c:ext xmlns:c16="http://schemas.microsoft.com/office/drawing/2014/chart" uri="{C3380CC4-5D6E-409C-BE32-E72D297353CC}">
                <c16:uniqueId val="{0000003D-4388-47A4-B783-7865F10AD6D5}"/>
              </c:ext>
            </c:extLst>
          </c:dPt>
          <c:dPt>
            <c:idx val="31"/>
            <c:bubble3D val="0"/>
            <c:spPr>
              <a:solidFill>
                <a:schemeClr val="tx1"/>
              </a:solidFill>
            </c:spPr>
            <c:extLst>
              <c:ext xmlns:c16="http://schemas.microsoft.com/office/drawing/2014/chart" uri="{C3380CC4-5D6E-409C-BE32-E72D297353CC}">
                <c16:uniqueId val="{0000003F-4388-47A4-B783-7865F10AD6D5}"/>
              </c:ext>
            </c:extLst>
          </c:dPt>
          <c:dPt>
            <c:idx val="32"/>
            <c:bubble3D val="0"/>
            <c:spPr>
              <a:noFill/>
            </c:spPr>
            <c:extLst>
              <c:ext xmlns:c16="http://schemas.microsoft.com/office/drawing/2014/chart" uri="{C3380CC4-5D6E-409C-BE32-E72D297353CC}">
                <c16:uniqueId val="{00000041-4388-47A4-B783-7865F10AD6D5}"/>
              </c:ext>
            </c:extLst>
          </c:dPt>
          <c:dPt>
            <c:idx val="33"/>
            <c:bubble3D val="0"/>
            <c:spPr>
              <a:noFill/>
            </c:spPr>
            <c:extLst>
              <c:ext xmlns:c16="http://schemas.microsoft.com/office/drawing/2014/chart" uri="{C3380CC4-5D6E-409C-BE32-E72D297353CC}">
                <c16:uniqueId val="{00000043-4388-47A4-B783-7865F10AD6D5}"/>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4388-47A4-B783-7865F10AD6D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55E-4E97-AF65-E139D7A4D065}"/>
              </c:ext>
            </c:extLst>
          </c:dPt>
          <c:dPt>
            <c:idx val="1"/>
            <c:bubble3D val="0"/>
            <c:spPr>
              <a:solidFill>
                <a:srgbClr val="054680"/>
              </a:solidFill>
              <a:ln>
                <a:noFill/>
              </a:ln>
            </c:spPr>
            <c:extLst>
              <c:ext xmlns:c16="http://schemas.microsoft.com/office/drawing/2014/chart" uri="{C3380CC4-5D6E-409C-BE32-E72D297353CC}">
                <c16:uniqueId val="{00000003-155E-4E97-AF65-E139D7A4D065}"/>
              </c:ext>
            </c:extLst>
          </c:dPt>
          <c:dPt>
            <c:idx val="2"/>
            <c:bubble3D val="0"/>
            <c:spPr>
              <a:noFill/>
            </c:spPr>
            <c:extLst>
              <c:ext xmlns:c16="http://schemas.microsoft.com/office/drawing/2014/chart" uri="{C3380CC4-5D6E-409C-BE32-E72D297353CC}">
                <c16:uniqueId val="{00000005-155E-4E97-AF65-E139D7A4D065}"/>
              </c:ext>
            </c:extLst>
          </c:dPt>
          <c:dPt>
            <c:idx val="3"/>
            <c:bubble3D val="0"/>
            <c:spPr>
              <a:solidFill>
                <a:srgbClr val="CBE4EB"/>
              </a:solidFill>
              <a:ln>
                <a:noFill/>
              </a:ln>
            </c:spPr>
            <c:extLst>
              <c:ext xmlns:c16="http://schemas.microsoft.com/office/drawing/2014/chart" uri="{C3380CC4-5D6E-409C-BE32-E72D297353CC}">
                <c16:uniqueId val="{00000007-155E-4E97-AF65-E139D7A4D065}"/>
              </c:ext>
            </c:extLst>
          </c:dPt>
          <c:dPt>
            <c:idx val="4"/>
            <c:bubble3D val="0"/>
            <c:spPr>
              <a:solidFill>
                <a:srgbClr val="007AC5"/>
              </a:solidFill>
              <a:ln>
                <a:noFill/>
              </a:ln>
            </c:spPr>
            <c:extLst>
              <c:ext xmlns:c16="http://schemas.microsoft.com/office/drawing/2014/chart" uri="{C3380CC4-5D6E-409C-BE32-E72D297353CC}">
                <c16:uniqueId val="{00000009-155E-4E97-AF65-E139D7A4D065}"/>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55E-4E97-AF65-E139D7A4D065}"/>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247-4881-ACD4-665E3E9AF2DB}"/>
              </c:ext>
            </c:extLst>
          </c:dPt>
          <c:dPt>
            <c:idx val="1"/>
            <c:bubble3D val="0"/>
            <c:spPr>
              <a:solidFill>
                <a:schemeClr val="tx1"/>
              </a:solidFill>
              <a:ln>
                <a:noFill/>
              </a:ln>
            </c:spPr>
            <c:extLst>
              <c:ext xmlns:c16="http://schemas.microsoft.com/office/drawing/2014/chart" uri="{C3380CC4-5D6E-409C-BE32-E72D297353CC}">
                <c16:uniqueId val="{00000003-F247-4881-ACD4-665E3E9AF2DB}"/>
              </c:ext>
            </c:extLst>
          </c:dPt>
          <c:dPt>
            <c:idx val="2"/>
            <c:bubble3D val="0"/>
            <c:spPr>
              <a:noFill/>
            </c:spPr>
            <c:extLst>
              <c:ext xmlns:c16="http://schemas.microsoft.com/office/drawing/2014/chart" uri="{C3380CC4-5D6E-409C-BE32-E72D297353CC}">
                <c16:uniqueId val="{00000005-F247-4881-ACD4-665E3E9AF2DB}"/>
              </c:ext>
            </c:extLst>
          </c:dPt>
          <c:dPt>
            <c:idx val="3"/>
            <c:bubble3D val="0"/>
            <c:spPr>
              <a:noFill/>
            </c:spPr>
            <c:extLst>
              <c:ext xmlns:c16="http://schemas.microsoft.com/office/drawing/2014/chart" uri="{C3380CC4-5D6E-409C-BE32-E72D297353CC}">
                <c16:uniqueId val="{00000007-F247-4881-ACD4-665E3E9AF2DB}"/>
              </c:ext>
            </c:extLst>
          </c:dPt>
          <c:dPt>
            <c:idx val="4"/>
            <c:bubble3D val="0"/>
            <c:spPr>
              <a:solidFill>
                <a:schemeClr val="tx1"/>
              </a:solidFill>
              <a:ln>
                <a:noFill/>
              </a:ln>
            </c:spPr>
            <c:extLst>
              <c:ext xmlns:c16="http://schemas.microsoft.com/office/drawing/2014/chart" uri="{C3380CC4-5D6E-409C-BE32-E72D297353CC}">
                <c16:uniqueId val="{00000009-F247-4881-ACD4-665E3E9AF2DB}"/>
              </c:ext>
            </c:extLst>
          </c:dPt>
          <c:dPt>
            <c:idx val="5"/>
            <c:bubble3D val="0"/>
            <c:spPr>
              <a:noFill/>
            </c:spPr>
            <c:extLst>
              <c:ext xmlns:c16="http://schemas.microsoft.com/office/drawing/2014/chart" uri="{C3380CC4-5D6E-409C-BE32-E72D297353CC}">
                <c16:uniqueId val="{0000000B-F247-4881-ACD4-665E3E9AF2DB}"/>
              </c:ext>
            </c:extLst>
          </c:dPt>
          <c:dPt>
            <c:idx val="6"/>
            <c:bubble3D val="0"/>
            <c:spPr>
              <a:noFill/>
            </c:spPr>
            <c:extLst>
              <c:ext xmlns:c16="http://schemas.microsoft.com/office/drawing/2014/chart" uri="{C3380CC4-5D6E-409C-BE32-E72D297353CC}">
                <c16:uniqueId val="{0000000D-F247-4881-ACD4-665E3E9AF2DB}"/>
              </c:ext>
            </c:extLst>
          </c:dPt>
          <c:dPt>
            <c:idx val="7"/>
            <c:bubble3D val="0"/>
            <c:spPr>
              <a:solidFill>
                <a:schemeClr val="tx1"/>
              </a:solidFill>
              <a:ln>
                <a:noFill/>
              </a:ln>
            </c:spPr>
            <c:extLst>
              <c:ext xmlns:c16="http://schemas.microsoft.com/office/drawing/2014/chart" uri="{C3380CC4-5D6E-409C-BE32-E72D297353CC}">
                <c16:uniqueId val="{0000000F-F247-4881-ACD4-665E3E9AF2DB}"/>
              </c:ext>
            </c:extLst>
          </c:dPt>
          <c:dPt>
            <c:idx val="8"/>
            <c:bubble3D val="0"/>
            <c:spPr>
              <a:noFill/>
            </c:spPr>
            <c:extLst>
              <c:ext xmlns:c16="http://schemas.microsoft.com/office/drawing/2014/chart" uri="{C3380CC4-5D6E-409C-BE32-E72D297353CC}">
                <c16:uniqueId val="{00000011-F247-4881-ACD4-665E3E9AF2DB}"/>
              </c:ext>
            </c:extLst>
          </c:dPt>
          <c:dPt>
            <c:idx val="9"/>
            <c:bubble3D val="0"/>
            <c:spPr>
              <a:noFill/>
            </c:spPr>
            <c:extLst>
              <c:ext xmlns:c16="http://schemas.microsoft.com/office/drawing/2014/chart" uri="{C3380CC4-5D6E-409C-BE32-E72D297353CC}">
                <c16:uniqueId val="{00000013-F247-4881-ACD4-665E3E9AF2DB}"/>
              </c:ext>
            </c:extLst>
          </c:dPt>
          <c:dPt>
            <c:idx val="10"/>
            <c:bubble3D val="0"/>
            <c:spPr>
              <a:solidFill>
                <a:schemeClr val="tx1"/>
              </a:solidFill>
            </c:spPr>
            <c:extLst>
              <c:ext xmlns:c16="http://schemas.microsoft.com/office/drawing/2014/chart" uri="{C3380CC4-5D6E-409C-BE32-E72D297353CC}">
                <c16:uniqueId val="{00000015-F247-4881-ACD4-665E3E9AF2DB}"/>
              </c:ext>
            </c:extLst>
          </c:dPt>
          <c:dPt>
            <c:idx val="11"/>
            <c:bubble3D val="0"/>
            <c:spPr>
              <a:noFill/>
            </c:spPr>
            <c:extLst>
              <c:ext xmlns:c16="http://schemas.microsoft.com/office/drawing/2014/chart" uri="{C3380CC4-5D6E-409C-BE32-E72D297353CC}">
                <c16:uniqueId val="{00000017-F247-4881-ACD4-665E3E9AF2DB}"/>
              </c:ext>
            </c:extLst>
          </c:dPt>
          <c:dPt>
            <c:idx val="12"/>
            <c:bubble3D val="0"/>
            <c:spPr>
              <a:noFill/>
            </c:spPr>
            <c:extLst>
              <c:ext xmlns:c16="http://schemas.microsoft.com/office/drawing/2014/chart" uri="{C3380CC4-5D6E-409C-BE32-E72D297353CC}">
                <c16:uniqueId val="{00000019-F247-4881-ACD4-665E3E9AF2DB}"/>
              </c:ext>
            </c:extLst>
          </c:dPt>
          <c:dPt>
            <c:idx val="13"/>
            <c:bubble3D val="0"/>
            <c:spPr>
              <a:solidFill>
                <a:schemeClr val="tx1"/>
              </a:solidFill>
            </c:spPr>
            <c:extLst>
              <c:ext xmlns:c16="http://schemas.microsoft.com/office/drawing/2014/chart" uri="{C3380CC4-5D6E-409C-BE32-E72D297353CC}">
                <c16:uniqueId val="{0000001B-F247-4881-ACD4-665E3E9AF2DB}"/>
              </c:ext>
            </c:extLst>
          </c:dPt>
          <c:dPt>
            <c:idx val="14"/>
            <c:bubble3D val="0"/>
            <c:spPr>
              <a:noFill/>
            </c:spPr>
            <c:extLst>
              <c:ext xmlns:c16="http://schemas.microsoft.com/office/drawing/2014/chart" uri="{C3380CC4-5D6E-409C-BE32-E72D297353CC}">
                <c16:uniqueId val="{0000001D-F247-4881-ACD4-665E3E9AF2DB}"/>
              </c:ext>
            </c:extLst>
          </c:dPt>
          <c:dPt>
            <c:idx val="15"/>
            <c:bubble3D val="0"/>
            <c:spPr>
              <a:noFill/>
            </c:spPr>
            <c:extLst>
              <c:ext xmlns:c16="http://schemas.microsoft.com/office/drawing/2014/chart" uri="{C3380CC4-5D6E-409C-BE32-E72D297353CC}">
                <c16:uniqueId val="{0000001F-F247-4881-ACD4-665E3E9AF2DB}"/>
              </c:ext>
            </c:extLst>
          </c:dPt>
          <c:dPt>
            <c:idx val="16"/>
            <c:bubble3D val="0"/>
            <c:spPr>
              <a:solidFill>
                <a:schemeClr val="tx1"/>
              </a:solidFill>
            </c:spPr>
            <c:extLst>
              <c:ext xmlns:c16="http://schemas.microsoft.com/office/drawing/2014/chart" uri="{C3380CC4-5D6E-409C-BE32-E72D297353CC}">
                <c16:uniqueId val="{00000021-F247-4881-ACD4-665E3E9AF2DB}"/>
              </c:ext>
            </c:extLst>
          </c:dPt>
          <c:dPt>
            <c:idx val="17"/>
            <c:bubble3D val="0"/>
            <c:spPr>
              <a:noFill/>
            </c:spPr>
            <c:extLst>
              <c:ext xmlns:c16="http://schemas.microsoft.com/office/drawing/2014/chart" uri="{C3380CC4-5D6E-409C-BE32-E72D297353CC}">
                <c16:uniqueId val="{00000023-F247-4881-ACD4-665E3E9AF2DB}"/>
              </c:ext>
            </c:extLst>
          </c:dPt>
          <c:dPt>
            <c:idx val="18"/>
            <c:bubble3D val="0"/>
            <c:spPr>
              <a:noFill/>
            </c:spPr>
            <c:extLst>
              <c:ext xmlns:c16="http://schemas.microsoft.com/office/drawing/2014/chart" uri="{C3380CC4-5D6E-409C-BE32-E72D297353CC}">
                <c16:uniqueId val="{00000025-F247-4881-ACD4-665E3E9AF2DB}"/>
              </c:ext>
            </c:extLst>
          </c:dPt>
          <c:dPt>
            <c:idx val="19"/>
            <c:bubble3D val="0"/>
            <c:spPr>
              <a:solidFill>
                <a:schemeClr val="tx1"/>
              </a:solidFill>
            </c:spPr>
            <c:extLst>
              <c:ext xmlns:c16="http://schemas.microsoft.com/office/drawing/2014/chart" uri="{C3380CC4-5D6E-409C-BE32-E72D297353CC}">
                <c16:uniqueId val="{00000027-F247-4881-ACD4-665E3E9AF2DB}"/>
              </c:ext>
            </c:extLst>
          </c:dPt>
          <c:dPt>
            <c:idx val="20"/>
            <c:bubble3D val="0"/>
            <c:spPr>
              <a:noFill/>
            </c:spPr>
            <c:extLst>
              <c:ext xmlns:c16="http://schemas.microsoft.com/office/drawing/2014/chart" uri="{C3380CC4-5D6E-409C-BE32-E72D297353CC}">
                <c16:uniqueId val="{00000029-F247-4881-ACD4-665E3E9AF2DB}"/>
              </c:ext>
            </c:extLst>
          </c:dPt>
          <c:dPt>
            <c:idx val="21"/>
            <c:bubble3D val="0"/>
            <c:spPr>
              <a:noFill/>
            </c:spPr>
            <c:extLst>
              <c:ext xmlns:c16="http://schemas.microsoft.com/office/drawing/2014/chart" uri="{C3380CC4-5D6E-409C-BE32-E72D297353CC}">
                <c16:uniqueId val="{0000002B-F247-4881-ACD4-665E3E9AF2DB}"/>
              </c:ext>
            </c:extLst>
          </c:dPt>
          <c:dPt>
            <c:idx val="22"/>
            <c:bubble3D val="0"/>
            <c:spPr>
              <a:solidFill>
                <a:schemeClr val="tx1"/>
              </a:solidFill>
            </c:spPr>
            <c:extLst>
              <c:ext xmlns:c16="http://schemas.microsoft.com/office/drawing/2014/chart" uri="{C3380CC4-5D6E-409C-BE32-E72D297353CC}">
                <c16:uniqueId val="{0000002D-F247-4881-ACD4-665E3E9AF2DB}"/>
              </c:ext>
            </c:extLst>
          </c:dPt>
          <c:dPt>
            <c:idx val="23"/>
            <c:bubble3D val="0"/>
            <c:spPr>
              <a:noFill/>
            </c:spPr>
            <c:extLst>
              <c:ext xmlns:c16="http://schemas.microsoft.com/office/drawing/2014/chart" uri="{C3380CC4-5D6E-409C-BE32-E72D297353CC}">
                <c16:uniqueId val="{0000002F-F247-4881-ACD4-665E3E9AF2DB}"/>
              </c:ext>
            </c:extLst>
          </c:dPt>
          <c:dPt>
            <c:idx val="24"/>
            <c:bubble3D val="0"/>
            <c:spPr>
              <a:noFill/>
            </c:spPr>
            <c:extLst>
              <c:ext xmlns:c16="http://schemas.microsoft.com/office/drawing/2014/chart" uri="{C3380CC4-5D6E-409C-BE32-E72D297353CC}">
                <c16:uniqueId val="{00000031-F247-4881-ACD4-665E3E9AF2DB}"/>
              </c:ext>
            </c:extLst>
          </c:dPt>
          <c:dPt>
            <c:idx val="25"/>
            <c:bubble3D val="0"/>
            <c:spPr>
              <a:solidFill>
                <a:schemeClr val="tx1"/>
              </a:solidFill>
            </c:spPr>
            <c:extLst>
              <c:ext xmlns:c16="http://schemas.microsoft.com/office/drawing/2014/chart" uri="{C3380CC4-5D6E-409C-BE32-E72D297353CC}">
                <c16:uniqueId val="{00000033-F247-4881-ACD4-665E3E9AF2DB}"/>
              </c:ext>
            </c:extLst>
          </c:dPt>
          <c:dPt>
            <c:idx val="26"/>
            <c:bubble3D val="0"/>
            <c:spPr>
              <a:noFill/>
            </c:spPr>
            <c:extLst>
              <c:ext xmlns:c16="http://schemas.microsoft.com/office/drawing/2014/chart" uri="{C3380CC4-5D6E-409C-BE32-E72D297353CC}">
                <c16:uniqueId val="{00000035-F247-4881-ACD4-665E3E9AF2DB}"/>
              </c:ext>
            </c:extLst>
          </c:dPt>
          <c:dPt>
            <c:idx val="27"/>
            <c:bubble3D val="0"/>
            <c:spPr>
              <a:noFill/>
            </c:spPr>
            <c:extLst>
              <c:ext xmlns:c16="http://schemas.microsoft.com/office/drawing/2014/chart" uri="{C3380CC4-5D6E-409C-BE32-E72D297353CC}">
                <c16:uniqueId val="{00000037-F247-4881-ACD4-665E3E9AF2DB}"/>
              </c:ext>
            </c:extLst>
          </c:dPt>
          <c:dPt>
            <c:idx val="28"/>
            <c:bubble3D val="0"/>
            <c:spPr>
              <a:solidFill>
                <a:schemeClr val="tx1"/>
              </a:solidFill>
            </c:spPr>
            <c:extLst>
              <c:ext xmlns:c16="http://schemas.microsoft.com/office/drawing/2014/chart" uri="{C3380CC4-5D6E-409C-BE32-E72D297353CC}">
                <c16:uniqueId val="{00000039-F247-4881-ACD4-665E3E9AF2DB}"/>
              </c:ext>
            </c:extLst>
          </c:dPt>
          <c:dPt>
            <c:idx val="29"/>
            <c:bubble3D val="0"/>
            <c:spPr>
              <a:noFill/>
            </c:spPr>
            <c:extLst>
              <c:ext xmlns:c16="http://schemas.microsoft.com/office/drawing/2014/chart" uri="{C3380CC4-5D6E-409C-BE32-E72D297353CC}">
                <c16:uniqueId val="{0000003B-F247-4881-ACD4-665E3E9AF2DB}"/>
              </c:ext>
            </c:extLst>
          </c:dPt>
          <c:dPt>
            <c:idx val="30"/>
            <c:bubble3D val="0"/>
            <c:spPr>
              <a:noFill/>
            </c:spPr>
            <c:extLst>
              <c:ext xmlns:c16="http://schemas.microsoft.com/office/drawing/2014/chart" uri="{C3380CC4-5D6E-409C-BE32-E72D297353CC}">
                <c16:uniqueId val="{0000003D-F247-4881-ACD4-665E3E9AF2DB}"/>
              </c:ext>
            </c:extLst>
          </c:dPt>
          <c:dPt>
            <c:idx val="31"/>
            <c:bubble3D val="0"/>
            <c:spPr>
              <a:solidFill>
                <a:schemeClr val="tx1"/>
              </a:solidFill>
            </c:spPr>
            <c:extLst>
              <c:ext xmlns:c16="http://schemas.microsoft.com/office/drawing/2014/chart" uri="{C3380CC4-5D6E-409C-BE32-E72D297353CC}">
                <c16:uniqueId val="{0000003F-F247-4881-ACD4-665E3E9AF2DB}"/>
              </c:ext>
            </c:extLst>
          </c:dPt>
          <c:dPt>
            <c:idx val="32"/>
            <c:bubble3D val="0"/>
            <c:spPr>
              <a:noFill/>
            </c:spPr>
            <c:extLst>
              <c:ext xmlns:c16="http://schemas.microsoft.com/office/drawing/2014/chart" uri="{C3380CC4-5D6E-409C-BE32-E72D297353CC}">
                <c16:uniqueId val="{00000041-F247-4881-ACD4-665E3E9AF2DB}"/>
              </c:ext>
            </c:extLst>
          </c:dPt>
          <c:dPt>
            <c:idx val="33"/>
            <c:bubble3D val="0"/>
            <c:spPr>
              <a:noFill/>
            </c:spPr>
            <c:extLst>
              <c:ext xmlns:c16="http://schemas.microsoft.com/office/drawing/2014/chart" uri="{C3380CC4-5D6E-409C-BE32-E72D297353CC}">
                <c16:uniqueId val="{00000043-F247-4881-ACD4-665E3E9AF2DB}"/>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247-4881-ACD4-665E3E9AF2D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0718-486B-96F1-F2C4AB7846B5}"/>
              </c:ext>
            </c:extLst>
          </c:dPt>
          <c:dPt>
            <c:idx val="1"/>
            <c:bubble3D val="0"/>
            <c:spPr>
              <a:solidFill>
                <a:srgbClr val="054680"/>
              </a:solidFill>
              <a:ln>
                <a:noFill/>
              </a:ln>
            </c:spPr>
            <c:extLst>
              <c:ext xmlns:c16="http://schemas.microsoft.com/office/drawing/2014/chart" uri="{C3380CC4-5D6E-409C-BE32-E72D297353CC}">
                <c16:uniqueId val="{00000003-0718-486B-96F1-F2C4AB7846B5}"/>
              </c:ext>
            </c:extLst>
          </c:dPt>
          <c:dPt>
            <c:idx val="2"/>
            <c:bubble3D val="0"/>
            <c:spPr>
              <a:noFill/>
            </c:spPr>
            <c:extLst>
              <c:ext xmlns:c16="http://schemas.microsoft.com/office/drawing/2014/chart" uri="{C3380CC4-5D6E-409C-BE32-E72D297353CC}">
                <c16:uniqueId val="{00000005-0718-486B-96F1-F2C4AB7846B5}"/>
              </c:ext>
            </c:extLst>
          </c:dPt>
          <c:dPt>
            <c:idx val="3"/>
            <c:bubble3D val="0"/>
            <c:spPr>
              <a:solidFill>
                <a:srgbClr val="CBE4EB"/>
              </a:solidFill>
              <a:ln>
                <a:noFill/>
              </a:ln>
            </c:spPr>
            <c:extLst>
              <c:ext xmlns:c16="http://schemas.microsoft.com/office/drawing/2014/chart" uri="{C3380CC4-5D6E-409C-BE32-E72D297353CC}">
                <c16:uniqueId val="{00000007-0718-486B-96F1-F2C4AB7846B5}"/>
              </c:ext>
            </c:extLst>
          </c:dPt>
          <c:dPt>
            <c:idx val="4"/>
            <c:bubble3D val="0"/>
            <c:spPr>
              <a:solidFill>
                <a:srgbClr val="007AC5"/>
              </a:solidFill>
              <a:ln>
                <a:noFill/>
              </a:ln>
            </c:spPr>
            <c:extLst>
              <c:ext xmlns:c16="http://schemas.microsoft.com/office/drawing/2014/chart" uri="{C3380CC4-5D6E-409C-BE32-E72D297353CC}">
                <c16:uniqueId val="{00000009-0718-486B-96F1-F2C4AB7846B5}"/>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718-486B-96F1-F2C4AB7846B5}"/>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582-4559-AD67-FCDD4DD93665}"/>
              </c:ext>
            </c:extLst>
          </c:dPt>
          <c:dPt>
            <c:idx val="1"/>
            <c:bubble3D val="0"/>
            <c:spPr>
              <a:solidFill>
                <a:schemeClr val="tx1"/>
              </a:solidFill>
              <a:ln>
                <a:noFill/>
              </a:ln>
            </c:spPr>
            <c:extLst>
              <c:ext xmlns:c16="http://schemas.microsoft.com/office/drawing/2014/chart" uri="{C3380CC4-5D6E-409C-BE32-E72D297353CC}">
                <c16:uniqueId val="{00000003-A582-4559-AD67-FCDD4DD93665}"/>
              </c:ext>
            </c:extLst>
          </c:dPt>
          <c:dPt>
            <c:idx val="2"/>
            <c:bubble3D val="0"/>
            <c:spPr>
              <a:noFill/>
            </c:spPr>
            <c:extLst>
              <c:ext xmlns:c16="http://schemas.microsoft.com/office/drawing/2014/chart" uri="{C3380CC4-5D6E-409C-BE32-E72D297353CC}">
                <c16:uniqueId val="{00000005-A582-4559-AD67-FCDD4DD93665}"/>
              </c:ext>
            </c:extLst>
          </c:dPt>
          <c:dPt>
            <c:idx val="3"/>
            <c:bubble3D val="0"/>
            <c:spPr>
              <a:noFill/>
            </c:spPr>
            <c:extLst>
              <c:ext xmlns:c16="http://schemas.microsoft.com/office/drawing/2014/chart" uri="{C3380CC4-5D6E-409C-BE32-E72D297353CC}">
                <c16:uniqueId val="{00000007-A582-4559-AD67-FCDD4DD93665}"/>
              </c:ext>
            </c:extLst>
          </c:dPt>
          <c:dPt>
            <c:idx val="4"/>
            <c:bubble3D val="0"/>
            <c:spPr>
              <a:solidFill>
                <a:schemeClr val="tx1"/>
              </a:solidFill>
              <a:ln>
                <a:noFill/>
              </a:ln>
            </c:spPr>
            <c:extLst>
              <c:ext xmlns:c16="http://schemas.microsoft.com/office/drawing/2014/chart" uri="{C3380CC4-5D6E-409C-BE32-E72D297353CC}">
                <c16:uniqueId val="{00000009-A582-4559-AD67-FCDD4DD93665}"/>
              </c:ext>
            </c:extLst>
          </c:dPt>
          <c:dPt>
            <c:idx val="5"/>
            <c:bubble3D val="0"/>
            <c:spPr>
              <a:noFill/>
            </c:spPr>
            <c:extLst>
              <c:ext xmlns:c16="http://schemas.microsoft.com/office/drawing/2014/chart" uri="{C3380CC4-5D6E-409C-BE32-E72D297353CC}">
                <c16:uniqueId val="{0000000B-A582-4559-AD67-FCDD4DD93665}"/>
              </c:ext>
            </c:extLst>
          </c:dPt>
          <c:dPt>
            <c:idx val="6"/>
            <c:bubble3D val="0"/>
            <c:spPr>
              <a:noFill/>
            </c:spPr>
            <c:extLst>
              <c:ext xmlns:c16="http://schemas.microsoft.com/office/drawing/2014/chart" uri="{C3380CC4-5D6E-409C-BE32-E72D297353CC}">
                <c16:uniqueId val="{0000000D-A582-4559-AD67-FCDD4DD93665}"/>
              </c:ext>
            </c:extLst>
          </c:dPt>
          <c:dPt>
            <c:idx val="7"/>
            <c:bubble3D val="0"/>
            <c:spPr>
              <a:solidFill>
                <a:schemeClr val="tx1"/>
              </a:solidFill>
              <a:ln>
                <a:noFill/>
              </a:ln>
            </c:spPr>
            <c:extLst>
              <c:ext xmlns:c16="http://schemas.microsoft.com/office/drawing/2014/chart" uri="{C3380CC4-5D6E-409C-BE32-E72D297353CC}">
                <c16:uniqueId val="{0000000F-A582-4559-AD67-FCDD4DD93665}"/>
              </c:ext>
            </c:extLst>
          </c:dPt>
          <c:dPt>
            <c:idx val="8"/>
            <c:bubble3D val="0"/>
            <c:spPr>
              <a:noFill/>
            </c:spPr>
            <c:extLst>
              <c:ext xmlns:c16="http://schemas.microsoft.com/office/drawing/2014/chart" uri="{C3380CC4-5D6E-409C-BE32-E72D297353CC}">
                <c16:uniqueId val="{00000011-A582-4559-AD67-FCDD4DD93665}"/>
              </c:ext>
            </c:extLst>
          </c:dPt>
          <c:dPt>
            <c:idx val="9"/>
            <c:bubble3D val="0"/>
            <c:spPr>
              <a:noFill/>
            </c:spPr>
            <c:extLst>
              <c:ext xmlns:c16="http://schemas.microsoft.com/office/drawing/2014/chart" uri="{C3380CC4-5D6E-409C-BE32-E72D297353CC}">
                <c16:uniqueId val="{00000013-A582-4559-AD67-FCDD4DD93665}"/>
              </c:ext>
            </c:extLst>
          </c:dPt>
          <c:dPt>
            <c:idx val="10"/>
            <c:bubble3D val="0"/>
            <c:spPr>
              <a:solidFill>
                <a:schemeClr val="tx1"/>
              </a:solidFill>
            </c:spPr>
            <c:extLst>
              <c:ext xmlns:c16="http://schemas.microsoft.com/office/drawing/2014/chart" uri="{C3380CC4-5D6E-409C-BE32-E72D297353CC}">
                <c16:uniqueId val="{00000015-A582-4559-AD67-FCDD4DD93665}"/>
              </c:ext>
            </c:extLst>
          </c:dPt>
          <c:dPt>
            <c:idx val="11"/>
            <c:bubble3D val="0"/>
            <c:spPr>
              <a:noFill/>
            </c:spPr>
            <c:extLst>
              <c:ext xmlns:c16="http://schemas.microsoft.com/office/drawing/2014/chart" uri="{C3380CC4-5D6E-409C-BE32-E72D297353CC}">
                <c16:uniqueId val="{00000017-A582-4559-AD67-FCDD4DD93665}"/>
              </c:ext>
            </c:extLst>
          </c:dPt>
          <c:dPt>
            <c:idx val="12"/>
            <c:bubble3D val="0"/>
            <c:spPr>
              <a:noFill/>
            </c:spPr>
            <c:extLst>
              <c:ext xmlns:c16="http://schemas.microsoft.com/office/drawing/2014/chart" uri="{C3380CC4-5D6E-409C-BE32-E72D297353CC}">
                <c16:uniqueId val="{00000019-A582-4559-AD67-FCDD4DD93665}"/>
              </c:ext>
            </c:extLst>
          </c:dPt>
          <c:dPt>
            <c:idx val="13"/>
            <c:bubble3D val="0"/>
            <c:spPr>
              <a:solidFill>
                <a:schemeClr val="tx1"/>
              </a:solidFill>
            </c:spPr>
            <c:extLst>
              <c:ext xmlns:c16="http://schemas.microsoft.com/office/drawing/2014/chart" uri="{C3380CC4-5D6E-409C-BE32-E72D297353CC}">
                <c16:uniqueId val="{0000001B-A582-4559-AD67-FCDD4DD93665}"/>
              </c:ext>
            </c:extLst>
          </c:dPt>
          <c:dPt>
            <c:idx val="14"/>
            <c:bubble3D val="0"/>
            <c:spPr>
              <a:noFill/>
            </c:spPr>
            <c:extLst>
              <c:ext xmlns:c16="http://schemas.microsoft.com/office/drawing/2014/chart" uri="{C3380CC4-5D6E-409C-BE32-E72D297353CC}">
                <c16:uniqueId val="{0000001D-A582-4559-AD67-FCDD4DD93665}"/>
              </c:ext>
            </c:extLst>
          </c:dPt>
          <c:dPt>
            <c:idx val="15"/>
            <c:bubble3D val="0"/>
            <c:spPr>
              <a:noFill/>
            </c:spPr>
            <c:extLst>
              <c:ext xmlns:c16="http://schemas.microsoft.com/office/drawing/2014/chart" uri="{C3380CC4-5D6E-409C-BE32-E72D297353CC}">
                <c16:uniqueId val="{0000001F-A582-4559-AD67-FCDD4DD93665}"/>
              </c:ext>
            </c:extLst>
          </c:dPt>
          <c:dPt>
            <c:idx val="16"/>
            <c:bubble3D val="0"/>
            <c:spPr>
              <a:solidFill>
                <a:schemeClr val="tx1"/>
              </a:solidFill>
            </c:spPr>
            <c:extLst>
              <c:ext xmlns:c16="http://schemas.microsoft.com/office/drawing/2014/chart" uri="{C3380CC4-5D6E-409C-BE32-E72D297353CC}">
                <c16:uniqueId val="{00000021-A582-4559-AD67-FCDD4DD93665}"/>
              </c:ext>
            </c:extLst>
          </c:dPt>
          <c:dPt>
            <c:idx val="17"/>
            <c:bubble3D val="0"/>
            <c:spPr>
              <a:noFill/>
            </c:spPr>
            <c:extLst>
              <c:ext xmlns:c16="http://schemas.microsoft.com/office/drawing/2014/chart" uri="{C3380CC4-5D6E-409C-BE32-E72D297353CC}">
                <c16:uniqueId val="{00000023-A582-4559-AD67-FCDD4DD93665}"/>
              </c:ext>
            </c:extLst>
          </c:dPt>
          <c:dPt>
            <c:idx val="18"/>
            <c:bubble3D val="0"/>
            <c:spPr>
              <a:noFill/>
            </c:spPr>
            <c:extLst>
              <c:ext xmlns:c16="http://schemas.microsoft.com/office/drawing/2014/chart" uri="{C3380CC4-5D6E-409C-BE32-E72D297353CC}">
                <c16:uniqueId val="{00000025-A582-4559-AD67-FCDD4DD93665}"/>
              </c:ext>
            </c:extLst>
          </c:dPt>
          <c:dPt>
            <c:idx val="19"/>
            <c:bubble3D val="0"/>
            <c:spPr>
              <a:solidFill>
                <a:schemeClr val="tx1"/>
              </a:solidFill>
            </c:spPr>
            <c:extLst>
              <c:ext xmlns:c16="http://schemas.microsoft.com/office/drawing/2014/chart" uri="{C3380CC4-5D6E-409C-BE32-E72D297353CC}">
                <c16:uniqueId val="{00000027-A582-4559-AD67-FCDD4DD93665}"/>
              </c:ext>
            </c:extLst>
          </c:dPt>
          <c:dPt>
            <c:idx val="20"/>
            <c:bubble3D val="0"/>
            <c:spPr>
              <a:noFill/>
            </c:spPr>
            <c:extLst>
              <c:ext xmlns:c16="http://schemas.microsoft.com/office/drawing/2014/chart" uri="{C3380CC4-5D6E-409C-BE32-E72D297353CC}">
                <c16:uniqueId val="{00000029-A582-4559-AD67-FCDD4DD93665}"/>
              </c:ext>
            </c:extLst>
          </c:dPt>
          <c:dPt>
            <c:idx val="21"/>
            <c:bubble3D val="0"/>
            <c:spPr>
              <a:noFill/>
            </c:spPr>
            <c:extLst>
              <c:ext xmlns:c16="http://schemas.microsoft.com/office/drawing/2014/chart" uri="{C3380CC4-5D6E-409C-BE32-E72D297353CC}">
                <c16:uniqueId val="{0000002B-A582-4559-AD67-FCDD4DD93665}"/>
              </c:ext>
            </c:extLst>
          </c:dPt>
          <c:dPt>
            <c:idx val="22"/>
            <c:bubble3D val="0"/>
            <c:spPr>
              <a:solidFill>
                <a:schemeClr val="tx1"/>
              </a:solidFill>
            </c:spPr>
            <c:extLst>
              <c:ext xmlns:c16="http://schemas.microsoft.com/office/drawing/2014/chart" uri="{C3380CC4-5D6E-409C-BE32-E72D297353CC}">
                <c16:uniqueId val="{0000002D-A582-4559-AD67-FCDD4DD93665}"/>
              </c:ext>
            </c:extLst>
          </c:dPt>
          <c:dPt>
            <c:idx val="23"/>
            <c:bubble3D val="0"/>
            <c:spPr>
              <a:noFill/>
            </c:spPr>
            <c:extLst>
              <c:ext xmlns:c16="http://schemas.microsoft.com/office/drawing/2014/chart" uri="{C3380CC4-5D6E-409C-BE32-E72D297353CC}">
                <c16:uniqueId val="{0000002F-A582-4559-AD67-FCDD4DD93665}"/>
              </c:ext>
            </c:extLst>
          </c:dPt>
          <c:dPt>
            <c:idx val="24"/>
            <c:bubble3D val="0"/>
            <c:spPr>
              <a:noFill/>
            </c:spPr>
            <c:extLst>
              <c:ext xmlns:c16="http://schemas.microsoft.com/office/drawing/2014/chart" uri="{C3380CC4-5D6E-409C-BE32-E72D297353CC}">
                <c16:uniqueId val="{00000031-A582-4559-AD67-FCDD4DD93665}"/>
              </c:ext>
            </c:extLst>
          </c:dPt>
          <c:dPt>
            <c:idx val="25"/>
            <c:bubble3D val="0"/>
            <c:spPr>
              <a:solidFill>
                <a:schemeClr val="tx1"/>
              </a:solidFill>
            </c:spPr>
            <c:extLst>
              <c:ext xmlns:c16="http://schemas.microsoft.com/office/drawing/2014/chart" uri="{C3380CC4-5D6E-409C-BE32-E72D297353CC}">
                <c16:uniqueId val="{00000033-A582-4559-AD67-FCDD4DD93665}"/>
              </c:ext>
            </c:extLst>
          </c:dPt>
          <c:dPt>
            <c:idx val="26"/>
            <c:bubble3D val="0"/>
            <c:spPr>
              <a:noFill/>
            </c:spPr>
            <c:extLst>
              <c:ext xmlns:c16="http://schemas.microsoft.com/office/drawing/2014/chart" uri="{C3380CC4-5D6E-409C-BE32-E72D297353CC}">
                <c16:uniqueId val="{00000035-A582-4559-AD67-FCDD4DD93665}"/>
              </c:ext>
            </c:extLst>
          </c:dPt>
          <c:dPt>
            <c:idx val="27"/>
            <c:bubble3D val="0"/>
            <c:spPr>
              <a:noFill/>
            </c:spPr>
            <c:extLst>
              <c:ext xmlns:c16="http://schemas.microsoft.com/office/drawing/2014/chart" uri="{C3380CC4-5D6E-409C-BE32-E72D297353CC}">
                <c16:uniqueId val="{00000037-A582-4559-AD67-FCDD4DD93665}"/>
              </c:ext>
            </c:extLst>
          </c:dPt>
          <c:dPt>
            <c:idx val="28"/>
            <c:bubble3D val="0"/>
            <c:spPr>
              <a:solidFill>
                <a:schemeClr val="tx1"/>
              </a:solidFill>
            </c:spPr>
            <c:extLst>
              <c:ext xmlns:c16="http://schemas.microsoft.com/office/drawing/2014/chart" uri="{C3380CC4-5D6E-409C-BE32-E72D297353CC}">
                <c16:uniqueId val="{00000039-A582-4559-AD67-FCDD4DD93665}"/>
              </c:ext>
            </c:extLst>
          </c:dPt>
          <c:dPt>
            <c:idx val="29"/>
            <c:bubble3D val="0"/>
            <c:spPr>
              <a:noFill/>
            </c:spPr>
            <c:extLst>
              <c:ext xmlns:c16="http://schemas.microsoft.com/office/drawing/2014/chart" uri="{C3380CC4-5D6E-409C-BE32-E72D297353CC}">
                <c16:uniqueId val="{0000003B-A582-4559-AD67-FCDD4DD93665}"/>
              </c:ext>
            </c:extLst>
          </c:dPt>
          <c:dPt>
            <c:idx val="30"/>
            <c:bubble3D val="0"/>
            <c:spPr>
              <a:noFill/>
            </c:spPr>
            <c:extLst>
              <c:ext xmlns:c16="http://schemas.microsoft.com/office/drawing/2014/chart" uri="{C3380CC4-5D6E-409C-BE32-E72D297353CC}">
                <c16:uniqueId val="{0000003D-A582-4559-AD67-FCDD4DD93665}"/>
              </c:ext>
            </c:extLst>
          </c:dPt>
          <c:dPt>
            <c:idx val="31"/>
            <c:bubble3D val="0"/>
            <c:spPr>
              <a:solidFill>
                <a:schemeClr val="tx1"/>
              </a:solidFill>
            </c:spPr>
            <c:extLst>
              <c:ext xmlns:c16="http://schemas.microsoft.com/office/drawing/2014/chart" uri="{C3380CC4-5D6E-409C-BE32-E72D297353CC}">
                <c16:uniqueId val="{0000003F-A582-4559-AD67-FCDD4DD93665}"/>
              </c:ext>
            </c:extLst>
          </c:dPt>
          <c:dPt>
            <c:idx val="32"/>
            <c:bubble3D val="0"/>
            <c:spPr>
              <a:noFill/>
            </c:spPr>
            <c:extLst>
              <c:ext xmlns:c16="http://schemas.microsoft.com/office/drawing/2014/chart" uri="{C3380CC4-5D6E-409C-BE32-E72D297353CC}">
                <c16:uniqueId val="{00000041-A582-4559-AD67-FCDD4DD93665}"/>
              </c:ext>
            </c:extLst>
          </c:dPt>
          <c:dPt>
            <c:idx val="33"/>
            <c:bubble3D val="0"/>
            <c:spPr>
              <a:noFill/>
            </c:spPr>
            <c:extLst>
              <c:ext xmlns:c16="http://schemas.microsoft.com/office/drawing/2014/chart" uri="{C3380CC4-5D6E-409C-BE32-E72D297353CC}">
                <c16:uniqueId val="{00000043-A582-4559-AD67-FCDD4DD9366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582-4559-AD67-FCDD4DD9366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F5D3-4E04-9D85-313BCE543E10}"/>
              </c:ext>
            </c:extLst>
          </c:dPt>
          <c:dPt>
            <c:idx val="1"/>
            <c:bubble3D val="0"/>
            <c:spPr>
              <a:solidFill>
                <a:srgbClr val="054680"/>
              </a:solidFill>
              <a:ln>
                <a:noFill/>
              </a:ln>
            </c:spPr>
            <c:extLst>
              <c:ext xmlns:c16="http://schemas.microsoft.com/office/drawing/2014/chart" uri="{C3380CC4-5D6E-409C-BE32-E72D297353CC}">
                <c16:uniqueId val="{00000003-F5D3-4E04-9D85-313BCE543E10}"/>
              </c:ext>
            </c:extLst>
          </c:dPt>
          <c:dPt>
            <c:idx val="2"/>
            <c:bubble3D val="0"/>
            <c:spPr>
              <a:noFill/>
            </c:spPr>
            <c:extLst>
              <c:ext xmlns:c16="http://schemas.microsoft.com/office/drawing/2014/chart" uri="{C3380CC4-5D6E-409C-BE32-E72D297353CC}">
                <c16:uniqueId val="{00000005-F5D3-4E04-9D85-313BCE543E10}"/>
              </c:ext>
            </c:extLst>
          </c:dPt>
          <c:dPt>
            <c:idx val="3"/>
            <c:bubble3D val="0"/>
            <c:spPr>
              <a:solidFill>
                <a:srgbClr val="CBE4EB"/>
              </a:solidFill>
              <a:ln>
                <a:noFill/>
              </a:ln>
            </c:spPr>
            <c:extLst>
              <c:ext xmlns:c16="http://schemas.microsoft.com/office/drawing/2014/chart" uri="{C3380CC4-5D6E-409C-BE32-E72D297353CC}">
                <c16:uniqueId val="{00000007-F5D3-4E04-9D85-313BCE543E10}"/>
              </c:ext>
            </c:extLst>
          </c:dPt>
          <c:dPt>
            <c:idx val="4"/>
            <c:bubble3D val="0"/>
            <c:spPr>
              <a:solidFill>
                <a:srgbClr val="007AC5"/>
              </a:solidFill>
              <a:ln>
                <a:noFill/>
              </a:ln>
            </c:spPr>
            <c:extLst>
              <c:ext xmlns:c16="http://schemas.microsoft.com/office/drawing/2014/chart" uri="{C3380CC4-5D6E-409C-BE32-E72D297353CC}">
                <c16:uniqueId val="{00000009-F5D3-4E04-9D85-313BCE543E1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F5D3-4E04-9D85-313BCE543E1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3860-45DC-801D-8994633DC511}"/>
              </c:ext>
            </c:extLst>
          </c:dPt>
          <c:dPt>
            <c:idx val="1"/>
            <c:bubble3D val="0"/>
            <c:spPr>
              <a:solidFill>
                <a:schemeClr val="tx1"/>
              </a:solidFill>
              <a:ln>
                <a:noFill/>
              </a:ln>
            </c:spPr>
            <c:extLst>
              <c:ext xmlns:c16="http://schemas.microsoft.com/office/drawing/2014/chart" uri="{C3380CC4-5D6E-409C-BE32-E72D297353CC}">
                <c16:uniqueId val="{00000003-3860-45DC-801D-8994633DC511}"/>
              </c:ext>
            </c:extLst>
          </c:dPt>
          <c:dPt>
            <c:idx val="2"/>
            <c:bubble3D val="0"/>
            <c:spPr>
              <a:noFill/>
            </c:spPr>
            <c:extLst>
              <c:ext xmlns:c16="http://schemas.microsoft.com/office/drawing/2014/chart" uri="{C3380CC4-5D6E-409C-BE32-E72D297353CC}">
                <c16:uniqueId val="{00000005-3860-45DC-801D-8994633DC511}"/>
              </c:ext>
            </c:extLst>
          </c:dPt>
          <c:dPt>
            <c:idx val="3"/>
            <c:bubble3D val="0"/>
            <c:spPr>
              <a:noFill/>
            </c:spPr>
            <c:extLst>
              <c:ext xmlns:c16="http://schemas.microsoft.com/office/drawing/2014/chart" uri="{C3380CC4-5D6E-409C-BE32-E72D297353CC}">
                <c16:uniqueId val="{00000007-3860-45DC-801D-8994633DC511}"/>
              </c:ext>
            </c:extLst>
          </c:dPt>
          <c:dPt>
            <c:idx val="4"/>
            <c:bubble3D val="0"/>
            <c:spPr>
              <a:solidFill>
                <a:schemeClr val="tx1"/>
              </a:solidFill>
              <a:ln>
                <a:noFill/>
              </a:ln>
            </c:spPr>
            <c:extLst>
              <c:ext xmlns:c16="http://schemas.microsoft.com/office/drawing/2014/chart" uri="{C3380CC4-5D6E-409C-BE32-E72D297353CC}">
                <c16:uniqueId val="{00000009-3860-45DC-801D-8994633DC511}"/>
              </c:ext>
            </c:extLst>
          </c:dPt>
          <c:dPt>
            <c:idx val="5"/>
            <c:bubble3D val="0"/>
            <c:spPr>
              <a:noFill/>
            </c:spPr>
            <c:extLst>
              <c:ext xmlns:c16="http://schemas.microsoft.com/office/drawing/2014/chart" uri="{C3380CC4-5D6E-409C-BE32-E72D297353CC}">
                <c16:uniqueId val="{0000000B-3860-45DC-801D-8994633DC511}"/>
              </c:ext>
            </c:extLst>
          </c:dPt>
          <c:dPt>
            <c:idx val="6"/>
            <c:bubble3D val="0"/>
            <c:spPr>
              <a:noFill/>
            </c:spPr>
            <c:extLst>
              <c:ext xmlns:c16="http://schemas.microsoft.com/office/drawing/2014/chart" uri="{C3380CC4-5D6E-409C-BE32-E72D297353CC}">
                <c16:uniqueId val="{0000000D-3860-45DC-801D-8994633DC511}"/>
              </c:ext>
            </c:extLst>
          </c:dPt>
          <c:dPt>
            <c:idx val="7"/>
            <c:bubble3D val="0"/>
            <c:spPr>
              <a:solidFill>
                <a:schemeClr val="tx1"/>
              </a:solidFill>
              <a:ln>
                <a:noFill/>
              </a:ln>
            </c:spPr>
            <c:extLst>
              <c:ext xmlns:c16="http://schemas.microsoft.com/office/drawing/2014/chart" uri="{C3380CC4-5D6E-409C-BE32-E72D297353CC}">
                <c16:uniqueId val="{0000000F-3860-45DC-801D-8994633DC511}"/>
              </c:ext>
            </c:extLst>
          </c:dPt>
          <c:dPt>
            <c:idx val="8"/>
            <c:bubble3D val="0"/>
            <c:spPr>
              <a:noFill/>
            </c:spPr>
            <c:extLst>
              <c:ext xmlns:c16="http://schemas.microsoft.com/office/drawing/2014/chart" uri="{C3380CC4-5D6E-409C-BE32-E72D297353CC}">
                <c16:uniqueId val="{00000011-3860-45DC-801D-8994633DC511}"/>
              </c:ext>
            </c:extLst>
          </c:dPt>
          <c:dPt>
            <c:idx val="9"/>
            <c:bubble3D val="0"/>
            <c:spPr>
              <a:noFill/>
            </c:spPr>
            <c:extLst>
              <c:ext xmlns:c16="http://schemas.microsoft.com/office/drawing/2014/chart" uri="{C3380CC4-5D6E-409C-BE32-E72D297353CC}">
                <c16:uniqueId val="{00000013-3860-45DC-801D-8994633DC511}"/>
              </c:ext>
            </c:extLst>
          </c:dPt>
          <c:dPt>
            <c:idx val="10"/>
            <c:bubble3D val="0"/>
            <c:spPr>
              <a:solidFill>
                <a:schemeClr val="tx1"/>
              </a:solidFill>
            </c:spPr>
            <c:extLst>
              <c:ext xmlns:c16="http://schemas.microsoft.com/office/drawing/2014/chart" uri="{C3380CC4-5D6E-409C-BE32-E72D297353CC}">
                <c16:uniqueId val="{00000015-3860-45DC-801D-8994633DC511}"/>
              </c:ext>
            </c:extLst>
          </c:dPt>
          <c:dPt>
            <c:idx val="11"/>
            <c:bubble3D val="0"/>
            <c:spPr>
              <a:noFill/>
            </c:spPr>
            <c:extLst>
              <c:ext xmlns:c16="http://schemas.microsoft.com/office/drawing/2014/chart" uri="{C3380CC4-5D6E-409C-BE32-E72D297353CC}">
                <c16:uniqueId val="{00000017-3860-45DC-801D-8994633DC511}"/>
              </c:ext>
            </c:extLst>
          </c:dPt>
          <c:dPt>
            <c:idx val="12"/>
            <c:bubble3D val="0"/>
            <c:spPr>
              <a:noFill/>
            </c:spPr>
            <c:extLst>
              <c:ext xmlns:c16="http://schemas.microsoft.com/office/drawing/2014/chart" uri="{C3380CC4-5D6E-409C-BE32-E72D297353CC}">
                <c16:uniqueId val="{00000019-3860-45DC-801D-8994633DC511}"/>
              </c:ext>
            </c:extLst>
          </c:dPt>
          <c:dPt>
            <c:idx val="13"/>
            <c:bubble3D val="0"/>
            <c:spPr>
              <a:solidFill>
                <a:schemeClr val="tx1"/>
              </a:solidFill>
            </c:spPr>
            <c:extLst>
              <c:ext xmlns:c16="http://schemas.microsoft.com/office/drawing/2014/chart" uri="{C3380CC4-5D6E-409C-BE32-E72D297353CC}">
                <c16:uniqueId val="{0000001B-3860-45DC-801D-8994633DC511}"/>
              </c:ext>
            </c:extLst>
          </c:dPt>
          <c:dPt>
            <c:idx val="14"/>
            <c:bubble3D val="0"/>
            <c:spPr>
              <a:noFill/>
            </c:spPr>
            <c:extLst>
              <c:ext xmlns:c16="http://schemas.microsoft.com/office/drawing/2014/chart" uri="{C3380CC4-5D6E-409C-BE32-E72D297353CC}">
                <c16:uniqueId val="{0000001D-3860-45DC-801D-8994633DC511}"/>
              </c:ext>
            </c:extLst>
          </c:dPt>
          <c:dPt>
            <c:idx val="15"/>
            <c:bubble3D val="0"/>
            <c:spPr>
              <a:noFill/>
            </c:spPr>
            <c:extLst>
              <c:ext xmlns:c16="http://schemas.microsoft.com/office/drawing/2014/chart" uri="{C3380CC4-5D6E-409C-BE32-E72D297353CC}">
                <c16:uniqueId val="{0000001F-3860-45DC-801D-8994633DC511}"/>
              </c:ext>
            </c:extLst>
          </c:dPt>
          <c:dPt>
            <c:idx val="16"/>
            <c:bubble3D val="0"/>
            <c:spPr>
              <a:solidFill>
                <a:schemeClr val="tx1"/>
              </a:solidFill>
            </c:spPr>
            <c:extLst>
              <c:ext xmlns:c16="http://schemas.microsoft.com/office/drawing/2014/chart" uri="{C3380CC4-5D6E-409C-BE32-E72D297353CC}">
                <c16:uniqueId val="{00000021-3860-45DC-801D-8994633DC511}"/>
              </c:ext>
            </c:extLst>
          </c:dPt>
          <c:dPt>
            <c:idx val="17"/>
            <c:bubble3D val="0"/>
            <c:spPr>
              <a:noFill/>
            </c:spPr>
            <c:extLst>
              <c:ext xmlns:c16="http://schemas.microsoft.com/office/drawing/2014/chart" uri="{C3380CC4-5D6E-409C-BE32-E72D297353CC}">
                <c16:uniqueId val="{00000023-3860-45DC-801D-8994633DC511}"/>
              </c:ext>
            </c:extLst>
          </c:dPt>
          <c:dPt>
            <c:idx val="18"/>
            <c:bubble3D val="0"/>
            <c:spPr>
              <a:noFill/>
            </c:spPr>
            <c:extLst>
              <c:ext xmlns:c16="http://schemas.microsoft.com/office/drawing/2014/chart" uri="{C3380CC4-5D6E-409C-BE32-E72D297353CC}">
                <c16:uniqueId val="{00000025-3860-45DC-801D-8994633DC511}"/>
              </c:ext>
            </c:extLst>
          </c:dPt>
          <c:dPt>
            <c:idx val="19"/>
            <c:bubble3D val="0"/>
            <c:spPr>
              <a:solidFill>
                <a:schemeClr val="tx1"/>
              </a:solidFill>
            </c:spPr>
            <c:extLst>
              <c:ext xmlns:c16="http://schemas.microsoft.com/office/drawing/2014/chart" uri="{C3380CC4-5D6E-409C-BE32-E72D297353CC}">
                <c16:uniqueId val="{00000027-3860-45DC-801D-8994633DC511}"/>
              </c:ext>
            </c:extLst>
          </c:dPt>
          <c:dPt>
            <c:idx val="20"/>
            <c:bubble3D val="0"/>
            <c:spPr>
              <a:noFill/>
            </c:spPr>
            <c:extLst>
              <c:ext xmlns:c16="http://schemas.microsoft.com/office/drawing/2014/chart" uri="{C3380CC4-5D6E-409C-BE32-E72D297353CC}">
                <c16:uniqueId val="{00000029-3860-45DC-801D-8994633DC511}"/>
              </c:ext>
            </c:extLst>
          </c:dPt>
          <c:dPt>
            <c:idx val="21"/>
            <c:bubble3D val="0"/>
            <c:spPr>
              <a:noFill/>
            </c:spPr>
            <c:extLst>
              <c:ext xmlns:c16="http://schemas.microsoft.com/office/drawing/2014/chart" uri="{C3380CC4-5D6E-409C-BE32-E72D297353CC}">
                <c16:uniqueId val="{0000002B-3860-45DC-801D-8994633DC511}"/>
              </c:ext>
            </c:extLst>
          </c:dPt>
          <c:dPt>
            <c:idx val="22"/>
            <c:bubble3D val="0"/>
            <c:spPr>
              <a:solidFill>
                <a:schemeClr val="tx1"/>
              </a:solidFill>
            </c:spPr>
            <c:extLst>
              <c:ext xmlns:c16="http://schemas.microsoft.com/office/drawing/2014/chart" uri="{C3380CC4-5D6E-409C-BE32-E72D297353CC}">
                <c16:uniqueId val="{0000002D-3860-45DC-801D-8994633DC511}"/>
              </c:ext>
            </c:extLst>
          </c:dPt>
          <c:dPt>
            <c:idx val="23"/>
            <c:bubble3D val="0"/>
            <c:spPr>
              <a:noFill/>
            </c:spPr>
            <c:extLst>
              <c:ext xmlns:c16="http://schemas.microsoft.com/office/drawing/2014/chart" uri="{C3380CC4-5D6E-409C-BE32-E72D297353CC}">
                <c16:uniqueId val="{0000002F-3860-45DC-801D-8994633DC511}"/>
              </c:ext>
            </c:extLst>
          </c:dPt>
          <c:dPt>
            <c:idx val="24"/>
            <c:bubble3D val="0"/>
            <c:spPr>
              <a:noFill/>
            </c:spPr>
            <c:extLst>
              <c:ext xmlns:c16="http://schemas.microsoft.com/office/drawing/2014/chart" uri="{C3380CC4-5D6E-409C-BE32-E72D297353CC}">
                <c16:uniqueId val="{00000031-3860-45DC-801D-8994633DC511}"/>
              </c:ext>
            </c:extLst>
          </c:dPt>
          <c:dPt>
            <c:idx val="25"/>
            <c:bubble3D val="0"/>
            <c:spPr>
              <a:solidFill>
                <a:schemeClr val="tx1"/>
              </a:solidFill>
            </c:spPr>
            <c:extLst>
              <c:ext xmlns:c16="http://schemas.microsoft.com/office/drawing/2014/chart" uri="{C3380CC4-5D6E-409C-BE32-E72D297353CC}">
                <c16:uniqueId val="{00000033-3860-45DC-801D-8994633DC511}"/>
              </c:ext>
            </c:extLst>
          </c:dPt>
          <c:dPt>
            <c:idx val="26"/>
            <c:bubble3D val="0"/>
            <c:spPr>
              <a:noFill/>
            </c:spPr>
            <c:extLst>
              <c:ext xmlns:c16="http://schemas.microsoft.com/office/drawing/2014/chart" uri="{C3380CC4-5D6E-409C-BE32-E72D297353CC}">
                <c16:uniqueId val="{00000035-3860-45DC-801D-8994633DC511}"/>
              </c:ext>
            </c:extLst>
          </c:dPt>
          <c:dPt>
            <c:idx val="27"/>
            <c:bubble3D val="0"/>
            <c:spPr>
              <a:noFill/>
            </c:spPr>
            <c:extLst>
              <c:ext xmlns:c16="http://schemas.microsoft.com/office/drawing/2014/chart" uri="{C3380CC4-5D6E-409C-BE32-E72D297353CC}">
                <c16:uniqueId val="{00000037-3860-45DC-801D-8994633DC511}"/>
              </c:ext>
            </c:extLst>
          </c:dPt>
          <c:dPt>
            <c:idx val="28"/>
            <c:bubble3D val="0"/>
            <c:spPr>
              <a:solidFill>
                <a:schemeClr val="tx1"/>
              </a:solidFill>
            </c:spPr>
            <c:extLst>
              <c:ext xmlns:c16="http://schemas.microsoft.com/office/drawing/2014/chart" uri="{C3380CC4-5D6E-409C-BE32-E72D297353CC}">
                <c16:uniqueId val="{00000039-3860-45DC-801D-8994633DC511}"/>
              </c:ext>
            </c:extLst>
          </c:dPt>
          <c:dPt>
            <c:idx val="29"/>
            <c:bubble3D val="0"/>
            <c:spPr>
              <a:noFill/>
            </c:spPr>
            <c:extLst>
              <c:ext xmlns:c16="http://schemas.microsoft.com/office/drawing/2014/chart" uri="{C3380CC4-5D6E-409C-BE32-E72D297353CC}">
                <c16:uniqueId val="{0000003B-3860-45DC-801D-8994633DC511}"/>
              </c:ext>
            </c:extLst>
          </c:dPt>
          <c:dPt>
            <c:idx val="30"/>
            <c:bubble3D val="0"/>
            <c:spPr>
              <a:noFill/>
            </c:spPr>
            <c:extLst>
              <c:ext xmlns:c16="http://schemas.microsoft.com/office/drawing/2014/chart" uri="{C3380CC4-5D6E-409C-BE32-E72D297353CC}">
                <c16:uniqueId val="{0000003D-3860-45DC-801D-8994633DC511}"/>
              </c:ext>
            </c:extLst>
          </c:dPt>
          <c:dPt>
            <c:idx val="31"/>
            <c:bubble3D val="0"/>
            <c:spPr>
              <a:solidFill>
                <a:schemeClr val="tx1"/>
              </a:solidFill>
            </c:spPr>
            <c:extLst>
              <c:ext xmlns:c16="http://schemas.microsoft.com/office/drawing/2014/chart" uri="{C3380CC4-5D6E-409C-BE32-E72D297353CC}">
                <c16:uniqueId val="{0000003F-3860-45DC-801D-8994633DC511}"/>
              </c:ext>
            </c:extLst>
          </c:dPt>
          <c:dPt>
            <c:idx val="32"/>
            <c:bubble3D val="0"/>
            <c:spPr>
              <a:noFill/>
            </c:spPr>
            <c:extLst>
              <c:ext xmlns:c16="http://schemas.microsoft.com/office/drawing/2014/chart" uri="{C3380CC4-5D6E-409C-BE32-E72D297353CC}">
                <c16:uniqueId val="{00000041-3860-45DC-801D-8994633DC511}"/>
              </c:ext>
            </c:extLst>
          </c:dPt>
          <c:dPt>
            <c:idx val="33"/>
            <c:bubble3D val="0"/>
            <c:spPr>
              <a:noFill/>
            </c:spPr>
            <c:extLst>
              <c:ext xmlns:c16="http://schemas.microsoft.com/office/drawing/2014/chart" uri="{C3380CC4-5D6E-409C-BE32-E72D297353CC}">
                <c16:uniqueId val="{00000043-3860-45DC-801D-8994633DC511}"/>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3860-45DC-801D-8994633DC51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000C-48E1-BDB7-8069C53E41B7}"/>
              </c:ext>
            </c:extLst>
          </c:dPt>
          <c:dPt>
            <c:idx val="1"/>
            <c:bubble3D val="0"/>
            <c:spPr>
              <a:solidFill>
                <a:schemeClr val="accent3">
                  <a:lumMod val="50000"/>
                </a:schemeClr>
              </a:solidFill>
              <a:ln>
                <a:noFill/>
              </a:ln>
            </c:spPr>
            <c:extLst>
              <c:ext xmlns:c16="http://schemas.microsoft.com/office/drawing/2014/chart" uri="{C3380CC4-5D6E-409C-BE32-E72D297353CC}">
                <c16:uniqueId val="{00000003-000C-48E1-BDB7-8069C53E41B7}"/>
              </c:ext>
            </c:extLst>
          </c:dPt>
          <c:dPt>
            <c:idx val="2"/>
            <c:bubble3D val="0"/>
            <c:spPr>
              <a:noFill/>
            </c:spPr>
            <c:extLst>
              <c:ext xmlns:c16="http://schemas.microsoft.com/office/drawing/2014/chart" uri="{C3380CC4-5D6E-409C-BE32-E72D297353CC}">
                <c16:uniqueId val="{00000005-000C-48E1-BDB7-8069C53E41B7}"/>
              </c:ext>
            </c:extLst>
          </c:dPt>
          <c:dPt>
            <c:idx val="3"/>
            <c:bubble3D val="0"/>
            <c:spPr>
              <a:solidFill>
                <a:srgbClr val="CBE4EB"/>
              </a:solidFill>
              <a:ln>
                <a:noFill/>
              </a:ln>
            </c:spPr>
            <c:extLst>
              <c:ext xmlns:c16="http://schemas.microsoft.com/office/drawing/2014/chart" uri="{C3380CC4-5D6E-409C-BE32-E72D297353CC}">
                <c16:uniqueId val="{00000007-000C-48E1-BDB7-8069C53E41B7}"/>
              </c:ext>
            </c:extLst>
          </c:dPt>
          <c:dPt>
            <c:idx val="4"/>
            <c:bubble3D val="0"/>
            <c:spPr>
              <a:solidFill>
                <a:schemeClr val="accent3"/>
              </a:solidFill>
              <a:ln>
                <a:noFill/>
              </a:ln>
            </c:spPr>
            <c:extLst>
              <c:ext xmlns:c16="http://schemas.microsoft.com/office/drawing/2014/chart" uri="{C3380CC4-5D6E-409C-BE32-E72D297353CC}">
                <c16:uniqueId val="{00000009-000C-48E1-BDB7-8069C53E41B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00C-48E1-BDB7-8069C53E41B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44A-4B25-89C7-2B851717F215}"/>
              </c:ext>
            </c:extLst>
          </c:dPt>
          <c:dPt>
            <c:idx val="1"/>
            <c:bubble3D val="0"/>
            <c:spPr>
              <a:solidFill>
                <a:schemeClr val="tx1"/>
              </a:solidFill>
              <a:ln>
                <a:noFill/>
              </a:ln>
            </c:spPr>
            <c:extLst>
              <c:ext xmlns:c16="http://schemas.microsoft.com/office/drawing/2014/chart" uri="{C3380CC4-5D6E-409C-BE32-E72D297353CC}">
                <c16:uniqueId val="{00000003-C44A-4B25-89C7-2B851717F215}"/>
              </c:ext>
            </c:extLst>
          </c:dPt>
          <c:dPt>
            <c:idx val="2"/>
            <c:bubble3D val="0"/>
            <c:spPr>
              <a:noFill/>
            </c:spPr>
            <c:extLst>
              <c:ext xmlns:c16="http://schemas.microsoft.com/office/drawing/2014/chart" uri="{C3380CC4-5D6E-409C-BE32-E72D297353CC}">
                <c16:uniqueId val="{00000005-C44A-4B25-89C7-2B851717F215}"/>
              </c:ext>
            </c:extLst>
          </c:dPt>
          <c:dPt>
            <c:idx val="3"/>
            <c:bubble3D val="0"/>
            <c:spPr>
              <a:noFill/>
            </c:spPr>
            <c:extLst>
              <c:ext xmlns:c16="http://schemas.microsoft.com/office/drawing/2014/chart" uri="{C3380CC4-5D6E-409C-BE32-E72D297353CC}">
                <c16:uniqueId val="{00000007-C44A-4B25-89C7-2B851717F215}"/>
              </c:ext>
            </c:extLst>
          </c:dPt>
          <c:dPt>
            <c:idx val="4"/>
            <c:bubble3D val="0"/>
            <c:spPr>
              <a:solidFill>
                <a:schemeClr val="tx1"/>
              </a:solidFill>
              <a:ln>
                <a:noFill/>
              </a:ln>
            </c:spPr>
            <c:extLst>
              <c:ext xmlns:c16="http://schemas.microsoft.com/office/drawing/2014/chart" uri="{C3380CC4-5D6E-409C-BE32-E72D297353CC}">
                <c16:uniqueId val="{00000009-C44A-4B25-89C7-2B851717F215}"/>
              </c:ext>
            </c:extLst>
          </c:dPt>
          <c:dPt>
            <c:idx val="5"/>
            <c:bubble3D val="0"/>
            <c:spPr>
              <a:noFill/>
            </c:spPr>
            <c:extLst>
              <c:ext xmlns:c16="http://schemas.microsoft.com/office/drawing/2014/chart" uri="{C3380CC4-5D6E-409C-BE32-E72D297353CC}">
                <c16:uniqueId val="{0000000B-C44A-4B25-89C7-2B851717F215}"/>
              </c:ext>
            </c:extLst>
          </c:dPt>
          <c:dPt>
            <c:idx val="6"/>
            <c:bubble3D val="0"/>
            <c:spPr>
              <a:noFill/>
            </c:spPr>
            <c:extLst>
              <c:ext xmlns:c16="http://schemas.microsoft.com/office/drawing/2014/chart" uri="{C3380CC4-5D6E-409C-BE32-E72D297353CC}">
                <c16:uniqueId val="{0000000D-C44A-4B25-89C7-2B851717F215}"/>
              </c:ext>
            </c:extLst>
          </c:dPt>
          <c:dPt>
            <c:idx val="7"/>
            <c:bubble3D val="0"/>
            <c:spPr>
              <a:solidFill>
                <a:schemeClr val="tx1"/>
              </a:solidFill>
              <a:ln>
                <a:noFill/>
              </a:ln>
            </c:spPr>
            <c:extLst>
              <c:ext xmlns:c16="http://schemas.microsoft.com/office/drawing/2014/chart" uri="{C3380CC4-5D6E-409C-BE32-E72D297353CC}">
                <c16:uniqueId val="{0000000F-C44A-4B25-89C7-2B851717F215}"/>
              </c:ext>
            </c:extLst>
          </c:dPt>
          <c:dPt>
            <c:idx val="8"/>
            <c:bubble3D val="0"/>
            <c:spPr>
              <a:noFill/>
            </c:spPr>
            <c:extLst>
              <c:ext xmlns:c16="http://schemas.microsoft.com/office/drawing/2014/chart" uri="{C3380CC4-5D6E-409C-BE32-E72D297353CC}">
                <c16:uniqueId val="{00000011-C44A-4B25-89C7-2B851717F215}"/>
              </c:ext>
            </c:extLst>
          </c:dPt>
          <c:dPt>
            <c:idx val="9"/>
            <c:bubble3D val="0"/>
            <c:spPr>
              <a:noFill/>
            </c:spPr>
            <c:extLst>
              <c:ext xmlns:c16="http://schemas.microsoft.com/office/drawing/2014/chart" uri="{C3380CC4-5D6E-409C-BE32-E72D297353CC}">
                <c16:uniqueId val="{00000013-C44A-4B25-89C7-2B851717F215}"/>
              </c:ext>
            </c:extLst>
          </c:dPt>
          <c:dPt>
            <c:idx val="10"/>
            <c:bubble3D val="0"/>
            <c:spPr>
              <a:solidFill>
                <a:schemeClr val="tx1"/>
              </a:solidFill>
            </c:spPr>
            <c:extLst>
              <c:ext xmlns:c16="http://schemas.microsoft.com/office/drawing/2014/chart" uri="{C3380CC4-5D6E-409C-BE32-E72D297353CC}">
                <c16:uniqueId val="{00000015-C44A-4B25-89C7-2B851717F215}"/>
              </c:ext>
            </c:extLst>
          </c:dPt>
          <c:dPt>
            <c:idx val="11"/>
            <c:bubble3D val="0"/>
            <c:spPr>
              <a:noFill/>
            </c:spPr>
            <c:extLst>
              <c:ext xmlns:c16="http://schemas.microsoft.com/office/drawing/2014/chart" uri="{C3380CC4-5D6E-409C-BE32-E72D297353CC}">
                <c16:uniqueId val="{00000017-C44A-4B25-89C7-2B851717F215}"/>
              </c:ext>
            </c:extLst>
          </c:dPt>
          <c:dPt>
            <c:idx val="12"/>
            <c:bubble3D val="0"/>
            <c:spPr>
              <a:noFill/>
            </c:spPr>
            <c:extLst>
              <c:ext xmlns:c16="http://schemas.microsoft.com/office/drawing/2014/chart" uri="{C3380CC4-5D6E-409C-BE32-E72D297353CC}">
                <c16:uniqueId val="{00000019-C44A-4B25-89C7-2B851717F215}"/>
              </c:ext>
            </c:extLst>
          </c:dPt>
          <c:dPt>
            <c:idx val="13"/>
            <c:bubble3D val="0"/>
            <c:spPr>
              <a:solidFill>
                <a:schemeClr val="tx1"/>
              </a:solidFill>
            </c:spPr>
            <c:extLst>
              <c:ext xmlns:c16="http://schemas.microsoft.com/office/drawing/2014/chart" uri="{C3380CC4-5D6E-409C-BE32-E72D297353CC}">
                <c16:uniqueId val="{0000001B-C44A-4B25-89C7-2B851717F215}"/>
              </c:ext>
            </c:extLst>
          </c:dPt>
          <c:dPt>
            <c:idx val="14"/>
            <c:bubble3D val="0"/>
            <c:spPr>
              <a:noFill/>
            </c:spPr>
            <c:extLst>
              <c:ext xmlns:c16="http://schemas.microsoft.com/office/drawing/2014/chart" uri="{C3380CC4-5D6E-409C-BE32-E72D297353CC}">
                <c16:uniqueId val="{0000001D-C44A-4B25-89C7-2B851717F215}"/>
              </c:ext>
            </c:extLst>
          </c:dPt>
          <c:dPt>
            <c:idx val="15"/>
            <c:bubble3D val="0"/>
            <c:spPr>
              <a:noFill/>
            </c:spPr>
            <c:extLst>
              <c:ext xmlns:c16="http://schemas.microsoft.com/office/drawing/2014/chart" uri="{C3380CC4-5D6E-409C-BE32-E72D297353CC}">
                <c16:uniqueId val="{0000001F-C44A-4B25-89C7-2B851717F215}"/>
              </c:ext>
            </c:extLst>
          </c:dPt>
          <c:dPt>
            <c:idx val="16"/>
            <c:bubble3D val="0"/>
            <c:spPr>
              <a:solidFill>
                <a:schemeClr val="tx1"/>
              </a:solidFill>
            </c:spPr>
            <c:extLst>
              <c:ext xmlns:c16="http://schemas.microsoft.com/office/drawing/2014/chart" uri="{C3380CC4-5D6E-409C-BE32-E72D297353CC}">
                <c16:uniqueId val="{00000021-C44A-4B25-89C7-2B851717F215}"/>
              </c:ext>
            </c:extLst>
          </c:dPt>
          <c:dPt>
            <c:idx val="17"/>
            <c:bubble3D val="0"/>
            <c:spPr>
              <a:noFill/>
            </c:spPr>
            <c:extLst>
              <c:ext xmlns:c16="http://schemas.microsoft.com/office/drawing/2014/chart" uri="{C3380CC4-5D6E-409C-BE32-E72D297353CC}">
                <c16:uniqueId val="{00000023-C44A-4B25-89C7-2B851717F215}"/>
              </c:ext>
            </c:extLst>
          </c:dPt>
          <c:dPt>
            <c:idx val="18"/>
            <c:bubble3D val="0"/>
            <c:spPr>
              <a:noFill/>
            </c:spPr>
            <c:extLst>
              <c:ext xmlns:c16="http://schemas.microsoft.com/office/drawing/2014/chart" uri="{C3380CC4-5D6E-409C-BE32-E72D297353CC}">
                <c16:uniqueId val="{00000025-C44A-4B25-89C7-2B851717F215}"/>
              </c:ext>
            </c:extLst>
          </c:dPt>
          <c:dPt>
            <c:idx val="19"/>
            <c:bubble3D val="0"/>
            <c:spPr>
              <a:solidFill>
                <a:schemeClr val="tx1"/>
              </a:solidFill>
            </c:spPr>
            <c:extLst>
              <c:ext xmlns:c16="http://schemas.microsoft.com/office/drawing/2014/chart" uri="{C3380CC4-5D6E-409C-BE32-E72D297353CC}">
                <c16:uniqueId val="{00000027-C44A-4B25-89C7-2B851717F215}"/>
              </c:ext>
            </c:extLst>
          </c:dPt>
          <c:dPt>
            <c:idx val="20"/>
            <c:bubble3D val="0"/>
            <c:spPr>
              <a:noFill/>
            </c:spPr>
            <c:extLst>
              <c:ext xmlns:c16="http://schemas.microsoft.com/office/drawing/2014/chart" uri="{C3380CC4-5D6E-409C-BE32-E72D297353CC}">
                <c16:uniqueId val="{00000029-C44A-4B25-89C7-2B851717F215}"/>
              </c:ext>
            </c:extLst>
          </c:dPt>
          <c:dPt>
            <c:idx val="21"/>
            <c:bubble3D val="0"/>
            <c:spPr>
              <a:noFill/>
            </c:spPr>
            <c:extLst>
              <c:ext xmlns:c16="http://schemas.microsoft.com/office/drawing/2014/chart" uri="{C3380CC4-5D6E-409C-BE32-E72D297353CC}">
                <c16:uniqueId val="{0000002B-C44A-4B25-89C7-2B851717F215}"/>
              </c:ext>
            </c:extLst>
          </c:dPt>
          <c:dPt>
            <c:idx val="22"/>
            <c:bubble3D val="0"/>
            <c:spPr>
              <a:solidFill>
                <a:schemeClr val="tx1"/>
              </a:solidFill>
            </c:spPr>
            <c:extLst>
              <c:ext xmlns:c16="http://schemas.microsoft.com/office/drawing/2014/chart" uri="{C3380CC4-5D6E-409C-BE32-E72D297353CC}">
                <c16:uniqueId val="{0000002D-C44A-4B25-89C7-2B851717F215}"/>
              </c:ext>
            </c:extLst>
          </c:dPt>
          <c:dPt>
            <c:idx val="23"/>
            <c:bubble3D val="0"/>
            <c:spPr>
              <a:noFill/>
            </c:spPr>
            <c:extLst>
              <c:ext xmlns:c16="http://schemas.microsoft.com/office/drawing/2014/chart" uri="{C3380CC4-5D6E-409C-BE32-E72D297353CC}">
                <c16:uniqueId val="{0000002F-C44A-4B25-89C7-2B851717F215}"/>
              </c:ext>
            </c:extLst>
          </c:dPt>
          <c:dPt>
            <c:idx val="24"/>
            <c:bubble3D val="0"/>
            <c:spPr>
              <a:noFill/>
            </c:spPr>
            <c:extLst>
              <c:ext xmlns:c16="http://schemas.microsoft.com/office/drawing/2014/chart" uri="{C3380CC4-5D6E-409C-BE32-E72D297353CC}">
                <c16:uniqueId val="{00000031-C44A-4B25-89C7-2B851717F215}"/>
              </c:ext>
            </c:extLst>
          </c:dPt>
          <c:dPt>
            <c:idx val="25"/>
            <c:bubble3D val="0"/>
            <c:spPr>
              <a:solidFill>
                <a:schemeClr val="tx1"/>
              </a:solidFill>
            </c:spPr>
            <c:extLst>
              <c:ext xmlns:c16="http://schemas.microsoft.com/office/drawing/2014/chart" uri="{C3380CC4-5D6E-409C-BE32-E72D297353CC}">
                <c16:uniqueId val="{00000033-C44A-4B25-89C7-2B851717F215}"/>
              </c:ext>
            </c:extLst>
          </c:dPt>
          <c:dPt>
            <c:idx val="26"/>
            <c:bubble3D val="0"/>
            <c:spPr>
              <a:noFill/>
            </c:spPr>
            <c:extLst>
              <c:ext xmlns:c16="http://schemas.microsoft.com/office/drawing/2014/chart" uri="{C3380CC4-5D6E-409C-BE32-E72D297353CC}">
                <c16:uniqueId val="{00000035-C44A-4B25-89C7-2B851717F215}"/>
              </c:ext>
            </c:extLst>
          </c:dPt>
          <c:dPt>
            <c:idx val="27"/>
            <c:bubble3D val="0"/>
            <c:spPr>
              <a:noFill/>
            </c:spPr>
            <c:extLst>
              <c:ext xmlns:c16="http://schemas.microsoft.com/office/drawing/2014/chart" uri="{C3380CC4-5D6E-409C-BE32-E72D297353CC}">
                <c16:uniqueId val="{00000037-C44A-4B25-89C7-2B851717F215}"/>
              </c:ext>
            </c:extLst>
          </c:dPt>
          <c:dPt>
            <c:idx val="28"/>
            <c:bubble3D val="0"/>
            <c:spPr>
              <a:solidFill>
                <a:schemeClr val="tx1"/>
              </a:solidFill>
            </c:spPr>
            <c:extLst>
              <c:ext xmlns:c16="http://schemas.microsoft.com/office/drawing/2014/chart" uri="{C3380CC4-5D6E-409C-BE32-E72D297353CC}">
                <c16:uniqueId val="{00000039-C44A-4B25-89C7-2B851717F215}"/>
              </c:ext>
            </c:extLst>
          </c:dPt>
          <c:dPt>
            <c:idx val="29"/>
            <c:bubble3D val="0"/>
            <c:spPr>
              <a:noFill/>
            </c:spPr>
            <c:extLst>
              <c:ext xmlns:c16="http://schemas.microsoft.com/office/drawing/2014/chart" uri="{C3380CC4-5D6E-409C-BE32-E72D297353CC}">
                <c16:uniqueId val="{0000003B-C44A-4B25-89C7-2B851717F215}"/>
              </c:ext>
            </c:extLst>
          </c:dPt>
          <c:dPt>
            <c:idx val="30"/>
            <c:bubble3D val="0"/>
            <c:spPr>
              <a:noFill/>
            </c:spPr>
            <c:extLst>
              <c:ext xmlns:c16="http://schemas.microsoft.com/office/drawing/2014/chart" uri="{C3380CC4-5D6E-409C-BE32-E72D297353CC}">
                <c16:uniqueId val="{0000003D-C44A-4B25-89C7-2B851717F215}"/>
              </c:ext>
            </c:extLst>
          </c:dPt>
          <c:dPt>
            <c:idx val="31"/>
            <c:bubble3D val="0"/>
            <c:spPr>
              <a:solidFill>
                <a:schemeClr val="tx1"/>
              </a:solidFill>
            </c:spPr>
            <c:extLst>
              <c:ext xmlns:c16="http://schemas.microsoft.com/office/drawing/2014/chart" uri="{C3380CC4-5D6E-409C-BE32-E72D297353CC}">
                <c16:uniqueId val="{0000003F-C44A-4B25-89C7-2B851717F215}"/>
              </c:ext>
            </c:extLst>
          </c:dPt>
          <c:dPt>
            <c:idx val="32"/>
            <c:bubble3D val="0"/>
            <c:spPr>
              <a:noFill/>
            </c:spPr>
            <c:extLst>
              <c:ext xmlns:c16="http://schemas.microsoft.com/office/drawing/2014/chart" uri="{C3380CC4-5D6E-409C-BE32-E72D297353CC}">
                <c16:uniqueId val="{00000041-C44A-4B25-89C7-2B851717F215}"/>
              </c:ext>
            </c:extLst>
          </c:dPt>
          <c:dPt>
            <c:idx val="33"/>
            <c:bubble3D val="0"/>
            <c:spPr>
              <a:noFill/>
            </c:spPr>
            <c:extLst>
              <c:ext xmlns:c16="http://schemas.microsoft.com/office/drawing/2014/chart" uri="{C3380CC4-5D6E-409C-BE32-E72D297353CC}">
                <c16:uniqueId val="{00000043-C44A-4B25-89C7-2B851717F215}"/>
              </c:ext>
            </c:extLst>
          </c:dPt>
          <c:cat>
            <c:strRef>
              <c:f>tlGraphs!$E$64:$E$97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tlGraphs!$F$64:$F$97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2.5000000000000001E-2</c:v>
                </c:pt>
                <c:pt idx="22">
                  <c:v>5.0000000000000001E-3</c:v>
                </c:pt>
                <c:pt idx="23">
                  <c:v>2.5000000000000001E-2</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44A-4B25-89C7-2B851717F21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ED7C-4604-9ACC-4DE1877C7FA7}"/>
              </c:ext>
            </c:extLst>
          </c:dPt>
          <c:dPt>
            <c:idx val="1"/>
            <c:bubble3D val="0"/>
            <c:spPr>
              <a:solidFill>
                <a:schemeClr val="accent3">
                  <a:lumMod val="50000"/>
                </a:schemeClr>
              </a:solidFill>
              <a:ln>
                <a:noFill/>
              </a:ln>
            </c:spPr>
            <c:extLst>
              <c:ext xmlns:c16="http://schemas.microsoft.com/office/drawing/2014/chart" uri="{C3380CC4-5D6E-409C-BE32-E72D297353CC}">
                <c16:uniqueId val="{00000003-ED7C-4604-9ACC-4DE1877C7FA7}"/>
              </c:ext>
            </c:extLst>
          </c:dPt>
          <c:dPt>
            <c:idx val="2"/>
            <c:bubble3D val="0"/>
            <c:spPr>
              <a:noFill/>
            </c:spPr>
            <c:extLst>
              <c:ext xmlns:c16="http://schemas.microsoft.com/office/drawing/2014/chart" uri="{C3380CC4-5D6E-409C-BE32-E72D297353CC}">
                <c16:uniqueId val="{00000005-ED7C-4604-9ACC-4DE1877C7FA7}"/>
              </c:ext>
            </c:extLst>
          </c:dPt>
          <c:dPt>
            <c:idx val="3"/>
            <c:bubble3D val="0"/>
            <c:spPr>
              <a:solidFill>
                <a:srgbClr val="CBE4EB"/>
              </a:solidFill>
              <a:ln>
                <a:noFill/>
              </a:ln>
            </c:spPr>
            <c:extLst>
              <c:ext xmlns:c16="http://schemas.microsoft.com/office/drawing/2014/chart" uri="{C3380CC4-5D6E-409C-BE32-E72D297353CC}">
                <c16:uniqueId val="{00000007-ED7C-4604-9ACC-4DE1877C7FA7}"/>
              </c:ext>
            </c:extLst>
          </c:dPt>
          <c:dPt>
            <c:idx val="4"/>
            <c:bubble3D val="0"/>
            <c:spPr>
              <a:solidFill>
                <a:schemeClr val="accent3"/>
              </a:solidFill>
              <a:ln>
                <a:noFill/>
              </a:ln>
            </c:spPr>
            <c:extLst>
              <c:ext xmlns:c16="http://schemas.microsoft.com/office/drawing/2014/chart" uri="{C3380CC4-5D6E-409C-BE32-E72D297353CC}">
                <c16:uniqueId val="{00000009-ED7C-4604-9ACC-4DE1877C7FA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D7C-4604-9ACC-4DE1877C7FA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150-434E-9E83-3B075A2F5FE1}"/>
              </c:ext>
            </c:extLst>
          </c:dPt>
          <c:dPt>
            <c:idx val="1"/>
            <c:bubble3D val="0"/>
            <c:spPr>
              <a:solidFill>
                <a:schemeClr val="tx1"/>
              </a:solidFill>
              <a:ln>
                <a:noFill/>
              </a:ln>
            </c:spPr>
            <c:extLst>
              <c:ext xmlns:c16="http://schemas.microsoft.com/office/drawing/2014/chart" uri="{C3380CC4-5D6E-409C-BE32-E72D297353CC}">
                <c16:uniqueId val="{00000003-A150-434E-9E83-3B075A2F5FE1}"/>
              </c:ext>
            </c:extLst>
          </c:dPt>
          <c:dPt>
            <c:idx val="2"/>
            <c:bubble3D val="0"/>
            <c:spPr>
              <a:noFill/>
            </c:spPr>
            <c:extLst>
              <c:ext xmlns:c16="http://schemas.microsoft.com/office/drawing/2014/chart" uri="{C3380CC4-5D6E-409C-BE32-E72D297353CC}">
                <c16:uniqueId val="{00000005-A150-434E-9E83-3B075A2F5FE1}"/>
              </c:ext>
            </c:extLst>
          </c:dPt>
          <c:dPt>
            <c:idx val="3"/>
            <c:bubble3D val="0"/>
            <c:spPr>
              <a:noFill/>
            </c:spPr>
            <c:extLst>
              <c:ext xmlns:c16="http://schemas.microsoft.com/office/drawing/2014/chart" uri="{C3380CC4-5D6E-409C-BE32-E72D297353CC}">
                <c16:uniqueId val="{00000007-A150-434E-9E83-3B075A2F5FE1}"/>
              </c:ext>
            </c:extLst>
          </c:dPt>
          <c:dPt>
            <c:idx val="4"/>
            <c:bubble3D val="0"/>
            <c:spPr>
              <a:solidFill>
                <a:schemeClr val="tx1"/>
              </a:solidFill>
              <a:ln>
                <a:noFill/>
              </a:ln>
            </c:spPr>
            <c:extLst>
              <c:ext xmlns:c16="http://schemas.microsoft.com/office/drawing/2014/chart" uri="{C3380CC4-5D6E-409C-BE32-E72D297353CC}">
                <c16:uniqueId val="{00000009-A150-434E-9E83-3B075A2F5FE1}"/>
              </c:ext>
            </c:extLst>
          </c:dPt>
          <c:dPt>
            <c:idx val="5"/>
            <c:bubble3D val="0"/>
            <c:spPr>
              <a:noFill/>
            </c:spPr>
            <c:extLst>
              <c:ext xmlns:c16="http://schemas.microsoft.com/office/drawing/2014/chart" uri="{C3380CC4-5D6E-409C-BE32-E72D297353CC}">
                <c16:uniqueId val="{0000000B-A150-434E-9E83-3B075A2F5FE1}"/>
              </c:ext>
            </c:extLst>
          </c:dPt>
          <c:dPt>
            <c:idx val="6"/>
            <c:bubble3D val="0"/>
            <c:spPr>
              <a:noFill/>
            </c:spPr>
            <c:extLst>
              <c:ext xmlns:c16="http://schemas.microsoft.com/office/drawing/2014/chart" uri="{C3380CC4-5D6E-409C-BE32-E72D297353CC}">
                <c16:uniqueId val="{0000000D-A150-434E-9E83-3B075A2F5FE1}"/>
              </c:ext>
            </c:extLst>
          </c:dPt>
          <c:dPt>
            <c:idx val="7"/>
            <c:bubble3D val="0"/>
            <c:spPr>
              <a:solidFill>
                <a:schemeClr val="tx1"/>
              </a:solidFill>
              <a:ln>
                <a:noFill/>
              </a:ln>
            </c:spPr>
            <c:extLst>
              <c:ext xmlns:c16="http://schemas.microsoft.com/office/drawing/2014/chart" uri="{C3380CC4-5D6E-409C-BE32-E72D297353CC}">
                <c16:uniqueId val="{0000000F-A150-434E-9E83-3B075A2F5FE1}"/>
              </c:ext>
            </c:extLst>
          </c:dPt>
          <c:dPt>
            <c:idx val="8"/>
            <c:bubble3D val="0"/>
            <c:spPr>
              <a:noFill/>
            </c:spPr>
            <c:extLst>
              <c:ext xmlns:c16="http://schemas.microsoft.com/office/drawing/2014/chart" uri="{C3380CC4-5D6E-409C-BE32-E72D297353CC}">
                <c16:uniqueId val="{00000011-A150-434E-9E83-3B075A2F5FE1}"/>
              </c:ext>
            </c:extLst>
          </c:dPt>
          <c:dPt>
            <c:idx val="9"/>
            <c:bubble3D val="0"/>
            <c:spPr>
              <a:noFill/>
            </c:spPr>
            <c:extLst>
              <c:ext xmlns:c16="http://schemas.microsoft.com/office/drawing/2014/chart" uri="{C3380CC4-5D6E-409C-BE32-E72D297353CC}">
                <c16:uniqueId val="{00000013-A150-434E-9E83-3B075A2F5FE1}"/>
              </c:ext>
            </c:extLst>
          </c:dPt>
          <c:dPt>
            <c:idx val="10"/>
            <c:bubble3D val="0"/>
            <c:spPr>
              <a:solidFill>
                <a:schemeClr val="tx1"/>
              </a:solidFill>
            </c:spPr>
            <c:extLst>
              <c:ext xmlns:c16="http://schemas.microsoft.com/office/drawing/2014/chart" uri="{C3380CC4-5D6E-409C-BE32-E72D297353CC}">
                <c16:uniqueId val="{00000015-A150-434E-9E83-3B075A2F5FE1}"/>
              </c:ext>
            </c:extLst>
          </c:dPt>
          <c:dPt>
            <c:idx val="11"/>
            <c:bubble3D val="0"/>
            <c:spPr>
              <a:noFill/>
            </c:spPr>
            <c:extLst>
              <c:ext xmlns:c16="http://schemas.microsoft.com/office/drawing/2014/chart" uri="{C3380CC4-5D6E-409C-BE32-E72D297353CC}">
                <c16:uniqueId val="{00000017-A150-434E-9E83-3B075A2F5FE1}"/>
              </c:ext>
            </c:extLst>
          </c:dPt>
          <c:dPt>
            <c:idx val="12"/>
            <c:bubble3D val="0"/>
            <c:spPr>
              <a:noFill/>
            </c:spPr>
            <c:extLst>
              <c:ext xmlns:c16="http://schemas.microsoft.com/office/drawing/2014/chart" uri="{C3380CC4-5D6E-409C-BE32-E72D297353CC}">
                <c16:uniqueId val="{00000019-A150-434E-9E83-3B075A2F5FE1}"/>
              </c:ext>
            </c:extLst>
          </c:dPt>
          <c:dPt>
            <c:idx val="13"/>
            <c:bubble3D val="0"/>
            <c:spPr>
              <a:solidFill>
                <a:schemeClr val="tx1"/>
              </a:solidFill>
            </c:spPr>
            <c:extLst>
              <c:ext xmlns:c16="http://schemas.microsoft.com/office/drawing/2014/chart" uri="{C3380CC4-5D6E-409C-BE32-E72D297353CC}">
                <c16:uniqueId val="{0000001B-A150-434E-9E83-3B075A2F5FE1}"/>
              </c:ext>
            </c:extLst>
          </c:dPt>
          <c:dPt>
            <c:idx val="14"/>
            <c:bubble3D val="0"/>
            <c:spPr>
              <a:noFill/>
            </c:spPr>
            <c:extLst>
              <c:ext xmlns:c16="http://schemas.microsoft.com/office/drawing/2014/chart" uri="{C3380CC4-5D6E-409C-BE32-E72D297353CC}">
                <c16:uniqueId val="{0000001D-A150-434E-9E83-3B075A2F5FE1}"/>
              </c:ext>
            </c:extLst>
          </c:dPt>
          <c:dPt>
            <c:idx val="15"/>
            <c:bubble3D val="0"/>
            <c:spPr>
              <a:noFill/>
            </c:spPr>
            <c:extLst>
              <c:ext xmlns:c16="http://schemas.microsoft.com/office/drawing/2014/chart" uri="{C3380CC4-5D6E-409C-BE32-E72D297353CC}">
                <c16:uniqueId val="{0000001F-A150-434E-9E83-3B075A2F5FE1}"/>
              </c:ext>
            </c:extLst>
          </c:dPt>
          <c:dPt>
            <c:idx val="16"/>
            <c:bubble3D val="0"/>
            <c:spPr>
              <a:solidFill>
                <a:schemeClr val="tx1"/>
              </a:solidFill>
            </c:spPr>
            <c:extLst>
              <c:ext xmlns:c16="http://schemas.microsoft.com/office/drawing/2014/chart" uri="{C3380CC4-5D6E-409C-BE32-E72D297353CC}">
                <c16:uniqueId val="{00000021-A150-434E-9E83-3B075A2F5FE1}"/>
              </c:ext>
            </c:extLst>
          </c:dPt>
          <c:dPt>
            <c:idx val="17"/>
            <c:bubble3D val="0"/>
            <c:spPr>
              <a:noFill/>
            </c:spPr>
            <c:extLst>
              <c:ext xmlns:c16="http://schemas.microsoft.com/office/drawing/2014/chart" uri="{C3380CC4-5D6E-409C-BE32-E72D297353CC}">
                <c16:uniqueId val="{00000023-A150-434E-9E83-3B075A2F5FE1}"/>
              </c:ext>
            </c:extLst>
          </c:dPt>
          <c:dPt>
            <c:idx val="18"/>
            <c:bubble3D val="0"/>
            <c:spPr>
              <a:noFill/>
            </c:spPr>
            <c:extLst>
              <c:ext xmlns:c16="http://schemas.microsoft.com/office/drawing/2014/chart" uri="{C3380CC4-5D6E-409C-BE32-E72D297353CC}">
                <c16:uniqueId val="{00000025-A150-434E-9E83-3B075A2F5FE1}"/>
              </c:ext>
            </c:extLst>
          </c:dPt>
          <c:dPt>
            <c:idx val="19"/>
            <c:bubble3D val="0"/>
            <c:spPr>
              <a:solidFill>
                <a:schemeClr val="tx1"/>
              </a:solidFill>
            </c:spPr>
            <c:extLst>
              <c:ext xmlns:c16="http://schemas.microsoft.com/office/drawing/2014/chart" uri="{C3380CC4-5D6E-409C-BE32-E72D297353CC}">
                <c16:uniqueId val="{00000027-A150-434E-9E83-3B075A2F5FE1}"/>
              </c:ext>
            </c:extLst>
          </c:dPt>
          <c:dPt>
            <c:idx val="20"/>
            <c:bubble3D val="0"/>
            <c:spPr>
              <a:noFill/>
            </c:spPr>
            <c:extLst>
              <c:ext xmlns:c16="http://schemas.microsoft.com/office/drawing/2014/chart" uri="{C3380CC4-5D6E-409C-BE32-E72D297353CC}">
                <c16:uniqueId val="{00000029-A150-434E-9E83-3B075A2F5FE1}"/>
              </c:ext>
            </c:extLst>
          </c:dPt>
          <c:dPt>
            <c:idx val="21"/>
            <c:bubble3D val="0"/>
            <c:spPr>
              <a:noFill/>
            </c:spPr>
            <c:extLst>
              <c:ext xmlns:c16="http://schemas.microsoft.com/office/drawing/2014/chart" uri="{C3380CC4-5D6E-409C-BE32-E72D297353CC}">
                <c16:uniqueId val="{0000002B-A150-434E-9E83-3B075A2F5FE1}"/>
              </c:ext>
            </c:extLst>
          </c:dPt>
          <c:dPt>
            <c:idx val="22"/>
            <c:bubble3D val="0"/>
            <c:spPr>
              <a:solidFill>
                <a:schemeClr val="tx1"/>
              </a:solidFill>
            </c:spPr>
            <c:extLst>
              <c:ext xmlns:c16="http://schemas.microsoft.com/office/drawing/2014/chart" uri="{C3380CC4-5D6E-409C-BE32-E72D297353CC}">
                <c16:uniqueId val="{0000002D-A150-434E-9E83-3B075A2F5FE1}"/>
              </c:ext>
            </c:extLst>
          </c:dPt>
          <c:dPt>
            <c:idx val="23"/>
            <c:bubble3D val="0"/>
            <c:spPr>
              <a:noFill/>
            </c:spPr>
            <c:extLst>
              <c:ext xmlns:c16="http://schemas.microsoft.com/office/drawing/2014/chart" uri="{C3380CC4-5D6E-409C-BE32-E72D297353CC}">
                <c16:uniqueId val="{0000002F-A150-434E-9E83-3B075A2F5FE1}"/>
              </c:ext>
            </c:extLst>
          </c:dPt>
          <c:dPt>
            <c:idx val="24"/>
            <c:bubble3D val="0"/>
            <c:spPr>
              <a:noFill/>
            </c:spPr>
            <c:extLst>
              <c:ext xmlns:c16="http://schemas.microsoft.com/office/drawing/2014/chart" uri="{C3380CC4-5D6E-409C-BE32-E72D297353CC}">
                <c16:uniqueId val="{00000031-A150-434E-9E83-3B075A2F5FE1}"/>
              </c:ext>
            </c:extLst>
          </c:dPt>
          <c:dPt>
            <c:idx val="25"/>
            <c:bubble3D val="0"/>
            <c:spPr>
              <a:solidFill>
                <a:schemeClr val="tx1"/>
              </a:solidFill>
            </c:spPr>
            <c:extLst>
              <c:ext xmlns:c16="http://schemas.microsoft.com/office/drawing/2014/chart" uri="{C3380CC4-5D6E-409C-BE32-E72D297353CC}">
                <c16:uniqueId val="{00000033-A150-434E-9E83-3B075A2F5FE1}"/>
              </c:ext>
            </c:extLst>
          </c:dPt>
          <c:dPt>
            <c:idx val="26"/>
            <c:bubble3D val="0"/>
            <c:spPr>
              <a:noFill/>
            </c:spPr>
            <c:extLst>
              <c:ext xmlns:c16="http://schemas.microsoft.com/office/drawing/2014/chart" uri="{C3380CC4-5D6E-409C-BE32-E72D297353CC}">
                <c16:uniqueId val="{00000035-A150-434E-9E83-3B075A2F5FE1}"/>
              </c:ext>
            </c:extLst>
          </c:dPt>
          <c:dPt>
            <c:idx val="27"/>
            <c:bubble3D val="0"/>
            <c:spPr>
              <a:noFill/>
            </c:spPr>
            <c:extLst>
              <c:ext xmlns:c16="http://schemas.microsoft.com/office/drawing/2014/chart" uri="{C3380CC4-5D6E-409C-BE32-E72D297353CC}">
                <c16:uniqueId val="{00000037-A150-434E-9E83-3B075A2F5FE1}"/>
              </c:ext>
            </c:extLst>
          </c:dPt>
          <c:dPt>
            <c:idx val="28"/>
            <c:bubble3D val="0"/>
            <c:spPr>
              <a:solidFill>
                <a:schemeClr val="tx1"/>
              </a:solidFill>
            </c:spPr>
            <c:extLst>
              <c:ext xmlns:c16="http://schemas.microsoft.com/office/drawing/2014/chart" uri="{C3380CC4-5D6E-409C-BE32-E72D297353CC}">
                <c16:uniqueId val="{00000039-A150-434E-9E83-3B075A2F5FE1}"/>
              </c:ext>
            </c:extLst>
          </c:dPt>
          <c:dPt>
            <c:idx val="29"/>
            <c:bubble3D val="0"/>
            <c:spPr>
              <a:noFill/>
            </c:spPr>
            <c:extLst>
              <c:ext xmlns:c16="http://schemas.microsoft.com/office/drawing/2014/chart" uri="{C3380CC4-5D6E-409C-BE32-E72D297353CC}">
                <c16:uniqueId val="{0000003B-A150-434E-9E83-3B075A2F5FE1}"/>
              </c:ext>
            </c:extLst>
          </c:dPt>
          <c:dPt>
            <c:idx val="30"/>
            <c:bubble3D val="0"/>
            <c:spPr>
              <a:noFill/>
            </c:spPr>
            <c:extLst>
              <c:ext xmlns:c16="http://schemas.microsoft.com/office/drawing/2014/chart" uri="{C3380CC4-5D6E-409C-BE32-E72D297353CC}">
                <c16:uniqueId val="{0000003D-A150-434E-9E83-3B075A2F5FE1}"/>
              </c:ext>
            </c:extLst>
          </c:dPt>
          <c:dPt>
            <c:idx val="31"/>
            <c:bubble3D val="0"/>
            <c:spPr>
              <a:solidFill>
                <a:schemeClr val="tx1"/>
              </a:solidFill>
            </c:spPr>
            <c:extLst>
              <c:ext xmlns:c16="http://schemas.microsoft.com/office/drawing/2014/chart" uri="{C3380CC4-5D6E-409C-BE32-E72D297353CC}">
                <c16:uniqueId val="{0000003F-A150-434E-9E83-3B075A2F5FE1}"/>
              </c:ext>
            </c:extLst>
          </c:dPt>
          <c:dPt>
            <c:idx val="32"/>
            <c:bubble3D val="0"/>
            <c:spPr>
              <a:noFill/>
            </c:spPr>
            <c:extLst>
              <c:ext xmlns:c16="http://schemas.microsoft.com/office/drawing/2014/chart" uri="{C3380CC4-5D6E-409C-BE32-E72D297353CC}">
                <c16:uniqueId val="{00000041-A150-434E-9E83-3B075A2F5FE1}"/>
              </c:ext>
            </c:extLst>
          </c:dPt>
          <c:dPt>
            <c:idx val="33"/>
            <c:bubble3D val="0"/>
            <c:spPr>
              <a:noFill/>
            </c:spPr>
            <c:extLst>
              <c:ext xmlns:c16="http://schemas.microsoft.com/office/drawing/2014/chart" uri="{C3380CC4-5D6E-409C-BE32-E72D297353CC}">
                <c16:uniqueId val="{00000043-A150-434E-9E83-3B075A2F5FE1}"/>
              </c:ext>
            </c:extLst>
          </c:dPt>
          <c:cat>
            <c:strRef>
              <c:f>tlGraphs!$I$64:$I$97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tlGraphs!$J$64:$J$97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2.5000000000000001E-2</c:v>
                </c:pt>
                <c:pt idx="25">
                  <c:v>5.0000000000000001E-3</c:v>
                </c:pt>
                <c:pt idx="26">
                  <c:v>2.5000000000000001E-2</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150-434E-9E83-3B075A2F5FE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E32E-419E-8123-80809754AED7}"/>
              </c:ext>
            </c:extLst>
          </c:dPt>
          <c:dPt>
            <c:idx val="1"/>
            <c:bubble3D val="0"/>
            <c:spPr>
              <a:solidFill>
                <a:schemeClr val="accent3">
                  <a:lumMod val="50000"/>
                </a:schemeClr>
              </a:solidFill>
              <a:ln>
                <a:noFill/>
              </a:ln>
            </c:spPr>
            <c:extLst>
              <c:ext xmlns:c16="http://schemas.microsoft.com/office/drawing/2014/chart" uri="{C3380CC4-5D6E-409C-BE32-E72D297353CC}">
                <c16:uniqueId val="{00000003-E32E-419E-8123-80809754AED7}"/>
              </c:ext>
            </c:extLst>
          </c:dPt>
          <c:dPt>
            <c:idx val="2"/>
            <c:bubble3D val="0"/>
            <c:spPr>
              <a:noFill/>
            </c:spPr>
            <c:extLst>
              <c:ext xmlns:c16="http://schemas.microsoft.com/office/drawing/2014/chart" uri="{C3380CC4-5D6E-409C-BE32-E72D297353CC}">
                <c16:uniqueId val="{00000005-E32E-419E-8123-80809754AED7}"/>
              </c:ext>
            </c:extLst>
          </c:dPt>
          <c:dPt>
            <c:idx val="3"/>
            <c:bubble3D val="0"/>
            <c:spPr>
              <a:solidFill>
                <a:srgbClr val="CBE4EB"/>
              </a:solidFill>
              <a:ln>
                <a:noFill/>
              </a:ln>
            </c:spPr>
            <c:extLst>
              <c:ext xmlns:c16="http://schemas.microsoft.com/office/drawing/2014/chart" uri="{C3380CC4-5D6E-409C-BE32-E72D297353CC}">
                <c16:uniqueId val="{00000007-E32E-419E-8123-80809754AED7}"/>
              </c:ext>
            </c:extLst>
          </c:dPt>
          <c:dPt>
            <c:idx val="4"/>
            <c:bubble3D val="0"/>
            <c:spPr>
              <a:solidFill>
                <a:schemeClr val="accent3"/>
              </a:solidFill>
              <a:ln>
                <a:noFill/>
              </a:ln>
            </c:spPr>
            <c:extLst>
              <c:ext xmlns:c16="http://schemas.microsoft.com/office/drawing/2014/chart" uri="{C3380CC4-5D6E-409C-BE32-E72D297353CC}">
                <c16:uniqueId val="{00000009-E32E-419E-8123-80809754AED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32E-419E-8123-80809754AED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FF3-4ADF-9A85-20CD8FEE9CA6}"/>
              </c:ext>
            </c:extLst>
          </c:dPt>
          <c:dPt>
            <c:idx val="1"/>
            <c:bubble3D val="0"/>
            <c:spPr>
              <a:solidFill>
                <a:schemeClr val="tx1"/>
              </a:solidFill>
              <a:ln>
                <a:noFill/>
              </a:ln>
            </c:spPr>
            <c:extLst>
              <c:ext xmlns:c16="http://schemas.microsoft.com/office/drawing/2014/chart" uri="{C3380CC4-5D6E-409C-BE32-E72D297353CC}">
                <c16:uniqueId val="{00000003-0FF3-4ADF-9A85-20CD8FEE9CA6}"/>
              </c:ext>
            </c:extLst>
          </c:dPt>
          <c:dPt>
            <c:idx val="2"/>
            <c:bubble3D val="0"/>
            <c:spPr>
              <a:noFill/>
            </c:spPr>
            <c:extLst>
              <c:ext xmlns:c16="http://schemas.microsoft.com/office/drawing/2014/chart" uri="{C3380CC4-5D6E-409C-BE32-E72D297353CC}">
                <c16:uniqueId val="{00000005-0FF3-4ADF-9A85-20CD8FEE9CA6}"/>
              </c:ext>
            </c:extLst>
          </c:dPt>
          <c:dPt>
            <c:idx val="3"/>
            <c:bubble3D val="0"/>
            <c:spPr>
              <a:noFill/>
            </c:spPr>
            <c:extLst>
              <c:ext xmlns:c16="http://schemas.microsoft.com/office/drawing/2014/chart" uri="{C3380CC4-5D6E-409C-BE32-E72D297353CC}">
                <c16:uniqueId val="{00000007-0FF3-4ADF-9A85-20CD8FEE9CA6}"/>
              </c:ext>
            </c:extLst>
          </c:dPt>
          <c:dPt>
            <c:idx val="4"/>
            <c:bubble3D val="0"/>
            <c:spPr>
              <a:solidFill>
                <a:schemeClr val="tx1"/>
              </a:solidFill>
              <a:ln>
                <a:noFill/>
              </a:ln>
            </c:spPr>
            <c:extLst>
              <c:ext xmlns:c16="http://schemas.microsoft.com/office/drawing/2014/chart" uri="{C3380CC4-5D6E-409C-BE32-E72D297353CC}">
                <c16:uniqueId val="{00000009-0FF3-4ADF-9A85-20CD8FEE9CA6}"/>
              </c:ext>
            </c:extLst>
          </c:dPt>
          <c:dPt>
            <c:idx val="5"/>
            <c:bubble3D val="0"/>
            <c:spPr>
              <a:noFill/>
            </c:spPr>
            <c:extLst>
              <c:ext xmlns:c16="http://schemas.microsoft.com/office/drawing/2014/chart" uri="{C3380CC4-5D6E-409C-BE32-E72D297353CC}">
                <c16:uniqueId val="{0000000B-0FF3-4ADF-9A85-20CD8FEE9CA6}"/>
              </c:ext>
            </c:extLst>
          </c:dPt>
          <c:dPt>
            <c:idx val="6"/>
            <c:bubble3D val="0"/>
            <c:spPr>
              <a:noFill/>
            </c:spPr>
            <c:extLst>
              <c:ext xmlns:c16="http://schemas.microsoft.com/office/drawing/2014/chart" uri="{C3380CC4-5D6E-409C-BE32-E72D297353CC}">
                <c16:uniqueId val="{0000000D-0FF3-4ADF-9A85-20CD8FEE9CA6}"/>
              </c:ext>
            </c:extLst>
          </c:dPt>
          <c:dPt>
            <c:idx val="7"/>
            <c:bubble3D val="0"/>
            <c:spPr>
              <a:solidFill>
                <a:schemeClr val="tx1"/>
              </a:solidFill>
              <a:ln>
                <a:noFill/>
              </a:ln>
            </c:spPr>
            <c:extLst>
              <c:ext xmlns:c16="http://schemas.microsoft.com/office/drawing/2014/chart" uri="{C3380CC4-5D6E-409C-BE32-E72D297353CC}">
                <c16:uniqueId val="{0000000F-0FF3-4ADF-9A85-20CD8FEE9CA6}"/>
              </c:ext>
            </c:extLst>
          </c:dPt>
          <c:dPt>
            <c:idx val="8"/>
            <c:bubble3D val="0"/>
            <c:spPr>
              <a:noFill/>
            </c:spPr>
            <c:extLst>
              <c:ext xmlns:c16="http://schemas.microsoft.com/office/drawing/2014/chart" uri="{C3380CC4-5D6E-409C-BE32-E72D297353CC}">
                <c16:uniqueId val="{00000011-0FF3-4ADF-9A85-20CD8FEE9CA6}"/>
              </c:ext>
            </c:extLst>
          </c:dPt>
          <c:dPt>
            <c:idx val="9"/>
            <c:bubble3D val="0"/>
            <c:spPr>
              <a:noFill/>
            </c:spPr>
            <c:extLst>
              <c:ext xmlns:c16="http://schemas.microsoft.com/office/drawing/2014/chart" uri="{C3380CC4-5D6E-409C-BE32-E72D297353CC}">
                <c16:uniqueId val="{00000013-0FF3-4ADF-9A85-20CD8FEE9CA6}"/>
              </c:ext>
            </c:extLst>
          </c:dPt>
          <c:dPt>
            <c:idx val="10"/>
            <c:bubble3D val="0"/>
            <c:spPr>
              <a:solidFill>
                <a:schemeClr val="tx1"/>
              </a:solidFill>
            </c:spPr>
            <c:extLst>
              <c:ext xmlns:c16="http://schemas.microsoft.com/office/drawing/2014/chart" uri="{C3380CC4-5D6E-409C-BE32-E72D297353CC}">
                <c16:uniqueId val="{00000015-0FF3-4ADF-9A85-20CD8FEE9CA6}"/>
              </c:ext>
            </c:extLst>
          </c:dPt>
          <c:dPt>
            <c:idx val="11"/>
            <c:bubble3D val="0"/>
            <c:spPr>
              <a:noFill/>
            </c:spPr>
            <c:extLst>
              <c:ext xmlns:c16="http://schemas.microsoft.com/office/drawing/2014/chart" uri="{C3380CC4-5D6E-409C-BE32-E72D297353CC}">
                <c16:uniqueId val="{00000017-0FF3-4ADF-9A85-20CD8FEE9CA6}"/>
              </c:ext>
            </c:extLst>
          </c:dPt>
          <c:dPt>
            <c:idx val="12"/>
            <c:bubble3D val="0"/>
            <c:spPr>
              <a:noFill/>
            </c:spPr>
            <c:extLst>
              <c:ext xmlns:c16="http://schemas.microsoft.com/office/drawing/2014/chart" uri="{C3380CC4-5D6E-409C-BE32-E72D297353CC}">
                <c16:uniqueId val="{00000019-0FF3-4ADF-9A85-20CD8FEE9CA6}"/>
              </c:ext>
            </c:extLst>
          </c:dPt>
          <c:dPt>
            <c:idx val="13"/>
            <c:bubble3D val="0"/>
            <c:spPr>
              <a:solidFill>
                <a:schemeClr val="tx1"/>
              </a:solidFill>
            </c:spPr>
            <c:extLst>
              <c:ext xmlns:c16="http://schemas.microsoft.com/office/drawing/2014/chart" uri="{C3380CC4-5D6E-409C-BE32-E72D297353CC}">
                <c16:uniqueId val="{0000001B-0FF3-4ADF-9A85-20CD8FEE9CA6}"/>
              </c:ext>
            </c:extLst>
          </c:dPt>
          <c:dPt>
            <c:idx val="14"/>
            <c:bubble3D val="0"/>
            <c:spPr>
              <a:noFill/>
            </c:spPr>
            <c:extLst>
              <c:ext xmlns:c16="http://schemas.microsoft.com/office/drawing/2014/chart" uri="{C3380CC4-5D6E-409C-BE32-E72D297353CC}">
                <c16:uniqueId val="{0000001D-0FF3-4ADF-9A85-20CD8FEE9CA6}"/>
              </c:ext>
            </c:extLst>
          </c:dPt>
          <c:dPt>
            <c:idx val="15"/>
            <c:bubble3D val="0"/>
            <c:spPr>
              <a:noFill/>
            </c:spPr>
            <c:extLst>
              <c:ext xmlns:c16="http://schemas.microsoft.com/office/drawing/2014/chart" uri="{C3380CC4-5D6E-409C-BE32-E72D297353CC}">
                <c16:uniqueId val="{0000001F-0FF3-4ADF-9A85-20CD8FEE9CA6}"/>
              </c:ext>
            </c:extLst>
          </c:dPt>
          <c:dPt>
            <c:idx val="16"/>
            <c:bubble3D val="0"/>
            <c:spPr>
              <a:solidFill>
                <a:schemeClr val="tx1"/>
              </a:solidFill>
            </c:spPr>
            <c:extLst>
              <c:ext xmlns:c16="http://schemas.microsoft.com/office/drawing/2014/chart" uri="{C3380CC4-5D6E-409C-BE32-E72D297353CC}">
                <c16:uniqueId val="{00000021-0FF3-4ADF-9A85-20CD8FEE9CA6}"/>
              </c:ext>
            </c:extLst>
          </c:dPt>
          <c:dPt>
            <c:idx val="17"/>
            <c:bubble3D val="0"/>
            <c:spPr>
              <a:noFill/>
            </c:spPr>
            <c:extLst>
              <c:ext xmlns:c16="http://schemas.microsoft.com/office/drawing/2014/chart" uri="{C3380CC4-5D6E-409C-BE32-E72D297353CC}">
                <c16:uniqueId val="{00000023-0FF3-4ADF-9A85-20CD8FEE9CA6}"/>
              </c:ext>
            </c:extLst>
          </c:dPt>
          <c:dPt>
            <c:idx val="18"/>
            <c:bubble3D val="0"/>
            <c:spPr>
              <a:noFill/>
            </c:spPr>
            <c:extLst>
              <c:ext xmlns:c16="http://schemas.microsoft.com/office/drawing/2014/chart" uri="{C3380CC4-5D6E-409C-BE32-E72D297353CC}">
                <c16:uniqueId val="{00000025-0FF3-4ADF-9A85-20CD8FEE9CA6}"/>
              </c:ext>
            </c:extLst>
          </c:dPt>
          <c:dPt>
            <c:idx val="19"/>
            <c:bubble3D val="0"/>
            <c:spPr>
              <a:solidFill>
                <a:schemeClr val="tx1"/>
              </a:solidFill>
            </c:spPr>
            <c:extLst>
              <c:ext xmlns:c16="http://schemas.microsoft.com/office/drawing/2014/chart" uri="{C3380CC4-5D6E-409C-BE32-E72D297353CC}">
                <c16:uniqueId val="{00000027-0FF3-4ADF-9A85-20CD8FEE9CA6}"/>
              </c:ext>
            </c:extLst>
          </c:dPt>
          <c:dPt>
            <c:idx val="20"/>
            <c:bubble3D val="0"/>
            <c:spPr>
              <a:noFill/>
            </c:spPr>
            <c:extLst>
              <c:ext xmlns:c16="http://schemas.microsoft.com/office/drawing/2014/chart" uri="{C3380CC4-5D6E-409C-BE32-E72D297353CC}">
                <c16:uniqueId val="{00000029-0FF3-4ADF-9A85-20CD8FEE9CA6}"/>
              </c:ext>
            </c:extLst>
          </c:dPt>
          <c:dPt>
            <c:idx val="21"/>
            <c:bubble3D val="0"/>
            <c:spPr>
              <a:noFill/>
            </c:spPr>
            <c:extLst>
              <c:ext xmlns:c16="http://schemas.microsoft.com/office/drawing/2014/chart" uri="{C3380CC4-5D6E-409C-BE32-E72D297353CC}">
                <c16:uniqueId val="{0000002B-0FF3-4ADF-9A85-20CD8FEE9CA6}"/>
              </c:ext>
            </c:extLst>
          </c:dPt>
          <c:dPt>
            <c:idx val="22"/>
            <c:bubble3D val="0"/>
            <c:spPr>
              <a:solidFill>
                <a:schemeClr val="tx1"/>
              </a:solidFill>
            </c:spPr>
            <c:extLst>
              <c:ext xmlns:c16="http://schemas.microsoft.com/office/drawing/2014/chart" uri="{C3380CC4-5D6E-409C-BE32-E72D297353CC}">
                <c16:uniqueId val="{0000002D-0FF3-4ADF-9A85-20CD8FEE9CA6}"/>
              </c:ext>
            </c:extLst>
          </c:dPt>
          <c:dPt>
            <c:idx val="23"/>
            <c:bubble3D val="0"/>
            <c:spPr>
              <a:noFill/>
            </c:spPr>
            <c:extLst>
              <c:ext xmlns:c16="http://schemas.microsoft.com/office/drawing/2014/chart" uri="{C3380CC4-5D6E-409C-BE32-E72D297353CC}">
                <c16:uniqueId val="{0000002F-0FF3-4ADF-9A85-20CD8FEE9CA6}"/>
              </c:ext>
            </c:extLst>
          </c:dPt>
          <c:dPt>
            <c:idx val="24"/>
            <c:bubble3D val="0"/>
            <c:spPr>
              <a:noFill/>
            </c:spPr>
            <c:extLst>
              <c:ext xmlns:c16="http://schemas.microsoft.com/office/drawing/2014/chart" uri="{C3380CC4-5D6E-409C-BE32-E72D297353CC}">
                <c16:uniqueId val="{00000031-0FF3-4ADF-9A85-20CD8FEE9CA6}"/>
              </c:ext>
            </c:extLst>
          </c:dPt>
          <c:dPt>
            <c:idx val="25"/>
            <c:bubble3D val="0"/>
            <c:spPr>
              <a:solidFill>
                <a:schemeClr val="tx1"/>
              </a:solidFill>
            </c:spPr>
            <c:extLst>
              <c:ext xmlns:c16="http://schemas.microsoft.com/office/drawing/2014/chart" uri="{C3380CC4-5D6E-409C-BE32-E72D297353CC}">
                <c16:uniqueId val="{00000033-0FF3-4ADF-9A85-20CD8FEE9CA6}"/>
              </c:ext>
            </c:extLst>
          </c:dPt>
          <c:dPt>
            <c:idx val="26"/>
            <c:bubble3D val="0"/>
            <c:spPr>
              <a:noFill/>
            </c:spPr>
            <c:extLst>
              <c:ext xmlns:c16="http://schemas.microsoft.com/office/drawing/2014/chart" uri="{C3380CC4-5D6E-409C-BE32-E72D297353CC}">
                <c16:uniqueId val="{00000035-0FF3-4ADF-9A85-20CD8FEE9CA6}"/>
              </c:ext>
            </c:extLst>
          </c:dPt>
          <c:dPt>
            <c:idx val="27"/>
            <c:bubble3D val="0"/>
            <c:spPr>
              <a:noFill/>
            </c:spPr>
            <c:extLst>
              <c:ext xmlns:c16="http://schemas.microsoft.com/office/drawing/2014/chart" uri="{C3380CC4-5D6E-409C-BE32-E72D297353CC}">
                <c16:uniqueId val="{00000037-0FF3-4ADF-9A85-20CD8FEE9CA6}"/>
              </c:ext>
            </c:extLst>
          </c:dPt>
          <c:dPt>
            <c:idx val="28"/>
            <c:bubble3D val="0"/>
            <c:spPr>
              <a:solidFill>
                <a:schemeClr val="tx1"/>
              </a:solidFill>
            </c:spPr>
            <c:extLst>
              <c:ext xmlns:c16="http://schemas.microsoft.com/office/drawing/2014/chart" uri="{C3380CC4-5D6E-409C-BE32-E72D297353CC}">
                <c16:uniqueId val="{00000039-0FF3-4ADF-9A85-20CD8FEE9CA6}"/>
              </c:ext>
            </c:extLst>
          </c:dPt>
          <c:dPt>
            <c:idx val="29"/>
            <c:bubble3D val="0"/>
            <c:spPr>
              <a:noFill/>
            </c:spPr>
            <c:extLst>
              <c:ext xmlns:c16="http://schemas.microsoft.com/office/drawing/2014/chart" uri="{C3380CC4-5D6E-409C-BE32-E72D297353CC}">
                <c16:uniqueId val="{0000003B-0FF3-4ADF-9A85-20CD8FEE9CA6}"/>
              </c:ext>
            </c:extLst>
          </c:dPt>
          <c:dPt>
            <c:idx val="30"/>
            <c:bubble3D val="0"/>
            <c:spPr>
              <a:noFill/>
            </c:spPr>
            <c:extLst>
              <c:ext xmlns:c16="http://schemas.microsoft.com/office/drawing/2014/chart" uri="{C3380CC4-5D6E-409C-BE32-E72D297353CC}">
                <c16:uniqueId val="{0000003D-0FF3-4ADF-9A85-20CD8FEE9CA6}"/>
              </c:ext>
            </c:extLst>
          </c:dPt>
          <c:dPt>
            <c:idx val="31"/>
            <c:bubble3D val="0"/>
            <c:spPr>
              <a:solidFill>
                <a:schemeClr val="tx1"/>
              </a:solidFill>
            </c:spPr>
            <c:extLst>
              <c:ext xmlns:c16="http://schemas.microsoft.com/office/drawing/2014/chart" uri="{C3380CC4-5D6E-409C-BE32-E72D297353CC}">
                <c16:uniqueId val="{0000003F-0FF3-4ADF-9A85-20CD8FEE9CA6}"/>
              </c:ext>
            </c:extLst>
          </c:dPt>
          <c:dPt>
            <c:idx val="32"/>
            <c:bubble3D val="0"/>
            <c:spPr>
              <a:noFill/>
            </c:spPr>
            <c:extLst>
              <c:ext xmlns:c16="http://schemas.microsoft.com/office/drawing/2014/chart" uri="{C3380CC4-5D6E-409C-BE32-E72D297353CC}">
                <c16:uniqueId val="{00000041-0FF3-4ADF-9A85-20CD8FEE9CA6}"/>
              </c:ext>
            </c:extLst>
          </c:dPt>
          <c:dPt>
            <c:idx val="33"/>
            <c:bubble3D val="0"/>
            <c:spPr>
              <a:noFill/>
            </c:spPr>
            <c:extLst>
              <c:ext xmlns:c16="http://schemas.microsoft.com/office/drawing/2014/chart" uri="{C3380CC4-5D6E-409C-BE32-E72D297353CC}">
                <c16:uniqueId val="{00000043-0FF3-4ADF-9A85-20CD8FEE9CA6}"/>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FF3-4ADF-9A85-20CD8FEE9CA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EAA6-478D-A63A-8E073C9DEB51}"/>
              </c:ext>
            </c:extLst>
          </c:dPt>
          <c:dPt>
            <c:idx val="1"/>
            <c:bubble3D val="0"/>
            <c:spPr>
              <a:solidFill>
                <a:schemeClr val="accent3">
                  <a:lumMod val="50000"/>
                </a:schemeClr>
              </a:solidFill>
              <a:ln>
                <a:noFill/>
              </a:ln>
            </c:spPr>
            <c:extLst>
              <c:ext xmlns:c16="http://schemas.microsoft.com/office/drawing/2014/chart" uri="{C3380CC4-5D6E-409C-BE32-E72D297353CC}">
                <c16:uniqueId val="{00000003-EAA6-478D-A63A-8E073C9DEB51}"/>
              </c:ext>
            </c:extLst>
          </c:dPt>
          <c:dPt>
            <c:idx val="2"/>
            <c:bubble3D val="0"/>
            <c:spPr>
              <a:noFill/>
            </c:spPr>
            <c:extLst>
              <c:ext xmlns:c16="http://schemas.microsoft.com/office/drawing/2014/chart" uri="{C3380CC4-5D6E-409C-BE32-E72D297353CC}">
                <c16:uniqueId val="{00000005-EAA6-478D-A63A-8E073C9DEB51}"/>
              </c:ext>
            </c:extLst>
          </c:dPt>
          <c:dPt>
            <c:idx val="3"/>
            <c:bubble3D val="0"/>
            <c:spPr>
              <a:solidFill>
                <a:srgbClr val="CBE4EB"/>
              </a:solidFill>
              <a:ln>
                <a:noFill/>
              </a:ln>
            </c:spPr>
            <c:extLst>
              <c:ext xmlns:c16="http://schemas.microsoft.com/office/drawing/2014/chart" uri="{C3380CC4-5D6E-409C-BE32-E72D297353CC}">
                <c16:uniqueId val="{00000007-EAA6-478D-A63A-8E073C9DEB51}"/>
              </c:ext>
            </c:extLst>
          </c:dPt>
          <c:dPt>
            <c:idx val="4"/>
            <c:bubble3D val="0"/>
            <c:spPr>
              <a:solidFill>
                <a:schemeClr val="accent3"/>
              </a:solidFill>
              <a:ln>
                <a:noFill/>
              </a:ln>
            </c:spPr>
            <c:extLst>
              <c:ext xmlns:c16="http://schemas.microsoft.com/office/drawing/2014/chart" uri="{C3380CC4-5D6E-409C-BE32-E72D297353CC}">
                <c16:uniqueId val="{00000009-EAA6-478D-A63A-8E073C9DEB5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AA6-478D-A63A-8E073C9DEB5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89C-4134-A8F1-33919E8B6713}"/>
              </c:ext>
            </c:extLst>
          </c:dPt>
          <c:dPt>
            <c:idx val="1"/>
            <c:bubble3D val="0"/>
            <c:spPr>
              <a:solidFill>
                <a:schemeClr val="tx1"/>
              </a:solidFill>
              <a:ln>
                <a:noFill/>
              </a:ln>
            </c:spPr>
            <c:extLst>
              <c:ext xmlns:c16="http://schemas.microsoft.com/office/drawing/2014/chart" uri="{C3380CC4-5D6E-409C-BE32-E72D297353CC}">
                <c16:uniqueId val="{00000003-889C-4134-A8F1-33919E8B6713}"/>
              </c:ext>
            </c:extLst>
          </c:dPt>
          <c:dPt>
            <c:idx val="2"/>
            <c:bubble3D val="0"/>
            <c:spPr>
              <a:noFill/>
            </c:spPr>
            <c:extLst>
              <c:ext xmlns:c16="http://schemas.microsoft.com/office/drawing/2014/chart" uri="{C3380CC4-5D6E-409C-BE32-E72D297353CC}">
                <c16:uniqueId val="{00000005-889C-4134-A8F1-33919E8B6713}"/>
              </c:ext>
            </c:extLst>
          </c:dPt>
          <c:dPt>
            <c:idx val="3"/>
            <c:bubble3D val="0"/>
            <c:spPr>
              <a:noFill/>
            </c:spPr>
            <c:extLst>
              <c:ext xmlns:c16="http://schemas.microsoft.com/office/drawing/2014/chart" uri="{C3380CC4-5D6E-409C-BE32-E72D297353CC}">
                <c16:uniqueId val="{00000007-889C-4134-A8F1-33919E8B6713}"/>
              </c:ext>
            </c:extLst>
          </c:dPt>
          <c:dPt>
            <c:idx val="4"/>
            <c:bubble3D val="0"/>
            <c:spPr>
              <a:solidFill>
                <a:schemeClr val="tx1"/>
              </a:solidFill>
              <a:ln>
                <a:noFill/>
              </a:ln>
            </c:spPr>
            <c:extLst>
              <c:ext xmlns:c16="http://schemas.microsoft.com/office/drawing/2014/chart" uri="{C3380CC4-5D6E-409C-BE32-E72D297353CC}">
                <c16:uniqueId val="{00000009-889C-4134-A8F1-33919E8B6713}"/>
              </c:ext>
            </c:extLst>
          </c:dPt>
          <c:dPt>
            <c:idx val="5"/>
            <c:bubble3D val="0"/>
            <c:spPr>
              <a:noFill/>
            </c:spPr>
            <c:extLst>
              <c:ext xmlns:c16="http://schemas.microsoft.com/office/drawing/2014/chart" uri="{C3380CC4-5D6E-409C-BE32-E72D297353CC}">
                <c16:uniqueId val="{0000000B-889C-4134-A8F1-33919E8B6713}"/>
              </c:ext>
            </c:extLst>
          </c:dPt>
          <c:dPt>
            <c:idx val="6"/>
            <c:bubble3D val="0"/>
            <c:spPr>
              <a:noFill/>
            </c:spPr>
            <c:extLst>
              <c:ext xmlns:c16="http://schemas.microsoft.com/office/drawing/2014/chart" uri="{C3380CC4-5D6E-409C-BE32-E72D297353CC}">
                <c16:uniqueId val="{0000000D-889C-4134-A8F1-33919E8B6713}"/>
              </c:ext>
            </c:extLst>
          </c:dPt>
          <c:dPt>
            <c:idx val="7"/>
            <c:bubble3D val="0"/>
            <c:spPr>
              <a:solidFill>
                <a:schemeClr val="tx1"/>
              </a:solidFill>
              <a:ln>
                <a:noFill/>
              </a:ln>
            </c:spPr>
            <c:extLst>
              <c:ext xmlns:c16="http://schemas.microsoft.com/office/drawing/2014/chart" uri="{C3380CC4-5D6E-409C-BE32-E72D297353CC}">
                <c16:uniqueId val="{0000000F-889C-4134-A8F1-33919E8B6713}"/>
              </c:ext>
            </c:extLst>
          </c:dPt>
          <c:dPt>
            <c:idx val="8"/>
            <c:bubble3D val="0"/>
            <c:spPr>
              <a:noFill/>
            </c:spPr>
            <c:extLst>
              <c:ext xmlns:c16="http://schemas.microsoft.com/office/drawing/2014/chart" uri="{C3380CC4-5D6E-409C-BE32-E72D297353CC}">
                <c16:uniqueId val="{00000011-889C-4134-A8F1-33919E8B6713}"/>
              </c:ext>
            </c:extLst>
          </c:dPt>
          <c:dPt>
            <c:idx val="9"/>
            <c:bubble3D val="0"/>
            <c:spPr>
              <a:noFill/>
            </c:spPr>
            <c:extLst>
              <c:ext xmlns:c16="http://schemas.microsoft.com/office/drawing/2014/chart" uri="{C3380CC4-5D6E-409C-BE32-E72D297353CC}">
                <c16:uniqueId val="{00000013-889C-4134-A8F1-33919E8B6713}"/>
              </c:ext>
            </c:extLst>
          </c:dPt>
          <c:dPt>
            <c:idx val="10"/>
            <c:bubble3D val="0"/>
            <c:spPr>
              <a:solidFill>
                <a:schemeClr val="tx1"/>
              </a:solidFill>
            </c:spPr>
            <c:extLst>
              <c:ext xmlns:c16="http://schemas.microsoft.com/office/drawing/2014/chart" uri="{C3380CC4-5D6E-409C-BE32-E72D297353CC}">
                <c16:uniqueId val="{00000015-889C-4134-A8F1-33919E8B6713}"/>
              </c:ext>
            </c:extLst>
          </c:dPt>
          <c:dPt>
            <c:idx val="11"/>
            <c:bubble3D val="0"/>
            <c:spPr>
              <a:noFill/>
            </c:spPr>
            <c:extLst>
              <c:ext xmlns:c16="http://schemas.microsoft.com/office/drawing/2014/chart" uri="{C3380CC4-5D6E-409C-BE32-E72D297353CC}">
                <c16:uniqueId val="{00000017-889C-4134-A8F1-33919E8B6713}"/>
              </c:ext>
            </c:extLst>
          </c:dPt>
          <c:dPt>
            <c:idx val="12"/>
            <c:bubble3D val="0"/>
            <c:spPr>
              <a:noFill/>
            </c:spPr>
            <c:extLst>
              <c:ext xmlns:c16="http://schemas.microsoft.com/office/drawing/2014/chart" uri="{C3380CC4-5D6E-409C-BE32-E72D297353CC}">
                <c16:uniqueId val="{00000019-889C-4134-A8F1-33919E8B6713}"/>
              </c:ext>
            </c:extLst>
          </c:dPt>
          <c:dPt>
            <c:idx val="13"/>
            <c:bubble3D val="0"/>
            <c:spPr>
              <a:solidFill>
                <a:schemeClr val="tx1"/>
              </a:solidFill>
            </c:spPr>
            <c:extLst>
              <c:ext xmlns:c16="http://schemas.microsoft.com/office/drawing/2014/chart" uri="{C3380CC4-5D6E-409C-BE32-E72D297353CC}">
                <c16:uniqueId val="{0000001B-889C-4134-A8F1-33919E8B6713}"/>
              </c:ext>
            </c:extLst>
          </c:dPt>
          <c:dPt>
            <c:idx val="14"/>
            <c:bubble3D val="0"/>
            <c:spPr>
              <a:noFill/>
            </c:spPr>
            <c:extLst>
              <c:ext xmlns:c16="http://schemas.microsoft.com/office/drawing/2014/chart" uri="{C3380CC4-5D6E-409C-BE32-E72D297353CC}">
                <c16:uniqueId val="{0000001D-889C-4134-A8F1-33919E8B6713}"/>
              </c:ext>
            </c:extLst>
          </c:dPt>
          <c:dPt>
            <c:idx val="15"/>
            <c:bubble3D val="0"/>
            <c:spPr>
              <a:noFill/>
            </c:spPr>
            <c:extLst>
              <c:ext xmlns:c16="http://schemas.microsoft.com/office/drawing/2014/chart" uri="{C3380CC4-5D6E-409C-BE32-E72D297353CC}">
                <c16:uniqueId val="{0000001F-889C-4134-A8F1-33919E8B6713}"/>
              </c:ext>
            </c:extLst>
          </c:dPt>
          <c:dPt>
            <c:idx val="16"/>
            <c:bubble3D val="0"/>
            <c:spPr>
              <a:solidFill>
                <a:schemeClr val="tx1"/>
              </a:solidFill>
            </c:spPr>
            <c:extLst>
              <c:ext xmlns:c16="http://schemas.microsoft.com/office/drawing/2014/chart" uri="{C3380CC4-5D6E-409C-BE32-E72D297353CC}">
                <c16:uniqueId val="{00000021-889C-4134-A8F1-33919E8B6713}"/>
              </c:ext>
            </c:extLst>
          </c:dPt>
          <c:dPt>
            <c:idx val="17"/>
            <c:bubble3D val="0"/>
            <c:spPr>
              <a:noFill/>
            </c:spPr>
            <c:extLst>
              <c:ext xmlns:c16="http://schemas.microsoft.com/office/drawing/2014/chart" uri="{C3380CC4-5D6E-409C-BE32-E72D297353CC}">
                <c16:uniqueId val="{00000023-889C-4134-A8F1-33919E8B6713}"/>
              </c:ext>
            </c:extLst>
          </c:dPt>
          <c:dPt>
            <c:idx val="18"/>
            <c:bubble3D val="0"/>
            <c:spPr>
              <a:noFill/>
            </c:spPr>
            <c:extLst>
              <c:ext xmlns:c16="http://schemas.microsoft.com/office/drawing/2014/chart" uri="{C3380CC4-5D6E-409C-BE32-E72D297353CC}">
                <c16:uniqueId val="{00000025-889C-4134-A8F1-33919E8B6713}"/>
              </c:ext>
            </c:extLst>
          </c:dPt>
          <c:dPt>
            <c:idx val="19"/>
            <c:bubble3D val="0"/>
            <c:spPr>
              <a:solidFill>
                <a:schemeClr val="tx1"/>
              </a:solidFill>
            </c:spPr>
            <c:extLst>
              <c:ext xmlns:c16="http://schemas.microsoft.com/office/drawing/2014/chart" uri="{C3380CC4-5D6E-409C-BE32-E72D297353CC}">
                <c16:uniqueId val="{00000027-889C-4134-A8F1-33919E8B6713}"/>
              </c:ext>
            </c:extLst>
          </c:dPt>
          <c:dPt>
            <c:idx val="20"/>
            <c:bubble3D val="0"/>
            <c:spPr>
              <a:noFill/>
            </c:spPr>
            <c:extLst>
              <c:ext xmlns:c16="http://schemas.microsoft.com/office/drawing/2014/chart" uri="{C3380CC4-5D6E-409C-BE32-E72D297353CC}">
                <c16:uniqueId val="{00000029-889C-4134-A8F1-33919E8B6713}"/>
              </c:ext>
            </c:extLst>
          </c:dPt>
          <c:dPt>
            <c:idx val="21"/>
            <c:bubble3D val="0"/>
            <c:spPr>
              <a:noFill/>
            </c:spPr>
            <c:extLst>
              <c:ext xmlns:c16="http://schemas.microsoft.com/office/drawing/2014/chart" uri="{C3380CC4-5D6E-409C-BE32-E72D297353CC}">
                <c16:uniqueId val="{0000002B-889C-4134-A8F1-33919E8B6713}"/>
              </c:ext>
            </c:extLst>
          </c:dPt>
          <c:dPt>
            <c:idx val="22"/>
            <c:bubble3D val="0"/>
            <c:spPr>
              <a:solidFill>
                <a:schemeClr val="tx1"/>
              </a:solidFill>
            </c:spPr>
            <c:extLst>
              <c:ext xmlns:c16="http://schemas.microsoft.com/office/drawing/2014/chart" uri="{C3380CC4-5D6E-409C-BE32-E72D297353CC}">
                <c16:uniqueId val="{0000002D-889C-4134-A8F1-33919E8B6713}"/>
              </c:ext>
            </c:extLst>
          </c:dPt>
          <c:dPt>
            <c:idx val="23"/>
            <c:bubble3D val="0"/>
            <c:spPr>
              <a:noFill/>
            </c:spPr>
            <c:extLst>
              <c:ext xmlns:c16="http://schemas.microsoft.com/office/drawing/2014/chart" uri="{C3380CC4-5D6E-409C-BE32-E72D297353CC}">
                <c16:uniqueId val="{0000002F-889C-4134-A8F1-33919E8B6713}"/>
              </c:ext>
            </c:extLst>
          </c:dPt>
          <c:dPt>
            <c:idx val="24"/>
            <c:bubble3D val="0"/>
            <c:spPr>
              <a:noFill/>
            </c:spPr>
            <c:extLst>
              <c:ext xmlns:c16="http://schemas.microsoft.com/office/drawing/2014/chart" uri="{C3380CC4-5D6E-409C-BE32-E72D297353CC}">
                <c16:uniqueId val="{00000031-889C-4134-A8F1-33919E8B6713}"/>
              </c:ext>
            </c:extLst>
          </c:dPt>
          <c:dPt>
            <c:idx val="25"/>
            <c:bubble3D val="0"/>
            <c:spPr>
              <a:solidFill>
                <a:schemeClr val="tx1"/>
              </a:solidFill>
            </c:spPr>
            <c:extLst>
              <c:ext xmlns:c16="http://schemas.microsoft.com/office/drawing/2014/chart" uri="{C3380CC4-5D6E-409C-BE32-E72D297353CC}">
                <c16:uniqueId val="{00000033-889C-4134-A8F1-33919E8B6713}"/>
              </c:ext>
            </c:extLst>
          </c:dPt>
          <c:dPt>
            <c:idx val="26"/>
            <c:bubble3D val="0"/>
            <c:spPr>
              <a:noFill/>
            </c:spPr>
            <c:extLst>
              <c:ext xmlns:c16="http://schemas.microsoft.com/office/drawing/2014/chart" uri="{C3380CC4-5D6E-409C-BE32-E72D297353CC}">
                <c16:uniqueId val="{00000035-889C-4134-A8F1-33919E8B6713}"/>
              </c:ext>
            </c:extLst>
          </c:dPt>
          <c:dPt>
            <c:idx val="27"/>
            <c:bubble3D val="0"/>
            <c:spPr>
              <a:noFill/>
            </c:spPr>
            <c:extLst>
              <c:ext xmlns:c16="http://schemas.microsoft.com/office/drawing/2014/chart" uri="{C3380CC4-5D6E-409C-BE32-E72D297353CC}">
                <c16:uniqueId val="{00000037-889C-4134-A8F1-33919E8B6713}"/>
              </c:ext>
            </c:extLst>
          </c:dPt>
          <c:dPt>
            <c:idx val="28"/>
            <c:bubble3D val="0"/>
            <c:spPr>
              <a:solidFill>
                <a:schemeClr val="tx1"/>
              </a:solidFill>
            </c:spPr>
            <c:extLst>
              <c:ext xmlns:c16="http://schemas.microsoft.com/office/drawing/2014/chart" uri="{C3380CC4-5D6E-409C-BE32-E72D297353CC}">
                <c16:uniqueId val="{00000039-889C-4134-A8F1-33919E8B6713}"/>
              </c:ext>
            </c:extLst>
          </c:dPt>
          <c:dPt>
            <c:idx val="29"/>
            <c:bubble3D val="0"/>
            <c:spPr>
              <a:noFill/>
            </c:spPr>
            <c:extLst>
              <c:ext xmlns:c16="http://schemas.microsoft.com/office/drawing/2014/chart" uri="{C3380CC4-5D6E-409C-BE32-E72D297353CC}">
                <c16:uniqueId val="{0000003B-889C-4134-A8F1-33919E8B6713}"/>
              </c:ext>
            </c:extLst>
          </c:dPt>
          <c:dPt>
            <c:idx val="30"/>
            <c:bubble3D val="0"/>
            <c:spPr>
              <a:noFill/>
            </c:spPr>
            <c:extLst>
              <c:ext xmlns:c16="http://schemas.microsoft.com/office/drawing/2014/chart" uri="{C3380CC4-5D6E-409C-BE32-E72D297353CC}">
                <c16:uniqueId val="{0000003D-889C-4134-A8F1-33919E8B6713}"/>
              </c:ext>
            </c:extLst>
          </c:dPt>
          <c:dPt>
            <c:idx val="31"/>
            <c:bubble3D val="0"/>
            <c:spPr>
              <a:solidFill>
                <a:schemeClr val="tx1"/>
              </a:solidFill>
            </c:spPr>
            <c:extLst>
              <c:ext xmlns:c16="http://schemas.microsoft.com/office/drawing/2014/chart" uri="{C3380CC4-5D6E-409C-BE32-E72D297353CC}">
                <c16:uniqueId val="{0000003F-889C-4134-A8F1-33919E8B6713}"/>
              </c:ext>
            </c:extLst>
          </c:dPt>
          <c:dPt>
            <c:idx val="32"/>
            <c:bubble3D val="0"/>
            <c:spPr>
              <a:noFill/>
            </c:spPr>
            <c:extLst>
              <c:ext xmlns:c16="http://schemas.microsoft.com/office/drawing/2014/chart" uri="{C3380CC4-5D6E-409C-BE32-E72D297353CC}">
                <c16:uniqueId val="{00000041-889C-4134-A8F1-33919E8B6713}"/>
              </c:ext>
            </c:extLst>
          </c:dPt>
          <c:dPt>
            <c:idx val="33"/>
            <c:bubble3D val="0"/>
            <c:spPr>
              <a:noFill/>
            </c:spPr>
            <c:extLst>
              <c:ext xmlns:c16="http://schemas.microsoft.com/office/drawing/2014/chart" uri="{C3380CC4-5D6E-409C-BE32-E72D297353CC}">
                <c16:uniqueId val="{00000043-889C-4134-A8F1-33919E8B6713}"/>
              </c:ext>
            </c:extLst>
          </c:dPt>
          <c:cat>
            <c:strRef>
              <c:f>tlGraphs!$Q$64:$Q$97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tlGraphs!$R$64:$R$97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89C-4134-A8F1-33919E8B671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BB5E-4416-A2D3-21932B813440}"/>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BB5E-4416-A2D3-21932B813440}"/>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BB5E-4416-A2D3-21932B813440}"/>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tlGraphs!$E$249:$G$249</c:f>
              <c:strCache>
                <c:ptCount val="3"/>
                <c:pt idx="0">
                  <c:v>Technical</c:v>
                </c:pt>
                <c:pt idx="1">
                  <c:v>PM / Analyst</c:v>
                </c:pt>
                <c:pt idx="2">
                  <c:v>Director / EM</c:v>
                </c:pt>
              </c:strCache>
            </c:strRef>
          </c:cat>
          <c:val>
            <c:numRef>
              <c:f>tlGraphs!$E$250:$G$250</c:f>
              <c:numCache>
                <c:formatCode>0%</c:formatCode>
                <c:ptCount val="3"/>
                <c:pt idx="0">
                  <c:v>0.1448898591855296</c:v>
                </c:pt>
                <c:pt idx="1">
                  <c:v>0.12866040727696945</c:v>
                </c:pt>
                <c:pt idx="2">
                  <c:v>6.0223821654648846E-2</c:v>
                </c:pt>
              </c:numCache>
            </c:numRef>
          </c:val>
          <c:extLst>
            <c:ext xmlns:c16="http://schemas.microsoft.com/office/drawing/2014/chart" uri="{C3380CC4-5D6E-409C-BE32-E72D297353CC}">
              <c16:uniqueId val="{00000006-BB5E-4416-A2D3-21932B813440}"/>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tx>
            <c:strRef>
              <c:f>tlGraphs!$B$267</c:f>
              <c:strCache>
                <c:ptCount val="1"/>
                <c:pt idx="0">
                  <c:v>Practice 1</c:v>
                </c:pt>
              </c:strCache>
            </c:strRef>
          </c:tx>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BD2F-4AA7-97F6-7BA520D9B59B}"/>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BD2F-4AA7-97F6-7BA520D9B59B}"/>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BD2F-4AA7-97F6-7BA520D9B59B}"/>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tlGraphs!$C$266:$E$266</c:f>
              <c:strCache>
                <c:ptCount val="3"/>
                <c:pt idx="0">
                  <c:v>Consultant</c:v>
                </c:pt>
                <c:pt idx="1">
                  <c:v>Manager</c:v>
                </c:pt>
                <c:pt idx="2">
                  <c:v>Leader</c:v>
                </c:pt>
              </c:strCache>
            </c:strRef>
          </c:cat>
          <c:val>
            <c:numRef>
              <c:f>tlGraphs!$C$267:$E$267</c:f>
              <c:numCache>
                <c:formatCode>0%</c:formatCode>
                <c:ptCount val="3"/>
                <c:pt idx="0">
                  <c:v>0.53977272727272729</c:v>
                </c:pt>
                <c:pt idx="1">
                  <c:v>0.23295454545454544</c:v>
                </c:pt>
                <c:pt idx="2">
                  <c:v>0.22727272727272727</c:v>
                </c:pt>
              </c:numCache>
            </c:numRef>
          </c:val>
          <c:extLst>
            <c:ext xmlns:c16="http://schemas.microsoft.com/office/drawing/2014/chart" uri="{C3380CC4-5D6E-409C-BE32-E72D297353CC}">
              <c16:uniqueId val="{00000006-BD2F-4AA7-97F6-7BA520D9B59B}"/>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E757-4A0D-A4F9-0D57F8B79987}"/>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E757-4A0D-A4F9-0D57F8B79987}"/>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E757-4A0D-A4F9-0D57F8B79987}"/>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tlGraphs!$C$282:$E$282</c:f>
              <c:strCache>
                <c:ptCount val="3"/>
                <c:pt idx="0">
                  <c:v>Offshore</c:v>
                </c:pt>
                <c:pt idx="1">
                  <c:v>Global Delivery Centers</c:v>
                </c:pt>
                <c:pt idx="2">
                  <c:v>Technical</c:v>
                </c:pt>
              </c:strCache>
            </c:strRef>
          </c:cat>
          <c:val>
            <c:numRef>
              <c:f>tlGraphs!$C$283:$E$283</c:f>
              <c:numCache>
                <c:formatCode>0%</c:formatCode>
                <c:ptCount val="3"/>
                <c:pt idx="0">
                  <c:v>4.9737250268451792E-2</c:v>
                </c:pt>
                <c:pt idx="1">
                  <c:v>3.0021510412210347E-2</c:v>
                </c:pt>
                <c:pt idx="2">
                  <c:v>0.24473939173308085</c:v>
                </c:pt>
              </c:numCache>
            </c:numRef>
          </c:val>
          <c:extLst>
            <c:ext xmlns:c16="http://schemas.microsoft.com/office/drawing/2014/chart" uri="{C3380CC4-5D6E-409C-BE32-E72D297353CC}">
              <c16:uniqueId val="{00000006-E757-4A0D-A4F9-0D57F8B79987}"/>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354A-44CB-A558-B8A2926F2066}"/>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354A-44CB-A558-B8A2926F2066}"/>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354A-44CB-A558-B8A2926F2066}"/>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tlGraphs!$C$297:$E$297</c:f>
              <c:strCache>
                <c:ptCount val="3"/>
                <c:pt idx="0">
                  <c:v>Technical</c:v>
                </c:pt>
                <c:pt idx="1">
                  <c:v>PM / Analyst</c:v>
                </c:pt>
                <c:pt idx="2">
                  <c:v>Director / EM</c:v>
                </c:pt>
              </c:strCache>
            </c:strRef>
          </c:cat>
          <c:val>
            <c:numRef>
              <c:f>tlGraphs!$C$298:$E$298</c:f>
              <c:numCache>
                <c:formatCode>0%</c:formatCode>
                <c:ptCount val="3"/>
                <c:pt idx="0">
                  <c:v>0.7</c:v>
                </c:pt>
                <c:pt idx="1">
                  <c:v>0.2391304347826087</c:v>
                </c:pt>
                <c:pt idx="2">
                  <c:v>6.0869565217391307E-2</c:v>
                </c:pt>
              </c:numCache>
            </c:numRef>
          </c:val>
          <c:extLst>
            <c:ext xmlns:c16="http://schemas.microsoft.com/office/drawing/2014/chart" uri="{C3380CC4-5D6E-409C-BE32-E72D297353CC}">
              <c16:uniqueId val="{00000006-354A-44CB-A558-B8A2926F2066}"/>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82B2-4DE8-8B7D-985F5014D032}"/>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82B2-4DE8-8B7D-985F5014D032}"/>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82B2-4DE8-8B7D-985F5014D032}"/>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tlGraphs!$C$311:$E$311</c:f>
              <c:strCache>
                <c:ptCount val="3"/>
                <c:pt idx="0">
                  <c:v>Offshore</c:v>
                </c:pt>
                <c:pt idx="1">
                  <c:v>Global Delivery Centers</c:v>
                </c:pt>
                <c:pt idx="2">
                  <c:v>Technical</c:v>
                </c:pt>
              </c:strCache>
            </c:strRef>
          </c:cat>
          <c:val>
            <c:numRef>
              <c:f>tlGraphs!$C$312:$E$312</c:f>
              <c:numCache>
                <c:formatCode>0%</c:formatCode>
                <c:ptCount val="3"/>
                <c:pt idx="0">
                  <c:v>4.9737250268451792E-2</c:v>
                </c:pt>
                <c:pt idx="1">
                  <c:v>7.5991691575054462E-2</c:v>
                </c:pt>
                <c:pt idx="2">
                  <c:v>0.18772560394888452</c:v>
                </c:pt>
              </c:numCache>
            </c:numRef>
          </c:val>
          <c:extLst>
            <c:ext xmlns:c16="http://schemas.microsoft.com/office/drawing/2014/chart" uri="{C3380CC4-5D6E-409C-BE32-E72D297353CC}">
              <c16:uniqueId val="{00000006-82B2-4DE8-8B7D-985F5014D032}"/>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0967-4D42-8BDA-1B07BDBB37E5}"/>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0967-4D42-8BDA-1B07BDBB37E5}"/>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0967-4D42-8BDA-1B07BDBB37E5}"/>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tlGraphs!$C$325:$E$325</c:f>
              <c:strCache>
                <c:ptCount val="3"/>
                <c:pt idx="0">
                  <c:v>Technical</c:v>
                </c:pt>
                <c:pt idx="1">
                  <c:v>PM / Analyst</c:v>
                </c:pt>
                <c:pt idx="2">
                  <c:v>Director / EM</c:v>
                </c:pt>
              </c:strCache>
            </c:strRef>
          </c:cat>
          <c:val>
            <c:numRef>
              <c:f>tlGraphs!$C$326:$E$326</c:f>
              <c:numCache>
                <c:formatCode>0%</c:formatCode>
                <c:ptCount val="3"/>
                <c:pt idx="0">
                  <c:v>0.59673366834170849</c:v>
                </c:pt>
                <c:pt idx="1">
                  <c:v>0.3165829145728643</c:v>
                </c:pt>
                <c:pt idx="2">
                  <c:v>8.6683417085427136E-2</c:v>
                </c:pt>
              </c:numCache>
            </c:numRef>
          </c:val>
          <c:extLst>
            <c:ext xmlns:c16="http://schemas.microsoft.com/office/drawing/2014/chart" uri="{C3380CC4-5D6E-409C-BE32-E72D297353CC}">
              <c16:uniqueId val="{00000006-0967-4D42-8BDA-1B07BDBB37E5}"/>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338392254161304"/>
          <c:y val="3.2011628371040816E-2"/>
        </c:manualLayout>
      </c:layout>
      <c:overlay val="0"/>
      <c:txPr>
        <a:bodyPr/>
        <a:lstStyle/>
        <a:p>
          <a:pPr>
            <a:defRPr sz="1100" b="0"/>
          </a:pPr>
          <a:endParaRPr lang="en-US"/>
        </a:p>
      </c:txPr>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tlGraphs!$C$199</c:f>
              <c:strCache>
                <c:ptCount val="1"/>
                <c:pt idx="0">
                  <c:v>Forecasted Bookings ($m)</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91AB-4162-A47E-11F1D02EED5D}"/>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91AB-4162-A47E-11F1D02EED5D}"/>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91AB-4162-A47E-11F1D02EED5D}"/>
              </c:ext>
            </c:extLst>
          </c:dPt>
          <c:dLbls>
            <c:dLbl>
              <c:idx val="0"/>
              <c:layout>
                <c:manualLayout>
                  <c:x val="2.0289850441663714E-2"/>
                  <c:y val="-4.26821711613877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AB-4162-A47E-11F1D02EED5D}"/>
                </c:ext>
              </c:extLst>
            </c:dLbl>
            <c:dLbl>
              <c:idx val="1"/>
              <c:layout>
                <c:manualLayout>
                  <c:x val="2.3188400504758528E-2"/>
                  <c:y val="-3.20116283710407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AB-4162-A47E-11F1D02EED5D}"/>
                </c:ext>
              </c:extLst>
            </c:dLbl>
            <c:dLbl>
              <c:idx val="2"/>
              <c:layout>
                <c:manualLayout>
                  <c:x val="2.3188400504758528E-2"/>
                  <c:y val="-3.20116283710408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AB-4162-A47E-11F1D02EED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tlGraphs!$B$200:$B$202</c:f>
              <c:strCache>
                <c:ptCount val="3"/>
                <c:pt idx="0">
                  <c:v>CRM</c:v>
                </c:pt>
                <c:pt idx="1">
                  <c:v>HCM</c:v>
                </c:pt>
                <c:pt idx="2">
                  <c:v>Futuria</c:v>
                </c:pt>
              </c:strCache>
            </c:strRef>
          </c:cat>
          <c:val>
            <c:numRef>
              <c:f>tlGraphs!$C$200:$C$202</c:f>
              <c:numCache>
                <c:formatCode>_("$"* #,##0_);_("$"* \(#,##0\);_("$"* "-"??_);_(@_)</c:formatCode>
                <c:ptCount val="3"/>
                <c:pt idx="0">
                  <c:v>217.32328155856598</c:v>
                </c:pt>
                <c:pt idx="1">
                  <c:v>148.31115492392948</c:v>
                </c:pt>
                <c:pt idx="2">
                  <c:v>74.226756670516764</c:v>
                </c:pt>
              </c:numCache>
            </c:numRef>
          </c:val>
          <c:extLst>
            <c:ext xmlns:c16="http://schemas.microsoft.com/office/drawing/2014/chart" uri="{C3380CC4-5D6E-409C-BE32-E72D297353CC}">
              <c16:uniqueId val="{00000006-91AB-4162-A47E-11F1D02EED5D}"/>
            </c:ext>
          </c:extLst>
        </c:ser>
        <c:dLbls>
          <c:showLegendKey val="0"/>
          <c:showVal val="0"/>
          <c:showCatName val="0"/>
          <c:showSerName val="0"/>
          <c:showPercent val="0"/>
          <c:showBubbleSize val="0"/>
        </c:dLbls>
        <c:gapWidth val="150"/>
        <c:shape val="box"/>
        <c:axId val="196883792"/>
        <c:axId val="196884184"/>
        <c:axId val="0"/>
      </c:bar3DChart>
      <c:catAx>
        <c:axId val="196883792"/>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84184"/>
        <c:crosses val="autoZero"/>
        <c:auto val="1"/>
        <c:lblAlgn val="ctr"/>
        <c:lblOffset val="100"/>
        <c:noMultiLvlLbl val="0"/>
      </c:catAx>
      <c:valAx>
        <c:axId val="196884184"/>
        <c:scaling>
          <c:orientation val="minMax"/>
        </c:scaling>
        <c:delete val="0"/>
        <c:axPos val="l"/>
        <c:numFmt formatCode="_(&quot;$&quot;* #,##0_);_(&quot;$&quot;* \(#,##0\);_(&quot;$&quot;* &quot;-&quot;??_);_(@_)" sourceLinked="1"/>
        <c:majorTickMark val="out"/>
        <c:minorTickMark val="none"/>
        <c:tickLblPos val="none"/>
        <c:spPr>
          <a:ln>
            <a:solidFill>
              <a:schemeClr val="accent3">
                <a:lumMod val="50000"/>
              </a:schemeClr>
            </a:solidFill>
          </a:ln>
        </c:spPr>
        <c:crossAx val="196883792"/>
        <c:crosses val="autoZero"/>
        <c:crossBetween val="between"/>
      </c:valAx>
    </c:plotArea>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tlGraphs!$E$219</c:f>
          <c:strCache>
            <c:ptCount val="1"/>
            <c:pt idx="0">
              <c:v>Hours Required</c:v>
            </c:pt>
          </c:strCache>
        </c:strRef>
      </c:tx>
      <c:overlay val="0"/>
      <c:txPr>
        <a:bodyPr/>
        <a:lstStyle/>
        <a:p>
          <a:pPr>
            <a:defRPr sz="1100" b="0"/>
          </a:pPr>
          <a:endParaRPr lang="en-US"/>
        </a:p>
      </c:txPr>
    </c:title>
    <c:autoTitleDeleted val="0"/>
    <c:view3D>
      <c:rotX val="15"/>
      <c:rotY val="20"/>
      <c:rAngAx val="1"/>
    </c:view3D>
    <c:floor>
      <c:thickness val="0"/>
    </c:floor>
    <c:sideWall>
      <c:thickness val="0"/>
    </c:sideWall>
    <c:backWall>
      <c:thickness val="0"/>
    </c:backWall>
    <c:plotArea>
      <c:layout>
        <c:manualLayout>
          <c:layoutTarget val="inner"/>
          <c:xMode val="edge"/>
          <c:yMode val="edge"/>
          <c:x val="3.188405069404298E-2"/>
          <c:y val="0.19404382064245912"/>
          <c:w val="0.93623189861191403"/>
          <c:h val="0.44575394316465616"/>
        </c:manualLayout>
      </c:layout>
      <c:bar3DChart>
        <c:barDir val="col"/>
        <c:grouping val="stacked"/>
        <c:varyColors val="0"/>
        <c:ser>
          <c:idx val="0"/>
          <c:order val="0"/>
          <c:tx>
            <c:strRef>
              <c:f>tlGraphs!$B$222</c:f>
              <c:strCache>
                <c:ptCount val="1"/>
                <c:pt idx="0">
                  <c:v>Onsite</c:v>
                </c:pt>
              </c:strCache>
            </c:strRef>
          </c:tx>
          <c:spPr>
            <a:gradFill>
              <a:gsLst>
                <a:gs pos="0">
                  <a:schemeClr val="accent3">
                    <a:lumMod val="50000"/>
                  </a:schemeClr>
                </a:gs>
                <a:gs pos="100000">
                  <a:schemeClr val="accent3"/>
                </a:gs>
              </a:gsLst>
              <a:lin ang="16200000" scaled="0"/>
            </a:gradFill>
          </c:spPr>
          <c:invertIfNegative val="0"/>
          <c:dPt>
            <c:idx val="0"/>
            <c:invertIfNegative val="0"/>
            <c:bubble3D val="0"/>
            <c:extLst>
              <c:ext xmlns:c16="http://schemas.microsoft.com/office/drawing/2014/chart" uri="{C3380CC4-5D6E-409C-BE32-E72D297353CC}">
                <c16:uniqueId val="{00000000-993C-4768-8DDA-954F3041B5F8}"/>
              </c:ext>
            </c:extLst>
          </c:dPt>
          <c:dPt>
            <c:idx val="1"/>
            <c:invertIfNegative val="0"/>
            <c:bubble3D val="0"/>
            <c:extLst>
              <c:ext xmlns:c16="http://schemas.microsoft.com/office/drawing/2014/chart" uri="{C3380CC4-5D6E-409C-BE32-E72D297353CC}">
                <c16:uniqueId val="{00000001-993C-4768-8DDA-954F3041B5F8}"/>
              </c:ext>
            </c:extLst>
          </c:dPt>
          <c:dPt>
            <c:idx val="2"/>
            <c:invertIfNegative val="0"/>
            <c:bubble3D val="0"/>
            <c:extLst>
              <c:ext xmlns:c16="http://schemas.microsoft.com/office/drawing/2014/chart" uri="{C3380CC4-5D6E-409C-BE32-E72D297353CC}">
                <c16:uniqueId val="{00000002-993C-4768-8DDA-954F3041B5F8}"/>
              </c:ext>
            </c:extLst>
          </c:dPt>
          <c:cat>
            <c:strRef>
              <c:f>tlGraphs!$C$221:$F$221</c:f>
              <c:strCache>
                <c:ptCount val="4"/>
                <c:pt idx="0">
                  <c:v> Director / EM </c:v>
                </c:pt>
                <c:pt idx="1">
                  <c:v> PM / Analyst </c:v>
                </c:pt>
                <c:pt idx="2">
                  <c:v> Technical </c:v>
                </c:pt>
                <c:pt idx="3">
                  <c:v> Offshore </c:v>
                </c:pt>
              </c:strCache>
            </c:strRef>
          </c:cat>
          <c:val>
            <c:numRef>
              <c:f>tlGraphs!$C$222:$F$222</c:f>
              <c:numCache>
                <c:formatCode>_(* #,##0_);_(* \(#,##0\);_(* "-"??_);_(@_)</c:formatCode>
                <c:ptCount val="4"/>
                <c:pt idx="0">
                  <c:v>880.00000000000011</c:v>
                </c:pt>
                <c:pt idx="1">
                  <c:v>1320.0000000000002</c:v>
                </c:pt>
                <c:pt idx="2">
                  <c:v>0</c:v>
                </c:pt>
                <c:pt idx="3">
                  <c:v>0</c:v>
                </c:pt>
              </c:numCache>
            </c:numRef>
          </c:val>
          <c:extLst>
            <c:ext xmlns:c16="http://schemas.microsoft.com/office/drawing/2014/chart" uri="{C3380CC4-5D6E-409C-BE32-E72D297353CC}">
              <c16:uniqueId val="{00000003-993C-4768-8DDA-954F3041B5F8}"/>
            </c:ext>
          </c:extLst>
        </c:ser>
        <c:ser>
          <c:idx val="1"/>
          <c:order val="1"/>
          <c:tx>
            <c:strRef>
              <c:f>tlGraphs!$B$223</c:f>
              <c:strCache>
                <c:ptCount val="1"/>
                <c:pt idx="0">
                  <c:v>Global Delivery Centers</c:v>
                </c:pt>
              </c:strCache>
            </c:strRef>
          </c:tx>
          <c:spPr>
            <a:gradFill>
              <a:gsLst>
                <a:gs pos="0">
                  <a:srgbClr val="246384"/>
                </a:gs>
                <a:gs pos="100000">
                  <a:srgbClr val="65B0CD"/>
                </a:gs>
              </a:gsLst>
              <a:lin ang="16200000" scaled="0"/>
            </a:gradFill>
          </c:spPr>
          <c:invertIfNegative val="0"/>
          <c:dLbls>
            <c:dLbl>
              <c:idx val="0"/>
              <c:layout>
                <c:manualLayout>
                  <c:x val="1.7391300378568897E-2"/>
                  <c:y val="-0.11737597069381633"/>
                </c:manualLayout>
              </c:layout>
              <c:tx>
                <c:strRef>
                  <c:f>tlGraphs!$C$225</c:f>
                  <c:strCache>
                    <c:ptCount val="1"/>
                    <c:pt idx="0">
                      <c:v> 880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{00B88FF8-2A8E-4CD4-8FBD-095622C44386}</c15:txfldGUID>
                      <c15:f>tlGraphs!$C$225</c15:f>
                      <c15:dlblFieldTableCache>
                        <c:ptCount val="1"/>
                        <c:pt idx="0">
                          <c:v> 880 </c:v>
                        </c:pt>
                      </c15:dlblFieldTableCache>
                    </c15:dlblFTEntry>
                  </c15:dlblFieldTable>
                  <c15:showDataLabelsRange val="0"/>
                </c:ext>
                <c:ext xmlns:c16="http://schemas.microsoft.com/office/drawing/2014/chart" uri="{C3380CC4-5D6E-409C-BE32-E72D297353CC}">
                  <c16:uniqueId val="{00000004-993C-4768-8DDA-954F3041B5F8}"/>
                </c:ext>
              </c:extLst>
            </c:dLbl>
            <c:dLbl>
              <c:idx val="1"/>
              <c:layout>
                <c:manualLayout>
                  <c:x val="1.7391300378568897E-2"/>
                  <c:y val="-0.11204069929864291"/>
                </c:manualLayout>
              </c:layout>
              <c:tx>
                <c:strRef>
                  <c:f>tlGraphs!$D$225</c:f>
                  <c:strCache>
                    <c:ptCount val="1"/>
                    <c:pt idx="0">
                      <c:v> 1,320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{1FAD17B3-2884-4494-8EAD-F784CE08EB4B}</c15:txfldGUID>
                      <c15:f>tlGraphs!$D$225</c15:f>
                      <c15:dlblFieldTableCache>
                        <c:ptCount val="1"/>
                        <c:pt idx="0">
                          <c:v> 1,320 </c:v>
                        </c:pt>
                      </c15:dlblFieldTableCache>
                    </c15:dlblFTEntry>
                  </c15:dlblFieldTable>
                  <c15:showDataLabelsRange val="0"/>
                </c:ext>
                <c:ext xmlns:c16="http://schemas.microsoft.com/office/drawing/2014/chart" uri="{C3380CC4-5D6E-409C-BE32-E72D297353CC}">
                  <c16:uniqueId val="{00000005-993C-4768-8DDA-954F3041B5F8}"/>
                </c:ext>
              </c:extLst>
            </c:dLbl>
            <c:dLbl>
              <c:idx val="2"/>
              <c:layout>
                <c:manualLayout>
                  <c:x val="1.1594200252379264E-2"/>
                  <c:y val="-0.1227112420889898"/>
                </c:manualLayout>
              </c:layout>
              <c:tx>
                <c:strRef>
                  <c:f>tlGraphs!$E$225</c:f>
                  <c:strCache>
                    <c:ptCount val="1"/>
                    <c:pt idx="0">
                      <c:v> -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{88D48194-A6F0-488F-A8E4-9F375A6495DF}</c15:txfldGUID>
                      <c15:f>tlGraphs!$E$225</c15:f>
                      <c15:dlblFieldTableCache>
                        <c:ptCount val="1"/>
                        <c:pt idx="0">
                          <c:v> -   </c:v>
                        </c:pt>
                      </c15:dlblFieldTableCache>
                    </c15:dlblFTEntry>
                  </c15:dlblFieldTable>
                  <c15:showDataLabelsRange val="0"/>
                </c:ext>
                <c:ext xmlns:c16="http://schemas.microsoft.com/office/drawing/2014/chart" uri="{C3380CC4-5D6E-409C-BE32-E72D297353CC}">
                  <c16:uniqueId val="{00000006-993C-4768-8DDA-954F3041B5F8}"/>
                </c:ext>
              </c:extLst>
            </c:dLbl>
            <c:dLbl>
              <c:idx val="3"/>
              <c:layout>
                <c:manualLayout>
                  <c:x val="1.7391300378568789E-2"/>
                  <c:y val="-8.0029070927602045E-2"/>
                </c:manualLayout>
              </c:layout>
              <c:tx>
                <c:strRef>
                  <c:f>tlGraphs!$F$225</c:f>
                  <c:strCache>
                    <c:ptCount val="1"/>
                    <c:pt idx="0">
                      <c:v> -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{1EAC8B1A-D11D-4FEE-9EC7-32B8D122884F}</c15:txfldGUID>
                      <c15:f>tlGraphs!$F$225</c15:f>
                      <c15:dlblFieldTableCache>
                        <c:ptCount val="1"/>
                        <c:pt idx="0">
                          <c:v> -   </c:v>
                        </c:pt>
                      </c15:dlblFieldTableCache>
                    </c15:dlblFTEntry>
                  </c15:dlblFieldTable>
                  <c15:showDataLabelsRange val="0"/>
                </c:ext>
                <c:ext xmlns:c16="http://schemas.microsoft.com/office/drawing/2014/chart" uri="{C3380CC4-5D6E-409C-BE32-E72D297353CC}">
                  <c16:uniqueId val="{00000007-993C-4768-8DDA-954F3041B5F8}"/>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tlGraphs!$C$221:$F$221</c:f>
              <c:strCache>
                <c:ptCount val="4"/>
                <c:pt idx="0">
                  <c:v> Director / EM </c:v>
                </c:pt>
                <c:pt idx="1">
                  <c:v> PM / Analyst </c:v>
                </c:pt>
                <c:pt idx="2">
                  <c:v> Technical </c:v>
                </c:pt>
                <c:pt idx="3">
                  <c:v> Offshore </c:v>
                </c:pt>
              </c:strCache>
            </c:strRef>
          </c:cat>
          <c:val>
            <c:numRef>
              <c:f>tlGraphs!$C$223:$F$223</c:f>
              <c:numCache>
                <c:formatCode>_(* #,##0_);_(* \(#,##0\);_(* "-"??_);_(@_)</c:formatCode>
                <c:ptCount val="4"/>
                <c:pt idx="0">
                  <c:v>0</c:v>
                </c:pt>
                <c:pt idx="1">
                  <c:v>0</c:v>
                </c:pt>
                <c:pt idx="2">
                  <c:v>0</c:v>
                </c:pt>
                <c:pt idx="3">
                  <c:v>0</c:v>
                </c:pt>
              </c:numCache>
            </c:numRef>
          </c:val>
          <c:extLst>
            <c:ext xmlns:c16="http://schemas.microsoft.com/office/drawing/2014/chart" uri="{C3380CC4-5D6E-409C-BE32-E72D297353CC}">
              <c16:uniqueId val="{00000008-993C-4768-8DDA-954F3041B5F8}"/>
            </c:ext>
          </c:extLst>
        </c:ser>
        <c:dLbls>
          <c:showLegendKey val="0"/>
          <c:showVal val="0"/>
          <c:showCatName val="0"/>
          <c:showSerName val="0"/>
          <c:showPercent val="0"/>
          <c:showBubbleSize val="0"/>
        </c:dLbls>
        <c:gapWidth val="150"/>
        <c:shape val="box"/>
        <c:axId val="196884968"/>
        <c:axId val="196885360"/>
        <c:axId val="0"/>
      </c:bar3DChart>
      <c:catAx>
        <c:axId val="196884968"/>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85360"/>
        <c:crosses val="autoZero"/>
        <c:auto val="1"/>
        <c:lblAlgn val="ctr"/>
        <c:lblOffset val="100"/>
        <c:noMultiLvlLbl val="0"/>
      </c:catAx>
      <c:valAx>
        <c:axId val="196885360"/>
        <c:scaling>
          <c:orientation val="minMax"/>
        </c:scaling>
        <c:delete val="0"/>
        <c:axPos val="l"/>
        <c:numFmt formatCode="_(* #,##0_);_(* \(#,##0\);_(* &quot;-&quot;??_);_(@_)" sourceLinked="1"/>
        <c:majorTickMark val="out"/>
        <c:minorTickMark val="none"/>
        <c:tickLblPos val="none"/>
        <c:spPr>
          <a:ln>
            <a:solidFill>
              <a:schemeClr val="accent3">
                <a:lumMod val="50000"/>
              </a:schemeClr>
            </a:solidFill>
          </a:ln>
        </c:spPr>
        <c:crossAx val="196884968"/>
        <c:crosses val="autoZero"/>
        <c:crossBetween val="between"/>
      </c:valAx>
    </c:plotArea>
    <c:legend>
      <c:legendPos val="b"/>
      <c:overlay val="0"/>
      <c:txPr>
        <a:bodyPr/>
        <a:lstStyle/>
        <a:p>
          <a:pPr>
            <a:defRPr sz="900"/>
          </a:pPr>
          <a:endParaRPr lang="en-US"/>
        </a:p>
      </c:txPr>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ED5D-41F6-BB27-12012BB6A09D}"/>
              </c:ext>
            </c:extLst>
          </c:dPt>
          <c:dPt>
            <c:idx val="1"/>
            <c:bubble3D val="0"/>
            <c:spPr>
              <a:solidFill>
                <a:srgbClr val="054680"/>
              </a:solidFill>
              <a:ln>
                <a:noFill/>
              </a:ln>
            </c:spPr>
            <c:extLst>
              <c:ext xmlns:c16="http://schemas.microsoft.com/office/drawing/2014/chart" uri="{C3380CC4-5D6E-409C-BE32-E72D297353CC}">
                <c16:uniqueId val="{00000003-ED5D-41F6-BB27-12012BB6A09D}"/>
              </c:ext>
            </c:extLst>
          </c:dPt>
          <c:dPt>
            <c:idx val="2"/>
            <c:bubble3D val="0"/>
            <c:spPr>
              <a:noFill/>
            </c:spPr>
            <c:extLst>
              <c:ext xmlns:c16="http://schemas.microsoft.com/office/drawing/2014/chart" uri="{C3380CC4-5D6E-409C-BE32-E72D297353CC}">
                <c16:uniqueId val="{00000005-ED5D-41F6-BB27-12012BB6A09D}"/>
              </c:ext>
            </c:extLst>
          </c:dPt>
          <c:dPt>
            <c:idx val="3"/>
            <c:bubble3D val="0"/>
            <c:spPr>
              <a:solidFill>
                <a:srgbClr val="CBE4EB"/>
              </a:solidFill>
              <a:ln>
                <a:noFill/>
              </a:ln>
            </c:spPr>
            <c:extLst>
              <c:ext xmlns:c16="http://schemas.microsoft.com/office/drawing/2014/chart" uri="{C3380CC4-5D6E-409C-BE32-E72D297353CC}">
                <c16:uniqueId val="{00000007-ED5D-41F6-BB27-12012BB6A09D}"/>
              </c:ext>
            </c:extLst>
          </c:dPt>
          <c:dPt>
            <c:idx val="4"/>
            <c:bubble3D val="0"/>
            <c:spPr>
              <a:solidFill>
                <a:srgbClr val="007AC5"/>
              </a:solidFill>
              <a:ln>
                <a:noFill/>
              </a:ln>
            </c:spPr>
            <c:extLst>
              <c:ext xmlns:c16="http://schemas.microsoft.com/office/drawing/2014/chart" uri="{C3380CC4-5D6E-409C-BE32-E72D297353CC}">
                <c16:uniqueId val="{00000009-ED5D-41F6-BB27-12012BB6A09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D5D-41F6-BB27-12012BB6A09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4D0-4D01-8718-883314316BB7}"/>
              </c:ext>
            </c:extLst>
          </c:dPt>
          <c:dPt>
            <c:idx val="1"/>
            <c:bubble3D val="0"/>
            <c:spPr>
              <a:solidFill>
                <a:schemeClr val="tx1"/>
              </a:solidFill>
              <a:ln>
                <a:noFill/>
              </a:ln>
            </c:spPr>
            <c:extLst>
              <c:ext xmlns:c16="http://schemas.microsoft.com/office/drawing/2014/chart" uri="{C3380CC4-5D6E-409C-BE32-E72D297353CC}">
                <c16:uniqueId val="{00000003-24D0-4D01-8718-883314316BB7}"/>
              </c:ext>
            </c:extLst>
          </c:dPt>
          <c:dPt>
            <c:idx val="2"/>
            <c:bubble3D val="0"/>
            <c:spPr>
              <a:noFill/>
            </c:spPr>
            <c:extLst>
              <c:ext xmlns:c16="http://schemas.microsoft.com/office/drawing/2014/chart" uri="{C3380CC4-5D6E-409C-BE32-E72D297353CC}">
                <c16:uniqueId val="{00000005-24D0-4D01-8718-883314316BB7}"/>
              </c:ext>
            </c:extLst>
          </c:dPt>
          <c:dPt>
            <c:idx val="3"/>
            <c:bubble3D val="0"/>
            <c:spPr>
              <a:noFill/>
            </c:spPr>
            <c:extLst>
              <c:ext xmlns:c16="http://schemas.microsoft.com/office/drawing/2014/chart" uri="{C3380CC4-5D6E-409C-BE32-E72D297353CC}">
                <c16:uniqueId val="{00000007-24D0-4D01-8718-883314316BB7}"/>
              </c:ext>
            </c:extLst>
          </c:dPt>
          <c:dPt>
            <c:idx val="4"/>
            <c:bubble3D val="0"/>
            <c:spPr>
              <a:solidFill>
                <a:schemeClr val="tx1"/>
              </a:solidFill>
              <a:ln>
                <a:noFill/>
              </a:ln>
            </c:spPr>
            <c:extLst>
              <c:ext xmlns:c16="http://schemas.microsoft.com/office/drawing/2014/chart" uri="{C3380CC4-5D6E-409C-BE32-E72D297353CC}">
                <c16:uniqueId val="{00000009-24D0-4D01-8718-883314316BB7}"/>
              </c:ext>
            </c:extLst>
          </c:dPt>
          <c:dPt>
            <c:idx val="5"/>
            <c:bubble3D val="0"/>
            <c:spPr>
              <a:noFill/>
            </c:spPr>
            <c:extLst>
              <c:ext xmlns:c16="http://schemas.microsoft.com/office/drawing/2014/chart" uri="{C3380CC4-5D6E-409C-BE32-E72D297353CC}">
                <c16:uniqueId val="{0000000B-24D0-4D01-8718-883314316BB7}"/>
              </c:ext>
            </c:extLst>
          </c:dPt>
          <c:dPt>
            <c:idx val="6"/>
            <c:bubble3D val="0"/>
            <c:spPr>
              <a:noFill/>
            </c:spPr>
            <c:extLst>
              <c:ext xmlns:c16="http://schemas.microsoft.com/office/drawing/2014/chart" uri="{C3380CC4-5D6E-409C-BE32-E72D297353CC}">
                <c16:uniqueId val="{0000000D-24D0-4D01-8718-883314316BB7}"/>
              </c:ext>
            </c:extLst>
          </c:dPt>
          <c:dPt>
            <c:idx val="7"/>
            <c:bubble3D val="0"/>
            <c:spPr>
              <a:solidFill>
                <a:schemeClr val="tx1"/>
              </a:solidFill>
              <a:ln>
                <a:noFill/>
              </a:ln>
            </c:spPr>
            <c:extLst>
              <c:ext xmlns:c16="http://schemas.microsoft.com/office/drawing/2014/chart" uri="{C3380CC4-5D6E-409C-BE32-E72D297353CC}">
                <c16:uniqueId val="{0000000F-24D0-4D01-8718-883314316BB7}"/>
              </c:ext>
            </c:extLst>
          </c:dPt>
          <c:dPt>
            <c:idx val="8"/>
            <c:bubble3D val="0"/>
            <c:spPr>
              <a:noFill/>
            </c:spPr>
            <c:extLst>
              <c:ext xmlns:c16="http://schemas.microsoft.com/office/drawing/2014/chart" uri="{C3380CC4-5D6E-409C-BE32-E72D297353CC}">
                <c16:uniqueId val="{00000011-24D0-4D01-8718-883314316BB7}"/>
              </c:ext>
            </c:extLst>
          </c:dPt>
          <c:dPt>
            <c:idx val="9"/>
            <c:bubble3D val="0"/>
            <c:spPr>
              <a:noFill/>
            </c:spPr>
            <c:extLst>
              <c:ext xmlns:c16="http://schemas.microsoft.com/office/drawing/2014/chart" uri="{C3380CC4-5D6E-409C-BE32-E72D297353CC}">
                <c16:uniqueId val="{00000013-24D0-4D01-8718-883314316BB7}"/>
              </c:ext>
            </c:extLst>
          </c:dPt>
          <c:dPt>
            <c:idx val="10"/>
            <c:bubble3D val="0"/>
            <c:spPr>
              <a:solidFill>
                <a:schemeClr val="tx1"/>
              </a:solidFill>
            </c:spPr>
            <c:extLst>
              <c:ext xmlns:c16="http://schemas.microsoft.com/office/drawing/2014/chart" uri="{C3380CC4-5D6E-409C-BE32-E72D297353CC}">
                <c16:uniqueId val="{00000015-24D0-4D01-8718-883314316BB7}"/>
              </c:ext>
            </c:extLst>
          </c:dPt>
          <c:dPt>
            <c:idx val="11"/>
            <c:bubble3D val="0"/>
            <c:spPr>
              <a:noFill/>
            </c:spPr>
            <c:extLst>
              <c:ext xmlns:c16="http://schemas.microsoft.com/office/drawing/2014/chart" uri="{C3380CC4-5D6E-409C-BE32-E72D297353CC}">
                <c16:uniqueId val="{00000017-24D0-4D01-8718-883314316BB7}"/>
              </c:ext>
            </c:extLst>
          </c:dPt>
          <c:dPt>
            <c:idx val="12"/>
            <c:bubble3D val="0"/>
            <c:spPr>
              <a:noFill/>
            </c:spPr>
            <c:extLst>
              <c:ext xmlns:c16="http://schemas.microsoft.com/office/drawing/2014/chart" uri="{C3380CC4-5D6E-409C-BE32-E72D297353CC}">
                <c16:uniqueId val="{00000019-24D0-4D01-8718-883314316BB7}"/>
              </c:ext>
            </c:extLst>
          </c:dPt>
          <c:dPt>
            <c:idx val="13"/>
            <c:bubble3D val="0"/>
            <c:spPr>
              <a:solidFill>
                <a:schemeClr val="tx1"/>
              </a:solidFill>
            </c:spPr>
            <c:extLst>
              <c:ext xmlns:c16="http://schemas.microsoft.com/office/drawing/2014/chart" uri="{C3380CC4-5D6E-409C-BE32-E72D297353CC}">
                <c16:uniqueId val="{0000001B-24D0-4D01-8718-883314316BB7}"/>
              </c:ext>
            </c:extLst>
          </c:dPt>
          <c:dPt>
            <c:idx val="14"/>
            <c:bubble3D val="0"/>
            <c:spPr>
              <a:noFill/>
            </c:spPr>
            <c:extLst>
              <c:ext xmlns:c16="http://schemas.microsoft.com/office/drawing/2014/chart" uri="{C3380CC4-5D6E-409C-BE32-E72D297353CC}">
                <c16:uniqueId val="{0000001D-24D0-4D01-8718-883314316BB7}"/>
              </c:ext>
            </c:extLst>
          </c:dPt>
          <c:dPt>
            <c:idx val="15"/>
            <c:bubble3D val="0"/>
            <c:spPr>
              <a:noFill/>
            </c:spPr>
            <c:extLst>
              <c:ext xmlns:c16="http://schemas.microsoft.com/office/drawing/2014/chart" uri="{C3380CC4-5D6E-409C-BE32-E72D297353CC}">
                <c16:uniqueId val="{0000001F-24D0-4D01-8718-883314316BB7}"/>
              </c:ext>
            </c:extLst>
          </c:dPt>
          <c:dPt>
            <c:idx val="16"/>
            <c:bubble3D val="0"/>
            <c:spPr>
              <a:solidFill>
                <a:schemeClr val="tx1"/>
              </a:solidFill>
            </c:spPr>
            <c:extLst>
              <c:ext xmlns:c16="http://schemas.microsoft.com/office/drawing/2014/chart" uri="{C3380CC4-5D6E-409C-BE32-E72D297353CC}">
                <c16:uniqueId val="{00000021-24D0-4D01-8718-883314316BB7}"/>
              </c:ext>
            </c:extLst>
          </c:dPt>
          <c:dPt>
            <c:idx val="17"/>
            <c:bubble3D val="0"/>
            <c:spPr>
              <a:noFill/>
            </c:spPr>
            <c:extLst>
              <c:ext xmlns:c16="http://schemas.microsoft.com/office/drawing/2014/chart" uri="{C3380CC4-5D6E-409C-BE32-E72D297353CC}">
                <c16:uniqueId val="{00000023-24D0-4D01-8718-883314316BB7}"/>
              </c:ext>
            </c:extLst>
          </c:dPt>
          <c:dPt>
            <c:idx val="18"/>
            <c:bubble3D val="0"/>
            <c:spPr>
              <a:noFill/>
            </c:spPr>
            <c:extLst>
              <c:ext xmlns:c16="http://schemas.microsoft.com/office/drawing/2014/chart" uri="{C3380CC4-5D6E-409C-BE32-E72D297353CC}">
                <c16:uniqueId val="{00000025-24D0-4D01-8718-883314316BB7}"/>
              </c:ext>
            </c:extLst>
          </c:dPt>
          <c:dPt>
            <c:idx val="19"/>
            <c:bubble3D val="0"/>
            <c:spPr>
              <a:solidFill>
                <a:schemeClr val="tx1"/>
              </a:solidFill>
            </c:spPr>
            <c:extLst>
              <c:ext xmlns:c16="http://schemas.microsoft.com/office/drawing/2014/chart" uri="{C3380CC4-5D6E-409C-BE32-E72D297353CC}">
                <c16:uniqueId val="{00000027-24D0-4D01-8718-883314316BB7}"/>
              </c:ext>
            </c:extLst>
          </c:dPt>
          <c:dPt>
            <c:idx val="20"/>
            <c:bubble3D val="0"/>
            <c:spPr>
              <a:noFill/>
            </c:spPr>
            <c:extLst>
              <c:ext xmlns:c16="http://schemas.microsoft.com/office/drawing/2014/chart" uri="{C3380CC4-5D6E-409C-BE32-E72D297353CC}">
                <c16:uniqueId val="{00000029-24D0-4D01-8718-883314316BB7}"/>
              </c:ext>
            </c:extLst>
          </c:dPt>
          <c:dPt>
            <c:idx val="21"/>
            <c:bubble3D val="0"/>
            <c:spPr>
              <a:noFill/>
            </c:spPr>
            <c:extLst>
              <c:ext xmlns:c16="http://schemas.microsoft.com/office/drawing/2014/chart" uri="{C3380CC4-5D6E-409C-BE32-E72D297353CC}">
                <c16:uniqueId val="{0000002B-24D0-4D01-8718-883314316BB7}"/>
              </c:ext>
            </c:extLst>
          </c:dPt>
          <c:dPt>
            <c:idx val="22"/>
            <c:bubble3D val="0"/>
            <c:spPr>
              <a:solidFill>
                <a:schemeClr val="tx1"/>
              </a:solidFill>
            </c:spPr>
            <c:extLst>
              <c:ext xmlns:c16="http://schemas.microsoft.com/office/drawing/2014/chart" uri="{C3380CC4-5D6E-409C-BE32-E72D297353CC}">
                <c16:uniqueId val="{0000002D-24D0-4D01-8718-883314316BB7}"/>
              </c:ext>
            </c:extLst>
          </c:dPt>
          <c:dPt>
            <c:idx val="23"/>
            <c:bubble3D val="0"/>
            <c:spPr>
              <a:noFill/>
            </c:spPr>
            <c:extLst>
              <c:ext xmlns:c16="http://schemas.microsoft.com/office/drawing/2014/chart" uri="{C3380CC4-5D6E-409C-BE32-E72D297353CC}">
                <c16:uniqueId val="{0000002F-24D0-4D01-8718-883314316BB7}"/>
              </c:ext>
            </c:extLst>
          </c:dPt>
          <c:dPt>
            <c:idx val="24"/>
            <c:bubble3D val="0"/>
            <c:spPr>
              <a:noFill/>
            </c:spPr>
            <c:extLst>
              <c:ext xmlns:c16="http://schemas.microsoft.com/office/drawing/2014/chart" uri="{C3380CC4-5D6E-409C-BE32-E72D297353CC}">
                <c16:uniqueId val="{00000031-24D0-4D01-8718-883314316BB7}"/>
              </c:ext>
            </c:extLst>
          </c:dPt>
          <c:dPt>
            <c:idx val="25"/>
            <c:bubble3D val="0"/>
            <c:spPr>
              <a:solidFill>
                <a:schemeClr val="tx1"/>
              </a:solidFill>
            </c:spPr>
            <c:extLst>
              <c:ext xmlns:c16="http://schemas.microsoft.com/office/drawing/2014/chart" uri="{C3380CC4-5D6E-409C-BE32-E72D297353CC}">
                <c16:uniqueId val="{00000033-24D0-4D01-8718-883314316BB7}"/>
              </c:ext>
            </c:extLst>
          </c:dPt>
          <c:dPt>
            <c:idx val="26"/>
            <c:bubble3D val="0"/>
            <c:spPr>
              <a:noFill/>
            </c:spPr>
            <c:extLst>
              <c:ext xmlns:c16="http://schemas.microsoft.com/office/drawing/2014/chart" uri="{C3380CC4-5D6E-409C-BE32-E72D297353CC}">
                <c16:uniqueId val="{00000035-24D0-4D01-8718-883314316BB7}"/>
              </c:ext>
            </c:extLst>
          </c:dPt>
          <c:dPt>
            <c:idx val="27"/>
            <c:bubble3D val="0"/>
            <c:spPr>
              <a:noFill/>
            </c:spPr>
            <c:extLst>
              <c:ext xmlns:c16="http://schemas.microsoft.com/office/drawing/2014/chart" uri="{C3380CC4-5D6E-409C-BE32-E72D297353CC}">
                <c16:uniqueId val="{00000037-24D0-4D01-8718-883314316BB7}"/>
              </c:ext>
            </c:extLst>
          </c:dPt>
          <c:dPt>
            <c:idx val="28"/>
            <c:bubble3D val="0"/>
            <c:spPr>
              <a:solidFill>
                <a:schemeClr val="tx1"/>
              </a:solidFill>
            </c:spPr>
            <c:extLst>
              <c:ext xmlns:c16="http://schemas.microsoft.com/office/drawing/2014/chart" uri="{C3380CC4-5D6E-409C-BE32-E72D297353CC}">
                <c16:uniqueId val="{00000039-24D0-4D01-8718-883314316BB7}"/>
              </c:ext>
            </c:extLst>
          </c:dPt>
          <c:dPt>
            <c:idx val="29"/>
            <c:bubble3D val="0"/>
            <c:spPr>
              <a:noFill/>
            </c:spPr>
            <c:extLst>
              <c:ext xmlns:c16="http://schemas.microsoft.com/office/drawing/2014/chart" uri="{C3380CC4-5D6E-409C-BE32-E72D297353CC}">
                <c16:uniqueId val="{0000003B-24D0-4D01-8718-883314316BB7}"/>
              </c:ext>
            </c:extLst>
          </c:dPt>
          <c:dPt>
            <c:idx val="30"/>
            <c:bubble3D val="0"/>
            <c:spPr>
              <a:noFill/>
            </c:spPr>
            <c:extLst>
              <c:ext xmlns:c16="http://schemas.microsoft.com/office/drawing/2014/chart" uri="{C3380CC4-5D6E-409C-BE32-E72D297353CC}">
                <c16:uniqueId val="{0000003D-24D0-4D01-8718-883314316BB7}"/>
              </c:ext>
            </c:extLst>
          </c:dPt>
          <c:dPt>
            <c:idx val="31"/>
            <c:bubble3D val="0"/>
            <c:spPr>
              <a:solidFill>
                <a:schemeClr val="tx1"/>
              </a:solidFill>
            </c:spPr>
            <c:extLst>
              <c:ext xmlns:c16="http://schemas.microsoft.com/office/drawing/2014/chart" uri="{C3380CC4-5D6E-409C-BE32-E72D297353CC}">
                <c16:uniqueId val="{0000003F-24D0-4D01-8718-883314316BB7}"/>
              </c:ext>
            </c:extLst>
          </c:dPt>
          <c:dPt>
            <c:idx val="32"/>
            <c:bubble3D val="0"/>
            <c:spPr>
              <a:noFill/>
            </c:spPr>
            <c:extLst>
              <c:ext xmlns:c16="http://schemas.microsoft.com/office/drawing/2014/chart" uri="{C3380CC4-5D6E-409C-BE32-E72D297353CC}">
                <c16:uniqueId val="{00000041-24D0-4D01-8718-883314316BB7}"/>
              </c:ext>
            </c:extLst>
          </c:dPt>
          <c:dPt>
            <c:idx val="33"/>
            <c:bubble3D val="0"/>
            <c:spPr>
              <a:noFill/>
            </c:spPr>
            <c:extLst>
              <c:ext xmlns:c16="http://schemas.microsoft.com/office/drawing/2014/chart" uri="{C3380CC4-5D6E-409C-BE32-E72D297353CC}">
                <c16:uniqueId val="{00000043-24D0-4D01-8718-883314316BB7}"/>
              </c:ext>
            </c:extLst>
          </c:dPt>
          <c:cat>
            <c:strRef>
              <c:f>tlGraphs!$M$112:$M$145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tlGraphs!$N$112:$N$145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4D0-4D01-8718-883314316BB7}"/>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8592-40C6-A962-5DFA9174D59C}"/>
              </c:ext>
            </c:extLst>
          </c:dPt>
          <c:dPt>
            <c:idx val="1"/>
            <c:bubble3D val="0"/>
            <c:spPr>
              <a:solidFill>
                <a:srgbClr val="054680"/>
              </a:solidFill>
              <a:ln>
                <a:noFill/>
              </a:ln>
            </c:spPr>
            <c:extLst>
              <c:ext xmlns:c16="http://schemas.microsoft.com/office/drawing/2014/chart" uri="{C3380CC4-5D6E-409C-BE32-E72D297353CC}">
                <c16:uniqueId val="{00000003-8592-40C6-A962-5DFA9174D59C}"/>
              </c:ext>
            </c:extLst>
          </c:dPt>
          <c:dPt>
            <c:idx val="2"/>
            <c:bubble3D val="0"/>
            <c:spPr>
              <a:noFill/>
            </c:spPr>
            <c:extLst>
              <c:ext xmlns:c16="http://schemas.microsoft.com/office/drawing/2014/chart" uri="{C3380CC4-5D6E-409C-BE32-E72D297353CC}">
                <c16:uniqueId val="{00000005-8592-40C6-A962-5DFA9174D59C}"/>
              </c:ext>
            </c:extLst>
          </c:dPt>
          <c:dPt>
            <c:idx val="3"/>
            <c:bubble3D val="0"/>
            <c:spPr>
              <a:solidFill>
                <a:srgbClr val="CBE4EB"/>
              </a:solidFill>
              <a:ln>
                <a:noFill/>
              </a:ln>
            </c:spPr>
            <c:extLst>
              <c:ext xmlns:c16="http://schemas.microsoft.com/office/drawing/2014/chart" uri="{C3380CC4-5D6E-409C-BE32-E72D297353CC}">
                <c16:uniqueId val="{00000007-8592-40C6-A962-5DFA9174D59C}"/>
              </c:ext>
            </c:extLst>
          </c:dPt>
          <c:dPt>
            <c:idx val="4"/>
            <c:bubble3D val="0"/>
            <c:spPr>
              <a:solidFill>
                <a:srgbClr val="007AC5"/>
              </a:solidFill>
              <a:ln>
                <a:noFill/>
              </a:ln>
            </c:spPr>
            <c:extLst>
              <c:ext xmlns:c16="http://schemas.microsoft.com/office/drawing/2014/chart" uri="{C3380CC4-5D6E-409C-BE32-E72D297353CC}">
                <c16:uniqueId val="{00000009-8592-40C6-A962-5DFA9174D59C}"/>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8592-40C6-A962-5DFA9174D59C}"/>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D23-4524-838C-2FF0C261D95A}"/>
              </c:ext>
            </c:extLst>
          </c:dPt>
          <c:dPt>
            <c:idx val="1"/>
            <c:bubble3D val="0"/>
            <c:spPr>
              <a:solidFill>
                <a:schemeClr val="tx1"/>
              </a:solidFill>
              <a:ln>
                <a:noFill/>
              </a:ln>
            </c:spPr>
            <c:extLst>
              <c:ext xmlns:c16="http://schemas.microsoft.com/office/drawing/2014/chart" uri="{C3380CC4-5D6E-409C-BE32-E72D297353CC}">
                <c16:uniqueId val="{00000003-AD23-4524-838C-2FF0C261D95A}"/>
              </c:ext>
            </c:extLst>
          </c:dPt>
          <c:dPt>
            <c:idx val="2"/>
            <c:bubble3D val="0"/>
            <c:spPr>
              <a:noFill/>
            </c:spPr>
            <c:extLst>
              <c:ext xmlns:c16="http://schemas.microsoft.com/office/drawing/2014/chart" uri="{C3380CC4-5D6E-409C-BE32-E72D297353CC}">
                <c16:uniqueId val="{00000005-AD23-4524-838C-2FF0C261D95A}"/>
              </c:ext>
            </c:extLst>
          </c:dPt>
          <c:dPt>
            <c:idx val="3"/>
            <c:bubble3D val="0"/>
            <c:spPr>
              <a:noFill/>
            </c:spPr>
            <c:extLst>
              <c:ext xmlns:c16="http://schemas.microsoft.com/office/drawing/2014/chart" uri="{C3380CC4-5D6E-409C-BE32-E72D297353CC}">
                <c16:uniqueId val="{00000007-AD23-4524-838C-2FF0C261D95A}"/>
              </c:ext>
            </c:extLst>
          </c:dPt>
          <c:dPt>
            <c:idx val="4"/>
            <c:bubble3D val="0"/>
            <c:spPr>
              <a:solidFill>
                <a:schemeClr val="tx1"/>
              </a:solidFill>
              <a:ln>
                <a:noFill/>
              </a:ln>
            </c:spPr>
            <c:extLst>
              <c:ext xmlns:c16="http://schemas.microsoft.com/office/drawing/2014/chart" uri="{C3380CC4-5D6E-409C-BE32-E72D297353CC}">
                <c16:uniqueId val="{00000009-AD23-4524-838C-2FF0C261D95A}"/>
              </c:ext>
            </c:extLst>
          </c:dPt>
          <c:dPt>
            <c:idx val="5"/>
            <c:bubble3D val="0"/>
            <c:spPr>
              <a:noFill/>
            </c:spPr>
            <c:extLst>
              <c:ext xmlns:c16="http://schemas.microsoft.com/office/drawing/2014/chart" uri="{C3380CC4-5D6E-409C-BE32-E72D297353CC}">
                <c16:uniqueId val="{0000000B-AD23-4524-838C-2FF0C261D95A}"/>
              </c:ext>
            </c:extLst>
          </c:dPt>
          <c:dPt>
            <c:idx val="6"/>
            <c:bubble3D val="0"/>
            <c:spPr>
              <a:noFill/>
            </c:spPr>
            <c:extLst>
              <c:ext xmlns:c16="http://schemas.microsoft.com/office/drawing/2014/chart" uri="{C3380CC4-5D6E-409C-BE32-E72D297353CC}">
                <c16:uniqueId val="{0000000D-AD23-4524-838C-2FF0C261D95A}"/>
              </c:ext>
            </c:extLst>
          </c:dPt>
          <c:dPt>
            <c:idx val="7"/>
            <c:bubble3D val="0"/>
            <c:spPr>
              <a:solidFill>
                <a:schemeClr val="tx1"/>
              </a:solidFill>
              <a:ln>
                <a:noFill/>
              </a:ln>
            </c:spPr>
            <c:extLst>
              <c:ext xmlns:c16="http://schemas.microsoft.com/office/drawing/2014/chart" uri="{C3380CC4-5D6E-409C-BE32-E72D297353CC}">
                <c16:uniqueId val="{0000000F-AD23-4524-838C-2FF0C261D95A}"/>
              </c:ext>
            </c:extLst>
          </c:dPt>
          <c:dPt>
            <c:idx val="8"/>
            <c:bubble3D val="0"/>
            <c:spPr>
              <a:noFill/>
            </c:spPr>
            <c:extLst>
              <c:ext xmlns:c16="http://schemas.microsoft.com/office/drawing/2014/chart" uri="{C3380CC4-5D6E-409C-BE32-E72D297353CC}">
                <c16:uniqueId val="{00000011-AD23-4524-838C-2FF0C261D95A}"/>
              </c:ext>
            </c:extLst>
          </c:dPt>
          <c:dPt>
            <c:idx val="9"/>
            <c:bubble3D val="0"/>
            <c:spPr>
              <a:noFill/>
            </c:spPr>
            <c:extLst>
              <c:ext xmlns:c16="http://schemas.microsoft.com/office/drawing/2014/chart" uri="{C3380CC4-5D6E-409C-BE32-E72D297353CC}">
                <c16:uniqueId val="{00000013-AD23-4524-838C-2FF0C261D95A}"/>
              </c:ext>
            </c:extLst>
          </c:dPt>
          <c:dPt>
            <c:idx val="10"/>
            <c:bubble3D val="0"/>
            <c:spPr>
              <a:solidFill>
                <a:schemeClr val="tx1"/>
              </a:solidFill>
            </c:spPr>
            <c:extLst>
              <c:ext xmlns:c16="http://schemas.microsoft.com/office/drawing/2014/chart" uri="{C3380CC4-5D6E-409C-BE32-E72D297353CC}">
                <c16:uniqueId val="{00000015-AD23-4524-838C-2FF0C261D95A}"/>
              </c:ext>
            </c:extLst>
          </c:dPt>
          <c:dPt>
            <c:idx val="11"/>
            <c:bubble3D val="0"/>
            <c:spPr>
              <a:noFill/>
            </c:spPr>
            <c:extLst>
              <c:ext xmlns:c16="http://schemas.microsoft.com/office/drawing/2014/chart" uri="{C3380CC4-5D6E-409C-BE32-E72D297353CC}">
                <c16:uniqueId val="{00000017-AD23-4524-838C-2FF0C261D95A}"/>
              </c:ext>
            </c:extLst>
          </c:dPt>
          <c:dPt>
            <c:idx val="12"/>
            <c:bubble3D val="0"/>
            <c:spPr>
              <a:noFill/>
            </c:spPr>
            <c:extLst>
              <c:ext xmlns:c16="http://schemas.microsoft.com/office/drawing/2014/chart" uri="{C3380CC4-5D6E-409C-BE32-E72D297353CC}">
                <c16:uniqueId val="{00000019-AD23-4524-838C-2FF0C261D95A}"/>
              </c:ext>
            </c:extLst>
          </c:dPt>
          <c:dPt>
            <c:idx val="13"/>
            <c:bubble3D val="0"/>
            <c:spPr>
              <a:solidFill>
                <a:schemeClr val="tx1"/>
              </a:solidFill>
            </c:spPr>
            <c:extLst>
              <c:ext xmlns:c16="http://schemas.microsoft.com/office/drawing/2014/chart" uri="{C3380CC4-5D6E-409C-BE32-E72D297353CC}">
                <c16:uniqueId val="{0000001B-AD23-4524-838C-2FF0C261D95A}"/>
              </c:ext>
            </c:extLst>
          </c:dPt>
          <c:dPt>
            <c:idx val="14"/>
            <c:bubble3D val="0"/>
            <c:spPr>
              <a:noFill/>
            </c:spPr>
            <c:extLst>
              <c:ext xmlns:c16="http://schemas.microsoft.com/office/drawing/2014/chart" uri="{C3380CC4-5D6E-409C-BE32-E72D297353CC}">
                <c16:uniqueId val="{0000001D-AD23-4524-838C-2FF0C261D95A}"/>
              </c:ext>
            </c:extLst>
          </c:dPt>
          <c:dPt>
            <c:idx val="15"/>
            <c:bubble3D val="0"/>
            <c:spPr>
              <a:noFill/>
            </c:spPr>
            <c:extLst>
              <c:ext xmlns:c16="http://schemas.microsoft.com/office/drawing/2014/chart" uri="{C3380CC4-5D6E-409C-BE32-E72D297353CC}">
                <c16:uniqueId val="{0000001F-AD23-4524-838C-2FF0C261D95A}"/>
              </c:ext>
            </c:extLst>
          </c:dPt>
          <c:dPt>
            <c:idx val="16"/>
            <c:bubble3D val="0"/>
            <c:spPr>
              <a:solidFill>
                <a:schemeClr val="tx1"/>
              </a:solidFill>
            </c:spPr>
            <c:extLst>
              <c:ext xmlns:c16="http://schemas.microsoft.com/office/drawing/2014/chart" uri="{C3380CC4-5D6E-409C-BE32-E72D297353CC}">
                <c16:uniqueId val="{00000021-AD23-4524-838C-2FF0C261D95A}"/>
              </c:ext>
            </c:extLst>
          </c:dPt>
          <c:dPt>
            <c:idx val="17"/>
            <c:bubble3D val="0"/>
            <c:spPr>
              <a:noFill/>
            </c:spPr>
            <c:extLst>
              <c:ext xmlns:c16="http://schemas.microsoft.com/office/drawing/2014/chart" uri="{C3380CC4-5D6E-409C-BE32-E72D297353CC}">
                <c16:uniqueId val="{00000023-AD23-4524-838C-2FF0C261D95A}"/>
              </c:ext>
            </c:extLst>
          </c:dPt>
          <c:dPt>
            <c:idx val="18"/>
            <c:bubble3D val="0"/>
            <c:spPr>
              <a:noFill/>
            </c:spPr>
            <c:extLst>
              <c:ext xmlns:c16="http://schemas.microsoft.com/office/drawing/2014/chart" uri="{C3380CC4-5D6E-409C-BE32-E72D297353CC}">
                <c16:uniqueId val="{00000025-AD23-4524-838C-2FF0C261D95A}"/>
              </c:ext>
            </c:extLst>
          </c:dPt>
          <c:dPt>
            <c:idx val="19"/>
            <c:bubble3D val="0"/>
            <c:spPr>
              <a:solidFill>
                <a:schemeClr val="tx1"/>
              </a:solidFill>
            </c:spPr>
            <c:extLst>
              <c:ext xmlns:c16="http://schemas.microsoft.com/office/drawing/2014/chart" uri="{C3380CC4-5D6E-409C-BE32-E72D297353CC}">
                <c16:uniqueId val="{00000027-AD23-4524-838C-2FF0C261D95A}"/>
              </c:ext>
            </c:extLst>
          </c:dPt>
          <c:dPt>
            <c:idx val="20"/>
            <c:bubble3D val="0"/>
            <c:spPr>
              <a:noFill/>
            </c:spPr>
            <c:extLst>
              <c:ext xmlns:c16="http://schemas.microsoft.com/office/drawing/2014/chart" uri="{C3380CC4-5D6E-409C-BE32-E72D297353CC}">
                <c16:uniqueId val="{00000029-AD23-4524-838C-2FF0C261D95A}"/>
              </c:ext>
            </c:extLst>
          </c:dPt>
          <c:dPt>
            <c:idx val="21"/>
            <c:bubble3D val="0"/>
            <c:spPr>
              <a:noFill/>
            </c:spPr>
            <c:extLst>
              <c:ext xmlns:c16="http://schemas.microsoft.com/office/drawing/2014/chart" uri="{C3380CC4-5D6E-409C-BE32-E72D297353CC}">
                <c16:uniqueId val="{0000002B-AD23-4524-838C-2FF0C261D95A}"/>
              </c:ext>
            </c:extLst>
          </c:dPt>
          <c:dPt>
            <c:idx val="22"/>
            <c:bubble3D val="0"/>
            <c:spPr>
              <a:solidFill>
                <a:schemeClr val="tx1"/>
              </a:solidFill>
            </c:spPr>
            <c:extLst>
              <c:ext xmlns:c16="http://schemas.microsoft.com/office/drawing/2014/chart" uri="{C3380CC4-5D6E-409C-BE32-E72D297353CC}">
                <c16:uniqueId val="{0000002D-AD23-4524-838C-2FF0C261D95A}"/>
              </c:ext>
            </c:extLst>
          </c:dPt>
          <c:dPt>
            <c:idx val="23"/>
            <c:bubble3D val="0"/>
            <c:spPr>
              <a:noFill/>
            </c:spPr>
            <c:extLst>
              <c:ext xmlns:c16="http://schemas.microsoft.com/office/drawing/2014/chart" uri="{C3380CC4-5D6E-409C-BE32-E72D297353CC}">
                <c16:uniqueId val="{0000002F-AD23-4524-838C-2FF0C261D95A}"/>
              </c:ext>
            </c:extLst>
          </c:dPt>
          <c:dPt>
            <c:idx val="24"/>
            <c:bubble3D val="0"/>
            <c:spPr>
              <a:noFill/>
            </c:spPr>
            <c:extLst>
              <c:ext xmlns:c16="http://schemas.microsoft.com/office/drawing/2014/chart" uri="{C3380CC4-5D6E-409C-BE32-E72D297353CC}">
                <c16:uniqueId val="{00000031-AD23-4524-838C-2FF0C261D95A}"/>
              </c:ext>
            </c:extLst>
          </c:dPt>
          <c:dPt>
            <c:idx val="25"/>
            <c:bubble3D val="0"/>
            <c:spPr>
              <a:solidFill>
                <a:schemeClr val="tx1"/>
              </a:solidFill>
            </c:spPr>
            <c:extLst>
              <c:ext xmlns:c16="http://schemas.microsoft.com/office/drawing/2014/chart" uri="{C3380CC4-5D6E-409C-BE32-E72D297353CC}">
                <c16:uniqueId val="{00000033-AD23-4524-838C-2FF0C261D95A}"/>
              </c:ext>
            </c:extLst>
          </c:dPt>
          <c:dPt>
            <c:idx val="26"/>
            <c:bubble3D val="0"/>
            <c:spPr>
              <a:noFill/>
            </c:spPr>
            <c:extLst>
              <c:ext xmlns:c16="http://schemas.microsoft.com/office/drawing/2014/chart" uri="{C3380CC4-5D6E-409C-BE32-E72D297353CC}">
                <c16:uniqueId val="{00000035-AD23-4524-838C-2FF0C261D95A}"/>
              </c:ext>
            </c:extLst>
          </c:dPt>
          <c:dPt>
            <c:idx val="27"/>
            <c:bubble3D val="0"/>
            <c:spPr>
              <a:noFill/>
            </c:spPr>
            <c:extLst>
              <c:ext xmlns:c16="http://schemas.microsoft.com/office/drawing/2014/chart" uri="{C3380CC4-5D6E-409C-BE32-E72D297353CC}">
                <c16:uniqueId val="{00000037-AD23-4524-838C-2FF0C261D95A}"/>
              </c:ext>
            </c:extLst>
          </c:dPt>
          <c:dPt>
            <c:idx val="28"/>
            <c:bubble3D val="0"/>
            <c:spPr>
              <a:solidFill>
                <a:schemeClr val="tx1"/>
              </a:solidFill>
            </c:spPr>
            <c:extLst>
              <c:ext xmlns:c16="http://schemas.microsoft.com/office/drawing/2014/chart" uri="{C3380CC4-5D6E-409C-BE32-E72D297353CC}">
                <c16:uniqueId val="{00000039-AD23-4524-838C-2FF0C261D95A}"/>
              </c:ext>
            </c:extLst>
          </c:dPt>
          <c:dPt>
            <c:idx val="29"/>
            <c:bubble3D val="0"/>
            <c:spPr>
              <a:noFill/>
            </c:spPr>
            <c:extLst>
              <c:ext xmlns:c16="http://schemas.microsoft.com/office/drawing/2014/chart" uri="{C3380CC4-5D6E-409C-BE32-E72D297353CC}">
                <c16:uniqueId val="{0000003B-AD23-4524-838C-2FF0C261D95A}"/>
              </c:ext>
            </c:extLst>
          </c:dPt>
          <c:dPt>
            <c:idx val="30"/>
            <c:bubble3D val="0"/>
            <c:spPr>
              <a:noFill/>
            </c:spPr>
            <c:extLst>
              <c:ext xmlns:c16="http://schemas.microsoft.com/office/drawing/2014/chart" uri="{C3380CC4-5D6E-409C-BE32-E72D297353CC}">
                <c16:uniqueId val="{0000003D-AD23-4524-838C-2FF0C261D95A}"/>
              </c:ext>
            </c:extLst>
          </c:dPt>
          <c:dPt>
            <c:idx val="31"/>
            <c:bubble3D val="0"/>
            <c:spPr>
              <a:solidFill>
                <a:schemeClr val="tx1"/>
              </a:solidFill>
            </c:spPr>
            <c:extLst>
              <c:ext xmlns:c16="http://schemas.microsoft.com/office/drawing/2014/chart" uri="{C3380CC4-5D6E-409C-BE32-E72D297353CC}">
                <c16:uniqueId val="{0000003F-AD23-4524-838C-2FF0C261D95A}"/>
              </c:ext>
            </c:extLst>
          </c:dPt>
          <c:dPt>
            <c:idx val="32"/>
            <c:bubble3D val="0"/>
            <c:spPr>
              <a:noFill/>
            </c:spPr>
            <c:extLst>
              <c:ext xmlns:c16="http://schemas.microsoft.com/office/drawing/2014/chart" uri="{C3380CC4-5D6E-409C-BE32-E72D297353CC}">
                <c16:uniqueId val="{00000041-AD23-4524-838C-2FF0C261D95A}"/>
              </c:ext>
            </c:extLst>
          </c:dPt>
          <c:dPt>
            <c:idx val="33"/>
            <c:bubble3D val="0"/>
            <c:spPr>
              <a:noFill/>
            </c:spPr>
            <c:extLst>
              <c:ext xmlns:c16="http://schemas.microsoft.com/office/drawing/2014/chart" uri="{C3380CC4-5D6E-409C-BE32-E72D297353CC}">
                <c16:uniqueId val="{00000043-AD23-4524-838C-2FF0C261D95A}"/>
              </c:ext>
            </c:extLst>
          </c:dPt>
          <c:cat>
            <c:strRef>
              <c:f>tlGraphs!$I$112:$I$145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tlGraphs!$J$112:$J$145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D23-4524-838C-2FF0C261D95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66BF-4B04-86B9-45B1F65C9D00}"/>
              </c:ext>
            </c:extLst>
          </c:dPt>
          <c:dPt>
            <c:idx val="1"/>
            <c:bubble3D val="0"/>
            <c:spPr>
              <a:solidFill>
                <a:srgbClr val="054680"/>
              </a:solidFill>
              <a:ln>
                <a:noFill/>
              </a:ln>
            </c:spPr>
            <c:extLst>
              <c:ext xmlns:c16="http://schemas.microsoft.com/office/drawing/2014/chart" uri="{C3380CC4-5D6E-409C-BE32-E72D297353CC}">
                <c16:uniqueId val="{00000003-66BF-4B04-86B9-45B1F65C9D00}"/>
              </c:ext>
            </c:extLst>
          </c:dPt>
          <c:dPt>
            <c:idx val="2"/>
            <c:bubble3D val="0"/>
            <c:spPr>
              <a:noFill/>
            </c:spPr>
            <c:extLst>
              <c:ext xmlns:c16="http://schemas.microsoft.com/office/drawing/2014/chart" uri="{C3380CC4-5D6E-409C-BE32-E72D297353CC}">
                <c16:uniqueId val="{00000005-66BF-4B04-86B9-45B1F65C9D00}"/>
              </c:ext>
            </c:extLst>
          </c:dPt>
          <c:dPt>
            <c:idx val="3"/>
            <c:bubble3D val="0"/>
            <c:spPr>
              <a:solidFill>
                <a:srgbClr val="CBE4EB"/>
              </a:solidFill>
              <a:ln>
                <a:noFill/>
              </a:ln>
            </c:spPr>
            <c:extLst>
              <c:ext xmlns:c16="http://schemas.microsoft.com/office/drawing/2014/chart" uri="{C3380CC4-5D6E-409C-BE32-E72D297353CC}">
                <c16:uniqueId val="{00000007-66BF-4B04-86B9-45B1F65C9D00}"/>
              </c:ext>
            </c:extLst>
          </c:dPt>
          <c:dPt>
            <c:idx val="4"/>
            <c:bubble3D val="0"/>
            <c:spPr>
              <a:solidFill>
                <a:srgbClr val="007AC5"/>
              </a:solidFill>
              <a:ln>
                <a:noFill/>
              </a:ln>
            </c:spPr>
            <c:extLst>
              <c:ext xmlns:c16="http://schemas.microsoft.com/office/drawing/2014/chart" uri="{C3380CC4-5D6E-409C-BE32-E72D297353CC}">
                <c16:uniqueId val="{00000009-66BF-4B04-86B9-45B1F65C9D0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6BF-4B04-86B9-45B1F65C9D0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CDA-4A58-AD68-0DE82358597C}"/>
              </c:ext>
            </c:extLst>
          </c:dPt>
          <c:dPt>
            <c:idx val="1"/>
            <c:bubble3D val="0"/>
            <c:spPr>
              <a:solidFill>
                <a:schemeClr val="tx1"/>
              </a:solidFill>
              <a:ln>
                <a:noFill/>
              </a:ln>
            </c:spPr>
            <c:extLst>
              <c:ext xmlns:c16="http://schemas.microsoft.com/office/drawing/2014/chart" uri="{C3380CC4-5D6E-409C-BE32-E72D297353CC}">
                <c16:uniqueId val="{00000003-7CDA-4A58-AD68-0DE82358597C}"/>
              </c:ext>
            </c:extLst>
          </c:dPt>
          <c:dPt>
            <c:idx val="2"/>
            <c:bubble3D val="0"/>
            <c:spPr>
              <a:noFill/>
            </c:spPr>
            <c:extLst>
              <c:ext xmlns:c16="http://schemas.microsoft.com/office/drawing/2014/chart" uri="{C3380CC4-5D6E-409C-BE32-E72D297353CC}">
                <c16:uniqueId val="{00000005-7CDA-4A58-AD68-0DE82358597C}"/>
              </c:ext>
            </c:extLst>
          </c:dPt>
          <c:dPt>
            <c:idx val="3"/>
            <c:bubble3D val="0"/>
            <c:spPr>
              <a:noFill/>
            </c:spPr>
            <c:extLst>
              <c:ext xmlns:c16="http://schemas.microsoft.com/office/drawing/2014/chart" uri="{C3380CC4-5D6E-409C-BE32-E72D297353CC}">
                <c16:uniqueId val="{00000007-7CDA-4A58-AD68-0DE82358597C}"/>
              </c:ext>
            </c:extLst>
          </c:dPt>
          <c:dPt>
            <c:idx val="4"/>
            <c:bubble3D val="0"/>
            <c:spPr>
              <a:solidFill>
                <a:schemeClr val="tx1"/>
              </a:solidFill>
              <a:ln>
                <a:noFill/>
              </a:ln>
            </c:spPr>
            <c:extLst>
              <c:ext xmlns:c16="http://schemas.microsoft.com/office/drawing/2014/chart" uri="{C3380CC4-5D6E-409C-BE32-E72D297353CC}">
                <c16:uniqueId val="{00000009-7CDA-4A58-AD68-0DE82358597C}"/>
              </c:ext>
            </c:extLst>
          </c:dPt>
          <c:dPt>
            <c:idx val="5"/>
            <c:bubble3D val="0"/>
            <c:spPr>
              <a:noFill/>
            </c:spPr>
            <c:extLst>
              <c:ext xmlns:c16="http://schemas.microsoft.com/office/drawing/2014/chart" uri="{C3380CC4-5D6E-409C-BE32-E72D297353CC}">
                <c16:uniqueId val="{0000000B-7CDA-4A58-AD68-0DE82358597C}"/>
              </c:ext>
            </c:extLst>
          </c:dPt>
          <c:dPt>
            <c:idx val="6"/>
            <c:bubble3D val="0"/>
            <c:spPr>
              <a:noFill/>
            </c:spPr>
            <c:extLst>
              <c:ext xmlns:c16="http://schemas.microsoft.com/office/drawing/2014/chart" uri="{C3380CC4-5D6E-409C-BE32-E72D297353CC}">
                <c16:uniqueId val="{0000000D-7CDA-4A58-AD68-0DE82358597C}"/>
              </c:ext>
            </c:extLst>
          </c:dPt>
          <c:dPt>
            <c:idx val="7"/>
            <c:bubble3D val="0"/>
            <c:spPr>
              <a:solidFill>
                <a:schemeClr val="tx1"/>
              </a:solidFill>
              <a:ln>
                <a:noFill/>
              </a:ln>
            </c:spPr>
            <c:extLst>
              <c:ext xmlns:c16="http://schemas.microsoft.com/office/drawing/2014/chart" uri="{C3380CC4-5D6E-409C-BE32-E72D297353CC}">
                <c16:uniqueId val="{0000000F-7CDA-4A58-AD68-0DE82358597C}"/>
              </c:ext>
            </c:extLst>
          </c:dPt>
          <c:dPt>
            <c:idx val="8"/>
            <c:bubble3D val="0"/>
            <c:spPr>
              <a:noFill/>
            </c:spPr>
            <c:extLst>
              <c:ext xmlns:c16="http://schemas.microsoft.com/office/drawing/2014/chart" uri="{C3380CC4-5D6E-409C-BE32-E72D297353CC}">
                <c16:uniqueId val="{00000011-7CDA-4A58-AD68-0DE82358597C}"/>
              </c:ext>
            </c:extLst>
          </c:dPt>
          <c:dPt>
            <c:idx val="9"/>
            <c:bubble3D val="0"/>
            <c:spPr>
              <a:noFill/>
            </c:spPr>
            <c:extLst>
              <c:ext xmlns:c16="http://schemas.microsoft.com/office/drawing/2014/chart" uri="{C3380CC4-5D6E-409C-BE32-E72D297353CC}">
                <c16:uniqueId val="{00000013-7CDA-4A58-AD68-0DE82358597C}"/>
              </c:ext>
            </c:extLst>
          </c:dPt>
          <c:dPt>
            <c:idx val="10"/>
            <c:bubble3D val="0"/>
            <c:spPr>
              <a:solidFill>
                <a:schemeClr val="tx1"/>
              </a:solidFill>
            </c:spPr>
            <c:extLst>
              <c:ext xmlns:c16="http://schemas.microsoft.com/office/drawing/2014/chart" uri="{C3380CC4-5D6E-409C-BE32-E72D297353CC}">
                <c16:uniqueId val="{00000015-7CDA-4A58-AD68-0DE82358597C}"/>
              </c:ext>
            </c:extLst>
          </c:dPt>
          <c:dPt>
            <c:idx val="11"/>
            <c:bubble3D val="0"/>
            <c:spPr>
              <a:noFill/>
            </c:spPr>
            <c:extLst>
              <c:ext xmlns:c16="http://schemas.microsoft.com/office/drawing/2014/chart" uri="{C3380CC4-5D6E-409C-BE32-E72D297353CC}">
                <c16:uniqueId val="{00000017-7CDA-4A58-AD68-0DE82358597C}"/>
              </c:ext>
            </c:extLst>
          </c:dPt>
          <c:dPt>
            <c:idx val="12"/>
            <c:bubble3D val="0"/>
            <c:spPr>
              <a:noFill/>
            </c:spPr>
            <c:extLst>
              <c:ext xmlns:c16="http://schemas.microsoft.com/office/drawing/2014/chart" uri="{C3380CC4-5D6E-409C-BE32-E72D297353CC}">
                <c16:uniqueId val="{00000019-7CDA-4A58-AD68-0DE82358597C}"/>
              </c:ext>
            </c:extLst>
          </c:dPt>
          <c:dPt>
            <c:idx val="13"/>
            <c:bubble3D val="0"/>
            <c:spPr>
              <a:solidFill>
                <a:schemeClr val="tx1"/>
              </a:solidFill>
            </c:spPr>
            <c:extLst>
              <c:ext xmlns:c16="http://schemas.microsoft.com/office/drawing/2014/chart" uri="{C3380CC4-5D6E-409C-BE32-E72D297353CC}">
                <c16:uniqueId val="{0000001B-7CDA-4A58-AD68-0DE82358597C}"/>
              </c:ext>
            </c:extLst>
          </c:dPt>
          <c:dPt>
            <c:idx val="14"/>
            <c:bubble3D val="0"/>
            <c:spPr>
              <a:noFill/>
            </c:spPr>
            <c:extLst>
              <c:ext xmlns:c16="http://schemas.microsoft.com/office/drawing/2014/chart" uri="{C3380CC4-5D6E-409C-BE32-E72D297353CC}">
                <c16:uniqueId val="{0000001D-7CDA-4A58-AD68-0DE82358597C}"/>
              </c:ext>
            </c:extLst>
          </c:dPt>
          <c:dPt>
            <c:idx val="15"/>
            <c:bubble3D val="0"/>
            <c:spPr>
              <a:noFill/>
            </c:spPr>
            <c:extLst>
              <c:ext xmlns:c16="http://schemas.microsoft.com/office/drawing/2014/chart" uri="{C3380CC4-5D6E-409C-BE32-E72D297353CC}">
                <c16:uniqueId val="{0000001F-7CDA-4A58-AD68-0DE82358597C}"/>
              </c:ext>
            </c:extLst>
          </c:dPt>
          <c:dPt>
            <c:idx val="16"/>
            <c:bubble3D val="0"/>
            <c:spPr>
              <a:solidFill>
                <a:schemeClr val="tx1"/>
              </a:solidFill>
            </c:spPr>
            <c:extLst>
              <c:ext xmlns:c16="http://schemas.microsoft.com/office/drawing/2014/chart" uri="{C3380CC4-5D6E-409C-BE32-E72D297353CC}">
                <c16:uniqueId val="{00000021-7CDA-4A58-AD68-0DE82358597C}"/>
              </c:ext>
            </c:extLst>
          </c:dPt>
          <c:dPt>
            <c:idx val="17"/>
            <c:bubble3D val="0"/>
            <c:spPr>
              <a:noFill/>
            </c:spPr>
            <c:extLst>
              <c:ext xmlns:c16="http://schemas.microsoft.com/office/drawing/2014/chart" uri="{C3380CC4-5D6E-409C-BE32-E72D297353CC}">
                <c16:uniqueId val="{00000023-7CDA-4A58-AD68-0DE82358597C}"/>
              </c:ext>
            </c:extLst>
          </c:dPt>
          <c:dPt>
            <c:idx val="18"/>
            <c:bubble3D val="0"/>
            <c:spPr>
              <a:noFill/>
            </c:spPr>
            <c:extLst>
              <c:ext xmlns:c16="http://schemas.microsoft.com/office/drawing/2014/chart" uri="{C3380CC4-5D6E-409C-BE32-E72D297353CC}">
                <c16:uniqueId val="{00000025-7CDA-4A58-AD68-0DE82358597C}"/>
              </c:ext>
            </c:extLst>
          </c:dPt>
          <c:dPt>
            <c:idx val="19"/>
            <c:bubble3D val="0"/>
            <c:spPr>
              <a:solidFill>
                <a:schemeClr val="tx1"/>
              </a:solidFill>
            </c:spPr>
            <c:extLst>
              <c:ext xmlns:c16="http://schemas.microsoft.com/office/drawing/2014/chart" uri="{C3380CC4-5D6E-409C-BE32-E72D297353CC}">
                <c16:uniqueId val="{00000027-7CDA-4A58-AD68-0DE82358597C}"/>
              </c:ext>
            </c:extLst>
          </c:dPt>
          <c:dPt>
            <c:idx val="20"/>
            <c:bubble3D val="0"/>
            <c:spPr>
              <a:noFill/>
            </c:spPr>
            <c:extLst>
              <c:ext xmlns:c16="http://schemas.microsoft.com/office/drawing/2014/chart" uri="{C3380CC4-5D6E-409C-BE32-E72D297353CC}">
                <c16:uniqueId val="{00000029-7CDA-4A58-AD68-0DE82358597C}"/>
              </c:ext>
            </c:extLst>
          </c:dPt>
          <c:dPt>
            <c:idx val="21"/>
            <c:bubble3D val="0"/>
            <c:spPr>
              <a:noFill/>
            </c:spPr>
            <c:extLst>
              <c:ext xmlns:c16="http://schemas.microsoft.com/office/drawing/2014/chart" uri="{C3380CC4-5D6E-409C-BE32-E72D297353CC}">
                <c16:uniqueId val="{0000002B-7CDA-4A58-AD68-0DE82358597C}"/>
              </c:ext>
            </c:extLst>
          </c:dPt>
          <c:dPt>
            <c:idx val="22"/>
            <c:bubble3D val="0"/>
            <c:spPr>
              <a:solidFill>
                <a:schemeClr val="tx1"/>
              </a:solidFill>
            </c:spPr>
            <c:extLst>
              <c:ext xmlns:c16="http://schemas.microsoft.com/office/drawing/2014/chart" uri="{C3380CC4-5D6E-409C-BE32-E72D297353CC}">
                <c16:uniqueId val="{0000002D-7CDA-4A58-AD68-0DE82358597C}"/>
              </c:ext>
            </c:extLst>
          </c:dPt>
          <c:dPt>
            <c:idx val="23"/>
            <c:bubble3D val="0"/>
            <c:spPr>
              <a:noFill/>
            </c:spPr>
            <c:extLst>
              <c:ext xmlns:c16="http://schemas.microsoft.com/office/drawing/2014/chart" uri="{C3380CC4-5D6E-409C-BE32-E72D297353CC}">
                <c16:uniqueId val="{0000002F-7CDA-4A58-AD68-0DE82358597C}"/>
              </c:ext>
            </c:extLst>
          </c:dPt>
          <c:dPt>
            <c:idx val="24"/>
            <c:bubble3D val="0"/>
            <c:spPr>
              <a:noFill/>
            </c:spPr>
            <c:extLst>
              <c:ext xmlns:c16="http://schemas.microsoft.com/office/drawing/2014/chart" uri="{C3380CC4-5D6E-409C-BE32-E72D297353CC}">
                <c16:uniqueId val="{00000031-7CDA-4A58-AD68-0DE82358597C}"/>
              </c:ext>
            </c:extLst>
          </c:dPt>
          <c:dPt>
            <c:idx val="25"/>
            <c:bubble3D val="0"/>
            <c:spPr>
              <a:solidFill>
                <a:schemeClr val="tx1"/>
              </a:solidFill>
            </c:spPr>
            <c:extLst>
              <c:ext xmlns:c16="http://schemas.microsoft.com/office/drawing/2014/chart" uri="{C3380CC4-5D6E-409C-BE32-E72D297353CC}">
                <c16:uniqueId val="{00000033-7CDA-4A58-AD68-0DE82358597C}"/>
              </c:ext>
            </c:extLst>
          </c:dPt>
          <c:dPt>
            <c:idx val="26"/>
            <c:bubble3D val="0"/>
            <c:spPr>
              <a:noFill/>
            </c:spPr>
            <c:extLst>
              <c:ext xmlns:c16="http://schemas.microsoft.com/office/drawing/2014/chart" uri="{C3380CC4-5D6E-409C-BE32-E72D297353CC}">
                <c16:uniqueId val="{00000035-7CDA-4A58-AD68-0DE82358597C}"/>
              </c:ext>
            </c:extLst>
          </c:dPt>
          <c:dPt>
            <c:idx val="27"/>
            <c:bubble3D val="0"/>
            <c:spPr>
              <a:noFill/>
            </c:spPr>
            <c:extLst>
              <c:ext xmlns:c16="http://schemas.microsoft.com/office/drawing/2014/chart" uri="{C3380CC4-5D6E-409C-BE32-E72D297353CC}">
                <c16:uniqueId val="{00000037-7CDA-4A58-AD68-0DE82358597C}"/>
              </c:ext>
            </c:extLst>
          </c:dPt>
          <c:dPt>
            <c:idx val="28"/>
            <c:bubble3D val="0"/>
            <c:spPr>
              <a:solidFill>
                <a:schemeClr val="tx1"/>
              </a:solidFill>
            </c:spPr>
            <c:extLst>
              <c:ext xmlns:c16="http://schemas.microsoft.com/office/drawing/2014/chart" uri="{C3380CC4-5D6E-409C-BE32-E72D297353CC}">
                <c16:uniqueId val="{00000039-7CDA-4A58-AD68-0DE82358597C}"/>
              </c:ext>
            </c:extLst>
          </c:dPt>
          <c:dPt>
            <c:idx val="29"/>
            <c:bubble3D val="0"/>
            <c:spPr>
              <a:noFill/>
            </c:spPr>
            <c:extLst>
              <c:ext xmlns:c16="http://schemas.microsoft.com/office/drawing/2014/chart" uri="{C3380CC4-5D6E-409C-BE32-E72D297353CC}">
                <c16:uniqueId val="{0000003B-7CDA-4A58-AD68-0DE82358597C}"/>
              </c:ext>
            </c:extLst>
          </c:dPt>
          <c:dPt>
            <c:idx val="30"/>
            <c:bubble3D val="0"/>
            <c:spPr>
              <a:noFill/>
            </c:spPr>
            <c:extLst>
              <c:ext xmlns:c16="http://schemas.microsoft.com/office/drawing/2014/chart" uri="{C3380CC4-5D6E-409C-BE32-E72D297353CC}">
                <c16:uniqueId val="{0000003D-7CDA-4A58-AD68-0DE82358597C}"/>
              </c:ext>
            </c:extLst>
          </c:dPt>
          <c:dPt>
            <c:idx val="31"/>
            <c:bubble3D val="0"/>
            <c:spPr>
              <a:solidFill>
                <a:schemeClr val="tx1"/>
              </a:solidFill>
            </c:spPr>
            <c:extLst>
              <c:ext xmlns:c16="http://schemas.microsoft.com/office/drawing/2014/chart" uri="{C3380CC4-5D6E-409C-BE32-E72D297353CC}">
                <c16:uniqueId val="{0000003F-7CDA-4A58-AD68-0DE82358597C}"/>
              </c:ext>
            </c:extLst>
          </c:dPt>
          <c:dPt>
            <c:idx val="32"/>
            <c:bubble3D val="0"/>
            <c:spPr>
              <a:noFill/>
            </c:spPr>
            <c:extLst>
              <c:ext xmlns:c16="http://schemas.microsoft.com/office/drawing/2014/chart" uri="{C3380CC4-5D6E-409C-BE32-E72D297353CC}">
                <c16:uniqueId val="{00000041-7CDA-4A58-AD68-0DE82358597C}"/>
              </c:ext>
            </c:extLst>
          </c:dPt>
          <c:dPt>
            <c:idx val="33"/>
            <c:bubble3D val="0"/>
            <c:spPr>
              <a:noFill/>
            </c:spPr>
            <c:extLst>
              <c:ext xmlns:c16="http://schemas.microsoft.com/office/drawing/2014/chart" uri="{C3380CC4-5D6E-409C-BE32-E72D297353CC}">
                <c16:uniqueId val="{00000043-7CDA-4A58-AD68-0DE82358597C}"/>
              </c:ext>
            </c:extLst>
          </c:dPt>
          <c:cat>
            <c:strRef>
              <c:f>tlGraphs!$E$112:$E$145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tlGraphs!$F$112:$F$145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CDA-4A58-AD68-0DE82358597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CA9D-40F6-BA67-94742B41853E}"/>
              </c:ext>
            </c:extLst>
          </c:dPt>
          <c:dPt>
            <c:idx val="1"/>
            <c:bubble3D val="0"/>
            <c:spPr>
              <a:solidFill>
                <a:srgbClr val="054680"/>
              </a:solidFill>
              <a:ln>
                <a:noFill/>
              </a:ln>
            </c:spPr>
            <c:extLst>
              <c:ext xmlns:c16="http://schemas.microsoft.com/office/drawing/2014/chart" uri="{C3380CC4-5D6E-409C-BE32-E72D297353CC}">
                <c16:uniqueId val="{00000003-CA9D-40F6-BA67-94742B41853E}"/>
              </c:ext>
            </c:extLst>
          </c:dPt>
          <c:dPt>
            <c:idx val="2"/>
            <c:bubble3D val="0"/>
            <c:spPr>
              <a:noFill/>
            </c:spPr>
            <c:extLst>
              <c:ext xmlns:c16="http://schemas.microsoft.com/office/drawing/2014/chart" uri="{C3380CC4-5D6E-409C-BE32-E72D297353CC}">
                <c16:uniqueId val="{00000005-CA9D-40F6-BA67-94742B41853E}"/>
              </c:ext>
            </c:extLst>
          </c:dPt>
          <c:dPt>
            <c:idx val="3"/>
            <c:bubble3D val="0"/>
            <c:spPr>
              <a:solidFill>
                <a:srgbClr val="CBE4EB"/>
              </a:solidFill>
              <a:ln>
                <a:noFill/>
              </a:ln>
            </c:spPr>
            <c:extLst>
              <c:ext xmlns:c16="http://schemas.microsoft.com/office/drawing/2014/chart" uri="{C3380CC4-5D6E-409C-BE32-E72D297353CC}">
                <c16:uniqueId val="{00000007-CA9D-40F6-BA67-94742B41853E}"/>
              </c:ext>
            </c:extLst>
          </c:dPt>
          <c:dPt>
            <c:idx val="4"/>
            <c:bubble3D val="0"/>
            <c:spPr>
              <a:solidFill>
                <a:srgbClr val="007AC5"/>
              </a:solidFill>
              <a:ln>
                <a:noFill/>
              </a:ln>
            </c:spPr>
            <c:extLst>
              <c:ext xmlns:c16="http://schemas.microsoft.com/office/drawing/2014/chart" uri="{C3380CC4-5D6E-409C-BE32-E72D297353CC}">
                <c16:uniqueId val="{00000009-CA9D-40F6-BA67-94742B41853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CA9D-40F6-BA67-94742B41853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A8B-4690-B0B2-9AA3EA22C7B4}"/>
              </c:ext>
            </c:extLst>
          </c:dPt>
          <c:dPt>
            <c:idx val="1"/>
            <c:bubble3D val="0"/>
            <c:spPr>
              <a:solidFill>
                <a:schemeClr val="tx1"/>
              </a:solidFill>
              <a:ln>
                <a:noFill/>
              </a:ln>
            </c:spPr>
            <c:extLst>
              <c:ext xmlns:c16="http://schemas.microsoft.com/office/drawing/2014/chart" uri="{C3380CC4-5D6E-409C-BE32-E72D297353CC}">
                <c16:uniqueId val="{00000003-2A8B-4690-B0B2-9AA3EA22C7B4}"/>
              </c:ext>
            </c:extLst>
          </c:dPt>
          <c:dPt>
            <c:idx val="2"/>
            <c:bubble3D val="0"/>
            <c:spPr>
              <a:noFill/>
            </c:spPr>
            <c:extLst>
              <c:ext xmlns:c16="http://schemas.microsoft.com/office/drawing/2014/chart" uri="{C3380CC4-5D6E-409C-BE32-E72D297353CC}">
                <c16:uniqueId val="{00000005-2A8B-4690-B0B2-9AA3EA22C7B4}"/>
              </c:ext>
            </c:extLst>
          </c:dPt>
          <c:dPt>
            <c:idx val="3"/>
            <c:bubble3D val="0"/>
            <c:spPr>
              <a:noFill/>
            </c:spPr>
            <c:extLst>
              <c:ext xmlns:c16="http://schemas.microsoft.com/office/drawing/2014/chart" uri="{C3380CC4-5D6E-409C-BE32-E72D297353CC}">
                <c16:uniqueId val="{00000007-2A8B-4690-B0B2-9AA3EA22C7B4}"/>
              </c:ext>
            </c:extLst>
          </c:dPt>
          <c:dPt>
            <c:idx val="4"/>
            <c:bubble3D val="0"/>
            <c:spPr>
              <a:solidFill>
                <a:schemeClr val="tx1"/>
              </a:solidFill>
              <a:ln>
                <a:noFill/>
              </a:ln>
            </c:spPr>
            <c:extLst>
              <c:ext xmlns:c16="http://schemas.microsoft.com/office/drawing/2014/chart" uri="{C3380CC4-5D6E-409C-BE32-E72D297353CC}">
                <c16:uniqueId val="{00000009-2A8B-4690-B0B2-9AA3EA22C7B4}"/>
              </c:ext>
            </c:extLst>
          </c:dPt>
          <c:dPt>
            <c:idx val="5"/>
            <c:bubble3D val="0"/>
            <c:spPr>
              <a:noFill/>
            </c:spPr>
            <c:extLst>
              <c:ext xmlns:c16="http://schemas.microsoft.com/office/drawing/2014/chart" uri="{C3380CC4-5D6E-409C-BE32-E72D297353CC}">
                <c16:uniqueId val="{0000000B-2A8B-4690-B0B2-9AA3EA22C7B4}"/>
              </c:ext>
            </c:extLst>
          </c:dPt>
          <c:dPt>
            <c:idx val="6"/>
            <c:bubble3D val="0"/>
            <c:spPr>
              <a:noFill/>
            </c:spPr>
            <c:extLst>
              <c:ext xmlns:c16="http://schemas.microsoft.com/office/drawing/2014/chart" uri="{C3380CC4-5D6E-409C-BE32-E72D297353CC}">
                <c16:uniqueId val="{0000000D-2A8B-4690-B0B2-9AA3EA22C7B4}"/>
              </c:ext>
            </c:extLst>
          </c:dPt>
          <c:dPt>
            <c:idx val="7"/>
            <c:bubble3D val="0"/>
            <c:spPr>
              <a:solidFill>
                <a:schemeClr val="tx1"/>
              </a:solidFill>
              <a:ln>
                <a:noFill/>
              </a:ln>
            </c:spPr>
            <c:extLst>
              <c:ext xmlns:c16="http://schemas.microsoft.com/office/drawing/2014/chart" uri="{C3380CC4-5D6E-409C-BE32-E72D297353CC}">
                <c16:uniqueId val="{0000000F-2A8B-4690-B0B2-9AA3EA22C7B4}"/>
              </c:ext>
            </c:extLst>
          </c:dPt>
          <c:dPt>
            <c:idx val="8"/>
            <c:bubble3D val="0"/>
            <c:spPr>
              <a:noFill/>
            </c:spPr>
            <c:extLst>
              <c:ext xmlns:c16="http://schemas.microsoft.com/office/drawing/2014/chart" uri="{C3380CC4-5D6E-409C-BE32-E72D297353CC}">
                <c16:uniqueId val="{00000011-2A8B-4690-B0B2-9AA3EA22C7B4}"/>
              </c:ext>
            </c:extLst>
          </c:dPt>
          <c:dPt>
            <c:idx val="9"/>
            <c:bubble3D val="0"/>
            <c:spPr>
              <a:noFill/>
            </c:spPr>
            <c:extLst>
              <c:ext xmlns:c16="http://schemas.microsoft.com/office/drawing/2014/chart" uri="{C3380CC4-5D6E-409C-BE32-E72D297353CC}">
                <c16:uniqueId val="{00000013-2A8B-4690-B0B2-9AA3EA22C7B4}"/>
              </c:ext>
            </c:extLst>
          </c:dPt>
          <c:dPt>
            <c:idx val="10"/>
            <c:bubble3D val="0"/>
            <c:spPr>
              <a:solidFill>
                <a:schemeClr val="tx1"/>
              </a:solidFill>
            </c:spPr>
            <c:extLst>
              <c:ext xmlns:c16="http://schemas.microsoft.com/office/drawing/2014/chart" uri="{C3380CC4-5D6E-409C-BE32-E72D297353CC}">
                <c16:uniqueId val="{00000015-2A8B-4690-B0B2-9AA3EA22C7B4}"/>
              </c:ext>
            </c:extLst>
          </c:dPt>
          <c:dPt>
            <c:idx val="11"/>
            <c:bubble3D val="0"/>
            <c:spPr>
              <a:noFill/>
            </c:spPr>
            <c:extLst>
              <c:ext xmlns:c16="http://schemas.microsoft.com/office/drawing/2014/chart" uri="{C3380CC4-5D6E-409C-BE32-E72D297353CC}">
                <c16:uniqueId val="{00000017-2A8B-4690-B0B2-9AA3EA22C7B4}"/>
              </c:ext>
            </c:extLst>
          </c:dPt>
          <c:dPt>
            <c:idx val="12"/>
            <c:bubble3D val="0"/>
            <c:spPr>
              <a:noFill/>
            </c:spPr>
            <c:extLst>
              <c:ext xmlns:c16="http://schemas.microsoft.com/office/drawing/2014/chart" uri="{C3380CC4-5D6E-409C-BE32-E72D297353CC}">
                <c16:uniqueId val="{00000019-2A8B-4690-B0B2-9AA3EA22C7B4}"/>
              </c:ext>
            </c:extLst>
          </c:dPt>
          <c:dPt>
            <c:idx val="13"/>
            <c:bubble3D val="0"/>
            <c:spPr>
              <a:solidFill>
                <a:schemeClr val="tx1"/>
              </a:solidFill>
            </c:spPr>
            <c:extLst>
              <c:ext xmlns:c16="http://schemas.microsoft.com/office/drawing/2014/chart" uri="{C3380CC4-5D6E-409C-BE32-E72D297353CC}">
                <c16:uniqueId val="{0000001B-2A8B-4690-B0B2-9AA3EA22C7B4}"/>
              </c:ext>
            </c:extLst>
          </c:dPt>
          <c:dPt>
            <c:idx val="14"/>
            <c:bubble3D val="0"/>
            <c:spPr>
              <a:noFill/>
            </c:spPr>
            <c:extLst>
              <c:ext xmlns:c16="http://schemas.microsoft.com/office/drawing/2014/chart" uri="{C3380CC4-5D6E-409C-BE32-E72D297353CC}">
                <c16:uniqueId val="{0000001D-2A8B-4690-B0B2-9AA3EA22C7B4}"/>
              </c:ext>
            </c:extLst>
          </c:dPt>
          <c:dPt>
            <c:idx val="15"/>
            <c:bubble3D val="0"/>
            <c:spPr>
              <a:noFill/>
            </c:spPr>
            <c:extLst>
              <c:ext xmlns:c16="http://schemas.microsoft.com/office/drawing/2014/chart" uri="{C3380CC4-5D6E-409C-BE32-E72D297353CC}">
                <c16:uniqueId val="{0000001F-2A8B-4690-B0B2-9AA3EA22C7B4}"/>
              </c:ext>
            </c:extLst>
          </c:dPt>
          <c:dPt>
            <c:idx val="16"/>
            <c:bubble3D val="0"/>
            <c:spPr>
              <a:solidFill>
                <a:schemeClr val="tx1"/>
              </a:solidFill>
            </c:spPr>
            <c:extLst>
              <c:ext xmlns:c16="http://schemas.microsoft.com/office/drawing/2014/chart" uri="{C3380CC4-5D6E-409C-BE32-E72D297353CC}">
                <c16:uniqueId val="{00000021-2A8B-4690-B0B2-9AA3EA22C7B4}"/>
              </c:ext>
            </c:extLst>
          </c:dPt>
          <c:dPt>
            <c:idx val="17"/>
            <c:bubble3D val="0"/>
            <c:spPr>
              <a:noFill/>
            </c:spPr>
            <c:extLst>
              <c:ext xmlns:c16="http://schemas.microsoft.com/office/drawing/2014/chart" uri="{C3380CC4-5D6E-409C-BE32-E72D297353CC}">
                <c16:uniqueId val="{00000023-2A8B-4690-B0B2-9AA3EA22C7B4}"/>
              </c:ext>
            </c:extLst>
          </c:dPt>
          <c:dPt>
            <c:idx val="18"/>
            <c:bubble3D val="0"/>
            <c:spPr>
              <a:noFill/>
            </c:spPr>
            <c:extLst>
              <c:ext xmlns:c16="http://schemas.microsoft.com/office/drawing/2014/chart" uri="{C3380CC4-5D6E-409C-BE32-E72D297353CC}">
                <c16:uniqueId val="{00000025-2A8B-4690-B0B2-9AA3EA22C7B4}"/>
              </c:ext>
            </c:extLst>
          </c:dPt>
          <c:dPt>
            <c:idx val="19"/>
            <c:bubble3D val="0"/>
            <c:spPr>
              <a:solidFill>
                <a:schemeClr val="tx1"/>
              </a:solidFill>
            </c:spPr>
            <c:extLst>
              <c:ext xmlns:c16="http://schemas.microsoft.com/office/drawing/2014/chart" uri="{C3380CC4-5D6E-409C-BE32-E72D297353CC}">
                <c16:uniqueId val="{00000027-2A8B-4690-B0B2-9AA3EA22C7B4}"/>
              </c:ext>
            </c:extLst>
          </c:dPt>
          <c:dPt>
            <c:idx val="20"/>
            <c:bubble3D val="0"/>
            <c:spPr>
              <a:noFill/>
            </c:spPr>
            <c:extLst>
              <c:ext xmlns:c16="http://schemas.microsoft.com/office/drawing/2014/chart" uri="{C3380CC4-5D6E-409C-BE32-E72D297353CC}">
                <c16:uniqueId val="{00000029-2A8B-4690-B0B2-9AA3EA22C7B4}"/>
              </c:ext>
            </c:extLst>
          </c:dPt>
          <c:dPt>
            <c:idx val="21"/>
            <c:bubble3D val="0"/>
            <c:spPr>
              <a:noFill/>
            </c:spPr>
            <c:extLst>
              <c:ext xmlns:c16="http://schemas.microsoft.com/office/drawing/2014/chart" uri="{C3380CC4-5D6E-409C-BE32-E72D297353CC}">
                <c16:uniqueId val="{0000002B-2A8B-4690-B0B2-9AA3EA22C7B4}"/>
              </c:ext>
            </c:extLst>
          </c:dPt>
          <c:dPt>
            <c:idx val="22"/>
            <c:bubble3D val="0"/>
            <c:spPr>
              <a:solidFill>
                <a:schemeClr val="tx1"/>
              </a:solidFill>
            </c:spPr>
            <c:extLst>
              <c:ext xmlns:c16="http://schemas.microsoft.com/office/drawing/2014/chart" uri="{C3380CC4-5D6E-409C-BE32-E72D297353CC}">
                <c16:uniqueId val="{0000002D-2A8B-4690-B0B2-9AA3EA22C7B4}"/>
              </c:ext>
            </c:extLst>
          </c:dPt>
          <c:dPt>
            <c:idx val="23"/>
            <c:bubble3D val="0"/>
            <c:spPr>
              <a:noFill/>
            </c:spPr>
            <c:extLst>
              <c:ext xmlns:c16="http://schemas.microsoft.com/office/drawing/2014/chart" uri="{C3380CC4-5D6E-409C-BE32-E72D297353CC}">
                <c16:uniqueId val="{0000002F-2A8B-4690-B0B2-9AA3EA22C7B4}"/>
              </c:ext>
            </c:extLst>
          </c:dPt>
          <c:dPt>
            <c:idx val="24"/>
            <c:bubble3D val="0"/>
            <c:spPr>
              <a:noFill/>
            </c:spPr>
            <c:extLst>
              <c:ext xmlns:c16="http://schemas.microsoft.com/office/drawing/2014/chart" uri="{C3380CC4-5D6E-409C-BE32-E72D297353CC}">
                <c16:uniqueId val="{00000031-2A8B-4690-B0B2-9AA3EA22C7B4}"/>
              </c:ext>
            </c:extLst>
          </c:dPt>
          <c:dPt>
            <c:idx val="25"/>
            <c:bubble3D val="0"/>
            <c:spPr>
              <a:solidFill>
                <a:schemeClr val="tx1"/>
              </a:solidFill>
            </c:spPr>
            <c:extLst>
              <c:ext xmlns:c16="http://schemas.microsoft.com/office/drawing/2014/chart" uri="{C3380CC4-5D6E-409C-BE32-E72D297353CC}">
                <c16:uniqueId val="{00000033-2A8B-4690-B0B2-9AA3EA22C7B4}"/>
              </c:ext>
            </c:extLst>
          </c:dPt>
          <c:dPt>
            <c:idx val="26"/>
            <c:bubble3D val="0"/>
            <c:spPr>
              <a:noFill/>
            </c:spPr>
            <c:extLst>
              <c:ext xmlns:c16="http://schemas.microsoft.com/office/drawing/2014/chart" uri="{C3380CC4-5D6E-409C-BE32-E72D297353CC}">
                <c16:uniqueId val="{00000035-2A8B-4690-B0B2-9AA3EA22C7B4}"/>
              </c:ext>
            </c:extLst>
          </c:dPt>
          <c:dPt>
            <c:idx val="27"/>
            <c:bubble3D val="0"/>
            <c:spPr>
              <a:noFill/>
            </c:spPr>
            <c:extLst>
              <c:ext xmlns:c16="http://schemas.microsoft.com/office/drawing/2014/chart" uri="{C3380CC4-5D6E-409C-BE32-E72D297353CC}">
                <c16:uniqueId val="{00000037-2A8B-4690-B0B2-9AA3EA22C7B4}"/>
              </c:ext>
            </c:extLst>
          </c:dPt>
          <c:dPt>
            <c:idx val="28"/>
            <c:bubble3D val="0"/>
            <c:spPr>
              <a:solidFill>
                <a:schemeClr val="tx1"/>
              </a:solidFill>
            </c:spPr>
            <c:extLst>
              <c:ext xmlns:c16="http://schemas.microsoft.com/office/drawing/2014/chart" uri="{C3380CC4-5D6E-409C-BE32-E72D297353CC}">
                <c16:uniqueId val="{00000039-2A8B-4690-B0B2-9AA3EA22C7B4}"/>
              </c:ext>
            </c:extLst>
          </c:dPt>
          <c:dPt>
            <c:idx val="29"/>
            <c:bubble3D val="0"/>
            <c:spPr>
              <a:noFill/>
            </c:spPr>
            <c:extLst>
              <c:ext xmlns:c16="http://schemas.microsoft.com/office/drawing/2014/chart" uri="{C3380CC4-5D6E-409C-BE32-E72D297353CC}">
                <c16:uniqueId val="{0000003B-2A8B-4690-B0B2-9AA3EA22C7B4}"/>
              </c:ext>
            </c:extLst>
          </c:dPt>
          <c:dPt>
            <c:idx val="30"/>
            <c:bubble3D val="0"/>
            <c:spPr>
              <a:noFill/>
            </c:spPr>
            <c:extLst>
              <c:ext xmlns:c16="http://schemas.microsoft.com/office/drawing/2014/chart" uri="{C3380CC4-5D6E-409C-BE32-E72D297353CC}">
                <c16:uniqueId val="{0000003D-2A8B-4690-B0B2-9AA3EA22C7B4}"/>
              </c:ext>
            </c:extLst>
          </c:dPt>
          <c:dPt>
            <c:idx val="31"/>
            <c:bubble3D val="0"/>
            <c:spPr>
              <a:solidFill>
                <a:schemeClr val="tx1"/>
              </a:solidFill>
            </c:spPr>
            <c:extLst>
              <c:ext xmlns:c16="http://schemas.microsoft.com/office/drawing/2014/chart" uri="{C3380CC4-5D6E-409C-BE32-E72D297353CC}">
                <c16:uniqueId val="{0000003F-2A8B-4690-B0B2-9AA3EA22C7B4}"/>
              </c:ext>
            </c:extLst>
          </c:dPt>
          <c:dPt>
            <c:idx val="32"/>
            <c:bubble3D val="0"/>
            <c:spPr>
              <a:noFill/>
            </c:spPr>
            <c:extLst>
              <c:ext xmlns:c16="http://schemas.microsoft.com/office/drawing/2014/chart" uri="{C3380CC4-5D6E-409C-BE32-E72D297353CC}">
                <c16:uniqueId val="{00000041-2A8B-4690-B0B2-9AA3EA22C7B4}"/>
              </c:ext>
            </c:extLst>
          </c:dPt>
          <c:dPt>
            <c:idx val="33"/>
            <c:bubble3D val="0"/>
            <c:spPr>
              <a:noFill/>
            </c:spPr>
            <c:extLst>
              <c:ext xmlns:c16="http://schemas.microsoft.com/office/drawing/2014/chart" uri="{C3380CC4-5D6E-409C-BE32-E72D297353CC}">
                <c16:uniqueId val="{00000043-2A8B-4690-B0B2-9AA3EA22C7B4}"/>
              </c:ext>
            </c:extLst>
          </c:dPt>
          <c:cat>
            <c:strRef>
              <c:f>tlGraphs!$Q$112:$Q$145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tlGraphs!$R$112:$R$145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A8B-4690-B0B2-9AA3EA22C7B4}"/>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08E7-4359-BA2C-6307AFF9D23E}"/>
              </c:ext>
            </c:extLst>
          </c:dPt>
          <c:dPt>
            <c:idx val="1"/>
            <c:bubble3D val="0"/>
            <c:spPr>
              <a:solidFill>
                <a:srgbClr val="054680"/>
              </a:solidFill>
              <a:ln>
                <a:noFill/>
              </a:ln>
            </c:spPr>
            <c:extLst>
              <c:ext xmlns:c16="http://schemas.microsoft.com/office/drawing/2014/chart" uri="{C3380CC4-5D6E-409C-BE32-E72D297353CC}">
                <c16:uniqueId val="{00000003-08E7-4359-BA2C-6307AFF9D23E}"/>
              </c:ext>
            </c:extLst>
          </c:dPt>
          <c:dPt>
            <c:idx val="2"/>
            <c:bubble3D val="0"/>
            <c:spPr>
              <a:noFill/>
            </c:spPr>
            <c:extLst>
              <c:ext xmlns:c16="http://schemas.microsoft.com/office/drawing/2014/chart" uri="{C3380CC4-5D6E-409C-BE32-E72D297353CC}">
                <c16:uniqueId val="{00000005-08E7-4359-BA2C-6307AFF9D23E}"/>
              </c:ext>
            </c:extLst>
          </c:dPt>
          <c:dPt>
            <c:idx val="3"/>
            <c:bubble3D val="0"/>
            <c:spPr>
              <a:solidFill>
                <a:srgbClr val="CBE4EB"/>
              </a:solidFill>
              <a:ln>
                <a:noFill/>
              </a:ln>
            </c:spPr>
            <c:extLst>
              <c:ext xmlns:c16="http://schemas.microsoft.com/office/drawing/2014/chart" uri="{C3380CC4-5D6E-409C-BE32-E72D297353CC}">
                <c16:uniqueId val="{00000007-08E7-4359-BA2C-6307AFF9D23E}"/>
              </c:ext>
            </c:extLst>
          </c:dPt>
          <c:dPt>
            <c:idx val="4"/>
            <c:bubble3D val="0"/>
            <c:spPr>
              <a:solidFill>
                <a:srgbClr val="007AC5"/>
              </a:solidFill>
              <a:ln>
                <a:noFill/>
              </a:ln>
            </c:spPr>
            <c:extLst>
              <c:ext xmlns:c16="http://schemas.microsoft.com/office/drawing/2014/chart" uri="{C3380CC4-5D6E-409C-BE32-E72D297353CC}">
                <c16:uniqueId val="{00000009-08E7-4359-BA2C-6307AFF9D23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8E7-4359-BA2C-6307AFF9D23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FBC-4B6E-A36F-2988FF99F68C}"/>
              </c:ext>
            </c:extLst>
          </c:dPt>
          <c:dPt>
            <c:idx val="1"/>
            <c:bubble3D val="0"/>
            <c:spPr>
              <a:solidFill>
                <a:schemeClr val="tx1"/>
              </a:solidFill>
              <a:ln>
                <a:noFill/>
              </a:ln>
            </c:spPr>
            <c:extLst>
              <c:ext xmlns:c16="http://schemas.microsoft.com/office/drawing/2014/chart" uri="{C3380CC4-5D6E-409C-BE32-E72D297353CC}">
                <c16:uniqueId val="{00000003-8FBC-4B6E-A36F-2988FF99F68C}"/>
              </c:ext>
            </c:extLst>
          </c:dPt>
          <c:dPt>
            <c:idx val="2"/>
            <c:bubble3D val="0"/>
            <c:spPr>
              <a:noFill/>
            </c:spPr>
            <c:extLst>
              <c:ext xmlns:c16="http://schemas.microsoft.com/office/drawing/2014/chart" uri="{C3380CC4-5D6E-409C-BE32-E72D297353CC}">
                <c16:uniqueId val="{00000005-8FBC-4B6E-A36F-2988FF99F68C}"/>
              </c:ext>
            </c:extLst>
          </c:dPt>
          <c:dPt>
            <c:idx val="3"/>
            <c:bubble3D val="0"/>
            <c:spPr>
              <a:noFill/>
            </c:spPr>
            <c:extLst>
              <c:ext xmlns:c16="http://schemas.microsoft.com/office/drawing/2014/chart" uri="{C3380CC4-5D6E-409C-BE32-E72D297353CC}">
                <c16:uniqueId val="{00000007-8FBC-4B6E-A36F-2988FF99F68C}"/>
              </c:ext>
            </c:extLst>
          </c:dPt>
          <c:dPt>
            <c:idx val="4"/>
            <c:bubble3D val="0"/>
            <c:spPr>
              <a:solidFill>
                <a:schemeClr val="tx1"/>
              </a:solidFill>
              <a:ln>
                <a:noFill/>
              </a:ln>
            </c:spPr>
            <c:extLst>
              <c:ext xmlns:c16="http://schemas.microsoft.com/office/drawing/2014/chart" uri="{C3380CC4-5D6E-409C-BE32-E72D297353CC}">
                <c16:uniqueId val="{00000009-8FBC-4B6E-A36F-2988FF99F68C}"/>
              </c:ext>
            </c:extLst>
          </c:dPt>
          <c:dPt>
            <c:idx val="5"/>
            <c:bubble3D val="0"/>
            <c:spPr>
              <a:noFill/>
            </c:spPr>
            <c:extLst>
              <c:ext xmlns:c16="http://schemas.microsoft.com/office/drawing/2014/chart" uri="{C3380CC4-5D6E-409C-BE32-E72D297353CC}">
                <c16:uniqueId val="{0000000B-8FBC-4B6E-A36F-2988FF99F68C}"/>
              </c:ext>
            </c:extLst>
          </c:dPt>
          <c:dPt>
            <c:idx val="6"/>
            <c:bubble3D val="0"/>
            <c:spPr>
              <a:noFill/>
            </c:spPr>
            <c:extLst>
              <c:ext xmlns:c16="http://schemas.microsoft.com/office/drawing/2014/chart" uri="{C3380CC4-5D6E-409C-BE32-E72D297353CC}">
                <c16:uniqueId val="{0000000D-8FBC-4B6E-A36F-2988FF99F68C}"/>
              </c:ext>
            </c:extLst>
          </c:dPt>
          <c:dPt>
            <c:idx val="7"/>
            <c:bubble3D val="0"/>
            <c:spPr>
              <a:solidFill>
                <a:schemeClr val="tx1"/>
              </a:solidFill>
              <a:ln>
                <a:noFill/>
              </a:ln>
            </c:spPr>
            <c:extLst>
              <c:ext xmlns:c16="http://schemas.microsoft.com/office/drawing/2014/chart" uri="{C3380CC4-5D6E-409C-BE32-E72D297353CC}">
                <c16:uniqueId val="{0000000F-8FBC-4B6E-A36F-2988FF99F68C}"/>
              </c:ext>
            </c:extLst>
          </c:dPt>
          <c:dPt>
            <c:idx val="8"/>
            <c:bubble3D val="0"/>
            <c:spPr>
              <a:noFill/>
            </c:spPr>
            <c:extLst>
              <c:ext xmlns:c16="http://schemas.microsoft.com/office/drawing/2014/chart" uri="{C3380CC4-5D6E-409C-BE32-E72D297353CC}">
                <c16:uniqueId val="{00000011-8FBC-4B6E-A36F-2988FF99F68C}"/>
              </c:ext>
            </c:extLst>
          </c:dPt>
          <c:dPt>
            <c:idx val="9"/>
            <c:bubble3D val="0"/>
            <c:spPr>
              <a:noFill/>
            </c:spPr>
            <c:extLst>
              <c:ext xmlns:c16="http://schemas.microsoft.com/office/drawing/2014/chart" uri="{C3380CC4-5D6E-409C-BE32-E72D297353CC}">
                <c16:uniqueId val="{00000013-8FBC-4B6E-A36F-2988FF99F68C}"/>
              </c:ext>
            </c:extLst>
          </c:dPt>
          <c:dPt>
            <c:idx val="10"/>
            <c:bubble3D val="0"/>
            <c:spPr>
              <a:solidFill>
                <a:schemeClr val="tx1"/>
              </a:solidFill>
            </c:spPr>
            <c:extLst>
              <c:ext xmlns:c16="http://schemas.microsoft.com/office/drawing/2014/chart" uri="{C3380CC4-5D6E-409C-BE32-E72D297353CC}">
                <c16:uniqueId val="{00000015-8FBC-4B6E-A36F-2988FF99F68C}"/>
              </c:ext>
            </c:extLst>
          </c:dPt>
          <c:dPt>
            <c:idx val="11"/>
            <c:bubble3D val="0"/>
            <c:spPr>
              <a:noFill/>
            </c:spPr>
            <c:extLst>
              <c:ext xmlns:c16="http://schemas.microsoft.com/office/drawing/2014/chart" uri="{C3380CC4-5D6E-409C-BE32-E72D297353CC}">
                <c16:uniqueId val="{00000017-8FBC-4B6E-A36F-2988FF99F68C}"/>
              </c:ext>
            </c:extLst>
          </c:dPt>
          <c:dPt>
            <c:idx val="12"/>
            <c:bubble3D val="0"/>
            <c:spPr>
              <a:noFill/>
            </c:spPr>
            <c:extLst>
              <c:ext xmlns:c16="http://schemas.microsoft.com/office/drawing/2014/chart" uri="{C3380CC4-5D6E-409C-BE32-E72D297353CC}">
                <c16:uniqueId val="{00000019-8FBC-4B6E-A36F-2988FF99F68C}"/>
              </c:ext>
            </c:extLst>
          </c:dPt>
          <c:dPt>
            <c:idx val="13"/>
            <c:bubble3D val="0"/>
            <c:spPr>
              <a:solidFill>
                <a:schemeClr val="tx1"/>
              </a:solidFill>
            </c:spPr>
            <c:extLst>
              <c:ext xmlns:c16="http://schemas.microsoft.com/office/drawing/2014/chart" uri="{C3380CC4-5D6E-409C-BE32-E72D297353CC}">
                <c16:uniqueId val="{0000001B-8FBC-4B6E-A36F-2988FF99F68C}"/>
              </c:ext>
            </c:extLst>
          </c:dPt>
          <c:dPt>
            <c:idx val="14"/>
            <c:bubble3D val="0"/>
            <c:spPr>
              <a:noFill/>
            </c:spPr>
            <c:extLst>
              <c:ext xmlns:c16="http://schemas.microsoft.com/office/drawing/2014/chart" uri="{C3380CC4-5D6E-409C-BE32-E72D297353CC}">
                <c16:uniqueId val="{0000001D-8FBC-4B6E-A36F-2988FF99F68C}"/>
              </c:ext>
            </c:extLst>
          </c:dPt>
          <c:dPt>
            <c:idx val="15"/>
            <c:bubble3D val="0"/>
            <c:spPr>
              <a:noFill/>
            </c:spPr>
            <c:extLst>
              <c:ext xmlns:c16="http://schemas.microsoft.com/office/drawing/2014/chart" uri="{C3380CC4-5D6E-409C-BE32-E72D297353CC}">
                <c16:uniqueId val="{0000001F-8FBC-4B6E-A36F-2988FF99F68C}"/>
              </c:ext>
            </c:extLst>
          </c:dPt>
          <c:dPt>
            <c:idx val="16"/>
            <c:bubble3D val="0"/>
            <c:spPr>
              <a:solidFill>
                <a:schemeClr val="tx1"/>
              </a:solidFill>
            </c:spPr>
            <c:extLst>
              <c:ext xmlns:c16="http://schemas.microsoft.com/office/drawing/2014/chart" uri="{C3380CC4-5D6E-409C-BE32-E72D297353CC}">
                <c16:uniqueId val="{00000021-8FBC-4B6E-A36F-2988FF99F68C}"/>
              </c:ext>
            </c:extLst>
          </c:dPt>
          <c:dPt>
            <c:idx val="17"/>
            <c:bubble3D val="0"/>
            <c:spPr>
              <a:noFill/>
            </c:spPr>
            <c:extLst>
              <c:ext xmlns:c16="http://schemas.microsoft.com/office/drawing/2014/chart" uri="{C3380CC4-5D6E-409C-BE32-E72D297353CC}">
                <c16:uniqueId val="{00000023-8FBC-4B6E-A36F-2988FF99F68C}"/>
              </c:ext>
            </c:extLst>
          </c:dPt>
          <c:dPt>
            <c:idx val="18"/>
            <c:bubble3D val="0"/>
            <c:spPr>
              <a:noFill/>
            </c:spPr>
            <c:extLst>
              <c:ext xmlns:c16="http://schemas.microsoft.com/office/drawing/2014/chart" uri="{C3380CC4-5D6E-409C-BE32-E72D297353CC}">
                <c16:uniqueId val="{00000025-8FBC-4B6E-A36F-2988FF99F68C}"/>
              </c:ext>
            </c:extLst>
          </c:dPt>
          <c:dPt>
            <c:idx val="19"/>
            <c:bubble3D val="0"/>
            <c:spPr>
              <a:solidFill>
                <a:schemeClr val="tx1"/>
              </a:solidFill>
            </c:spPr>
            <c:extLst>
              <c:ext xmlns:c16="http://schemas.microsoft.com/office/drawing/2014/chart" uri="{C3380CC4-5D6E-409C-BE32-E72D297353CC}">
                <c16:uniqueId val="{00000027-8FBC-4B6E-A36F-2988FF99F68C}"/>
              </c:ext>
            </c:extLst>
          </c:dPt>
          <c:dPt>
            <c:idx val="20"/>
            <c:bubble3D val="0"/>
            <c:spPr>
              <a:noFill/>
            </c:spPr>
            <c:extLst>
              <c:ext xmlns:c16="http://schemas.microsoft.com/office/drawing/2014/chart" uri="{C3380CC4-5D6E-409C-BE32-E72D297353CC}">
                <c16:uniqueId val="{00000029-8FBC-4B6E-A36F-2988FF99F68C}"/>
              </c:ext>
            </c:extLst>
          </c:dPt>
          <c:dPt>
            <c:idx val="21"/>
            <c:bubble3D val="0"/>
            <c:spPr>
              <a:noFill/>
            </c:spPr>
            <c:extLst>
              <c:ext xmlns:c16="http://schemas.microsoft.com/office/drawing/2014/chart" uri="{C3380CC4-5D6E-409C-BE32-E72D297353CC}">
                <c16:uniqueId val="{0000002B-8FBC-4B6E-A36F-2988FF99F68C}"/>
              </c:ext>
            </c:extLst>
          </c:dPt>
          <c:dPt>
            <c:idx val="22"/>
            <c:bubble3D val="0"/>
            <c:spPr>
              <a:solidFill>
                <a:schemeClr val="tx1"/>
              </a:solidFill>
            </c:spPr>
            <c:extLst>
              <c:ext xmlns:c16="http://schemas.microsoft.com/office/drawing/2014/chart" uri="{C3380CC4-5D6E-409C-BE32-E72D297353CC}">
                <c16:uniqueId val="{0000002D-8FBC-4B6E-A36F-2988FF99F68C}"/>
              </c:ext>
            </c:extLst>
          </c:dPt>
          <c:dPt>
            <c:idx val="23"/>
            <c:bubble3D val="0"/>
            <c:spPr>
              <a:noFill/>
            </c:spPr>
            <c:extLst>
              <c:ext xmlns:c16="http://schemas.microsoft.com/office/drawing/2014/chart" uri="{C3380CC4-5D6E-409C-BE32-E72D297353CC}">
                <c16:uniqueId val="{0000002F-8FBC-4B6E-A36F-2988FF99F68C}"/>
              </c:ext>
            </c:extLst>
          </c:dPt>
          <c:dPt>
            <c:idx val="24"/>
            <c:bubble3D val="0"/>
            <c:spPr>
              <a:noFill/>
            </c:spPr>
            <c:extLst>
              <c:ext xmlns:c16="http://schemas.microsoft.com/office/drawing/2014/chart" uri="{C3380CC4-5D6E-409C-BE32-E72D297353CC}">
                <c16:uniqueId val="{00000031-8FBC-4B6E-A36F-2988FF99F68C}"/>
              </c:ext>
            </c:extLst>
          </c:dPt>
          <c:dPt>
            <c:idx val="25"/>
            <c:bubble3D val="0"/>
            <c:spPr>
              <a:solidFill>
                <a:schemeClr val="tx1"/>
              </a:solidFill>
            </c:spPr>
            <c:extLst>
              <c:ext xmlns:c16="http://schemas.microsoft.com/office/drawing/2014/chart" uri="{C3380CC4-5D6E-409C-BE32-E72D297353CC}">
                <c16:uniqueId val="{00000033-8FBC-4B6E-A36F-2988FF99F68C}"/>
              </c:ext>
            </c:extLst>
          </c:dPt>
          <c:dPt>
            <c:idx val="26"/>
            <c:bubble3D val="0"/>
            <c:spPr>
              <a:noFill/>
            </c:spPr>
            <c:extLst>
              <c:ext xmlns:c16="http://schemas.microsoft.com/office/drawing/2014/chart" uri="{C3380CC4-5D6E-409C-BE32-E72D297353CC}">
                <c16:uniqueId val="{00000035-8FBC-4B6E-A36F-2988FF99F68C}"/>
              </c:ext>
            </c:extLst>
          </c:dPt>
          <c:dPt>
            <c:idx val="27"/>
            <c:bubble3D val="0"/>
            <c:spPr>
              <a:noFill/>
            </c:spPr>
            <c:extLst>
              <c:ext xmlns:c16="http://schemas.microsoft.com/office/drawing/2014/chart" uri="{C3380CC4-5D6E-409C-BE32-E72D297353CC}">
                <c16:uniqueId val="{00000037-8FBC-4B6E-A36F-2988FF99F68C}"/>
              </c:ext>
            </c:extLst>
          </c:dPt>
          <c:dPt>
            <c:idx val="28"/>
            <c:bubble3D val="0"/>
            <c:spPr>
              <a:solidFill>
                <a:schemeClr val="tx1"/>
              </a:solidFill>
            </c:spPr>
            <c:extLst>
              <c:ext xmlns:c16="http://schemas.microsoft.com/office/drawing/2014/chart" uri="{C3380CC4-5D6E-409C-BE32-E72D297353CC}">
                <c16:uniqueId val="{00000039-8FBC-4B6E-A36F-2988FF99F68C}"/>
              </c:ext>
            </c:extLst>
          </c:dPt>
          <c:dPt>
            <c:idx val="29"/>
            <c:bubble3D val="0"/>
            <c:spPr>
              <a:noFill/>
            </c:spPr>
            <c:extLst>
              <c:ext xmlns:c16="http://schemas.microsoft.com/office/drawing/2014/chart" uri="{C3380CC4-5D6E-409C-BE32-E72D297353CC}">
                <c16:uniqueId val="{0000003B-8FBC-4B6E-A36F-2988FF99F68C}"/>
              </c:ext>
            </c:extLst>
          </c:dPt>
          <c:dPt>
            <c:idx val="30"/>
            <c:bubble3D val="0"/>
            <c:spPr>
              <a:noFill/>
            </c:spPr>
            <c:extLst>
              <c:ext xmlns:c16="http://schemas.microsoft.com/office/drawing/2014/chart" uri="{C3380CC4-5D6E-409C-BE32-E72D297353CC}">
                <c16:uniqueId val="{0000003D-8FBC-4B6E-A36F-2988FF99F68C}"/>
              </c:ext>
            </c:extLst>
          </c:dPt>
          <c:dPt>
            <c:idx val="31"/>
            <c:bubble3D val="0"/>
            <c:spPr>
              <a:solidFill>
                <a:schemeClr val="tx1"/>
              </a:solidFill>
            </c:spPr>
            <c:extLst>
              <c:ext xmlns:c16="http://schemas.microsoft.com/office/drawing/2014/chart" uri="{C3380CC4-5D6E-409C-BE32-E72D297353CC}">
                <c16:uniqueId val="{0000003F-8FBC-4B6E-A36F-2988FF99F68C}"/>
              </c:ext>
            </c:extLst>
          </c:dPt>
          <c:dPt>
            <c:idx val="32"/>
            <c:bubble3D val="0"/>
            <c:spPr>
              <a:noFill/>
            </c:spPr>
            <c:extLst>
              <c:ext xmlns:c16="http://schemas.microsoft.com/office/drawing/2014/chart" uri="{C3380CC4-5D6E-409C-BE32-E72D297353CC}">
                <c16:uniqueId val="{00000041-8FBC-4B6E-A36F-2988FF99F68C}"/>
              </c:ext>
            </c:extLst>
          </c:dPt>
          <c:dPt>
            <c:idx val="33"/>
            <c:bubble3D val="0"/>
            <c:spPr>
              <a:noFill/>
            </c:spPr>
            <c:extLst>
              <c:ext xmlns:c16="http://schemas.microsoft.com/office/drawing/2014/chart" uri="{C3380CC4-5D6E-409C-BE32-E72D297353CC}">
                <c16:uniqueId val="{00000043-8FBC-4B6E-A36F-2988FF99F68C}"/>
              </c:ext>
            </c:extLst>
          </c:dPt>
          <c:cat>
            <c:strRef>
              <c:f>tlGraphs!$E$159:$E$192</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tlGraphs!$F$159:$F$192</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FBC-4B6E-A36F-2988FF99F68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tlGraphs!$B$338</c:f>
              <c:strCache>
                <c:ptCount val="1"/>
                <c:pt idx="0">
                  <c:v>Revenue</c:v>
                </c:pt>
              </c:strCache>
            </c:strRef>
          </c:tx>
          <c:cat>
            <c:strRef>
              <c:f>tlGraphs!$C$337:$D$337</c:f>
              <c:strCache>
                <c:ptCount val="2"/>
                <c:pt idx="0">
                  <c:v>This Year</c:v>
                </c:pt>
                <c:pt idx="1">
                  <c:v>Next Year</c:v>
                </c:pt>
              </c:strCache>
            </c:strRef>
          </c:cat>
          <c:val>
            <c:numRef>
              <c:f>tlGraphs!$C$338:$D$338</c:f>
              <c:numCache>
                <c:formatCode>"$"#,##0</c:formatCode>
                <c:ptCount val="2"/>
                <c:pt idx="0">
                  <c:v>200.51250505278992</c:v>
                </c:pt>
                <c:pt idx="1">
                  <c:v>419.01028236808935</c:v>
                </c:pt>
              </c:numCache>
            </c:numRef>
          </c:val>
          <c:smooth val="0"/>
          <c:extLst>
            <c:ext xmlns:c16="http://schemas.microsoft.com/office/drawing/2014/chart" uri="{C3380CC4-5D6E-409C-BE32-E72D297353CC}">
              <c16:uniqueId val="{00000000-5F70-4A9A-963D-AC233BF7A7AE}"/>
            </c:ext>
          </c:extLst>
        </c:ser>
        <c:ser>
          <c:idx val="1"/>
          <c:order val="1"/>
          <c:tx>
            <c:strRef>
              <c:f>tlGraphs!$B$339</c:f>
              <c:strCache>
                <c:ptCount val="1"/>
                <c:pt idx="0">
                  <c:v>Salary</c:v>
                </c:pt>
              </c:strCache>
            </c:strRef>
          </c:tx>
          <c:cat>
            <c:strRef>
              <c:f>tlGraphs!$C$337:$D$337</c:f>
              <c:strCache>
                <c:ptCount val="2"/>
                <c:pt idx="0">
                  <c:v>This Year</c:v>
                </c:pt>
                <c:pt idx="1">
                  <c:v>Next Year</c:v>
                </c:pt>
              </c:strCache>
            </c:strRef>
          </c:cat>
          <c:val>
            <c:numRef>
              <c:f>tlGraphs!$C$339:$D$339</c:f>
              <c:numCache>
                <c:formatCode>"$"#,##0</c:formatCode>
                <c:ptCount val="2"/>
                <c:pt idx="0">
                  <c:v>68.294386126361658</c:v>
                </c:pt>
                <c:pt idx="1">
                  <c:v>116.28700000000001</c:v>
                </c:pt>
              </c:numCache>
            </c:numRef>
          </c:val>
          <c:smooth val="0"/>
          <c:extLst>
            <c:ext xmlns:c16="http://schemas.microsoft.com/office/drawing/2014/chart" uri="{C3380CC4-5D6E-409C-BE32-E72D297353CC}">
              <c16:uniqueId val="{00000001-5F70-4A9A-963D-AC233BF7A7AE}"/>
            </c:ext>
          </c:extLst>
        </c:ser>
        <c:dLbls>
          <c:showLegendKey val="0"/>
          <c:showVal val="0"/>
          <c:showCatName val="0"/>
          <c:showSerName val="0"/>
          <c:showPercent val="0"/>
          <c:showBubbleSize val="0"/>
        </c:dLbls>
        <c:marker val="1"/>
        <c:smooth val="0"/>
        <c:axId val="196890064"/>
        <c:axId val="196890456"/>
      </c:lineChart>
      <c:catAx>
        <c:axId val="196890064"/>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90456"/>
        <c:crosses val="autoZero"/>
        <c:auto val="1"/>
        <c:lblAlgn val="ctr"/>
        <c:lblOffset val="100"/>
        <c:noMultiLvlLbl val="0"/>
      </c:catAx>
      <c:valAx>
        <c:axId val="196890456"/>
        <c:scaling>
          <c:orientation val="minMax"/>
        </c:scaling>
        <c:delete val="0"/>
        <c:axPos val="l"/>
        <c:numFmt formatCode="&quot;$&quot;#,##0" sourceLinked="1"/>
        <c:majorTickMark val="out"/>
        <c:minorTickMark val="none"/>
        <c:tickLblPos val="nextTo"/>
        <c:spPr>
          <a:ln>
            <a:solidFill>
              <a:schemeClr val="accent3">
                <a:lumMod val="50000"/>
              </a:schemeClr>
            </a:solidFill>
          </a:ln>
        </c:spPr>
        <c:crossAx val="196890064"/>
        <c:crosses val="autoZero"/>
        <c:crossBetween val="between"/>
      </c:valAx>
      <c:spPr>
        <a:noFill/>
      </c:spPr>
    </c:plotArea>
    <c:legend>
      <c:legendPos val="r"/>
      <c:overlay val="0"/>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8550063094816E-3"/>
          <c:y val="0.13121788780101182"/>
          <c:w val="0.9574049225064325"/>
          <c:h val="0.7413432609235695"/>
        </c:manualLayout>
      </c:layout>
      <c:barChart>
        <c:barDir val="col"/>
        <c:grouping val="clustered"/>
        <c:varyColors val="0"/>
        <c:ser>
          <c:idx val="0"/>
          <c:order val="0"/>
          <c:tx>
            <c:strRef>
              <c:f>tlGraphs!$B$360</c:f>
              <c:strCache>
                <c:ptCount val="1"/>
                <c:pt idx="0">
                  <c:v>Total Hiring Plan  </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A9ED-4FBA-B380-3863394C9DE1}"/>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A9ED-4FBA-B380-3863394C9DE1}"/>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A9ED-4FBA-B380-3863394C9DE1}"/>
              </c:ext>
            </c:extLst>
          </c:dPt>
          <c:dLbls>
            <c:dLbl>
              <c:idx val="0"/>
              <c:layout>
                <c:manualLayout>
                  <c:x val="2.7789021681858248E-3"/>
                  <c:y val="-1.4788227226942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ED-4FBA-B380-3863394C9DE1}"/>
                </c:ext>
              </c:extLst>
            </c:dLbl>
            <c:dLbl>
              <c:idx val="1"/>
              <c:layout>
                <c:manualLayout>
                  <c:x val="8.178930729343635E-3"/>
                  <c:y val="-9.69657887442548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ED-4FBA-B380-3863394C9DE1}"/>
                </c:ext>
              </c:extLst>
            </c:dLbl>
            <c:dLbl>
              <c:idx val="2"/>
              <c:layout>
                <c:manualLayout>
                  <c:x val="5.6773672521704018E-3"/>
                  <c:y val="-4.11777341527881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9ED-4FBA-B380-3863394C9DE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tlGraphs!$A$361:$A$364</c:f>
              <c:strCache>
                <c:ptCount val="4"/>
                <c:pt idx="0">
                  <c:v>Director / EM</c:v>
                </c:pt>
                <c:pt idx="1">
                  <c:v>PM / Analyst</c:v>
                </c:pt>
                <c:pt idx="2">
                  <c:v>Technical</c:v>
                </c:pt>
                <c:pt idx="3">
                  <c:v>Sales</c:v>
                </c:pt>
              </c:strCache>
            </c:strRef>
          </c:cat>
          <c:val>
            <c:numRef>
              <c:f>tlGraphs!$B$361:$B$364</c:f>
              <c:numCache>
                <c:formatCode>General</c:formatCode>
                <c:ptCount val="4"/>
                <c:pt idx="0">
                  <c:v>20</c:v>
                </c:pt>
                <c:pt idx="1">
                  <c:v>136</c:v>
                </c:pt>
                <c:pt idx="2">
                  <c:v>230</c:v>
                </c:pt>
                <c:pt idx="3">
                  <c:v>194</c:v>
                </c:pt>
              </c:numCache>
            </c:numRef>
          </c:val>
          <c:extLst>
            <c:ext xmlns:c16="http://schemas.microsoft.com/office/drawing/2014/chart" uri="{C3380CC4-5D6E-409C-BE32-E72D297353CC}">
              <c16:uniqueId val="{00000006-A9ED-4FBA-B380-3863394C9DE1}"/>
            </c:ext>
          </c:extLst>
        </c:ser>
        <c:dLbls>
          <c:showLegendKey val="0"/>
          <c:showVal val="0"/>
          <c:showCatName val="0"/>
          <c:showSerName val="0"/>
          <c:showPercent val="0"/>
          <c:showBubbleSize val="0"/>
        </c:dLbls>
        <c:gapWidth val="150"/>
        <c:axId val="196891240"/>
        <c:axId val="196891632"/>
      </c:barChart>
      <c:catAx>
        <c:axId val="196891240"/>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91632"/>
        <c:crosses val="autoZero"/>
        <c:auto val="1"/>
        <c:lblAlgn val="ctr"/>
        <c:lblOffset val="100"/>
        <c:noMultiLvlLbl val="0"/>
      </c:catAx>
      <c:valAx>
        <c:axId val="196891632"/>
        <c:scaling>
          <c:orientation val="minMax"/>
        </c:scaling>
        <c:delete val="0"/>
        <c:axPos val="l"/>
        <c:numFmt formatCode="General" sourceLinked="1"/>
        <c:majorTickMark val="out"/>
        <c:minorTickMark val="none"/>
        <c:tickLblPos val="none"/>
        <c:spPr>
          <a:ln>
            <a:solidFill>
              <a:schemeClr val="accent3">
                <a:lumMod val="50000"/>
              </a:schemeClr>
            </a:solidFill>
          </a:ln>
        </c:spPr>
        <c:crossAx val="196891240"/>
        <c:crosses val="autoZero"/>
        <c:crossBetween val="between"/>
      </c:valAx>
      <c:spPr>
        <a:noFill/>
      </c:spPr>
    </c:plotArea>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44431432581476"/>
          <c:y val="0"/>
          <c:w val="0.47528944706390308"/>
          <c:h val="1"/>
        </c:manualLayout>
      </c:layout>
      <c:pie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2C25-4CAD-B3F5-B608F9C9C572}"/>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2C25-4CAD-B3F5-B608F9C9C572}"/>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2C25-4CAD-B3F5-B608F9C9C572}"/>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tlGraphs!$C$231:$E$231</c:f>
              <c:strCache>
                <c:ptCount val="3"/>
                <c:pt idx="0">
                  <c:v>CRM</c:v>
                </c:pt>
                <c:pt idx="1">
                  <c:v>HCM</c:v>
                </c:pt>
                <c:pt idx="2">
                  <c:v>Futuria</c:v>
                </c:pt>
              </c:strCache>
            </c:strRef>
          </c:cat>
          <c:val>
            <c:numRef>
              <c:f>tlGraphs!$C$232:$E$232</c:f>
              <c:numCache>
                <c:formatCode>0%</c:formatCode>
                <c:ptCount val="3"/>
                <c:pt idx="0">
                  <c:v>0.62068965517241381</c:v>
                </c:pt>
                <c:pt idx="1">
                  <c:v>0.27586206896551724</c:v>
                </c:pt>
                <c:pt idx="2">
                  <c:v>0.10344827586206896</c:v>
                </c:pt>
              </c:numCache>
            </c:numRef>
          </c:val>
          <c:extLst>
            <c:ext xmlns:c16="http://schemas.microsoft.com/office/drawing/2014/chart" uri="{C3380CC4-5D6E-409C-BE32-E72D297353CC}">
              <c16:uniqueId val="{00000006-2C25-4CAD-B3F5-B608F9C9C572}"/>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72859281770695938"/>
          <c:y val="0.2509842633351928"/>
          <c:w val="0.25398515123700161"/>
          <c:h val="0.52775530816184801"/>
        </c:manualLayout>
      </c:layout>
      <c:overlay val="0"/>
      <c:txPr>
        <a:bodyPr/>
        <a:lstStyle/>
        <a:p>
          <a:pPr rtl="0">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76E-4102-B11B-C9B5EAFCE102}"/>
              </c:ext>
            </c:extLst>
          </c:dPt>
          <c:dPt>
            <c:idx val="1"/>
            <c:bubble3D val="0"/>
            <c:spPr>
              <a:solidFill>
                <a:srgbClr val="054680"/>
              </a:solidFill>
              <a:ln>
                <a:noFill/>
              </a:ln>
            </c:spPr>
            <c:extLst>
              <c:ext xmlns:c16="http://schemas.microsoft.com/office/drawing/2014/chart" uri="{C3380CC4-5D6E-409C-BE32-E72D297353CC}">
                <c16:uniqueId val="{00000003-976E-4102-B11B-C9B5EAFCE102}"/>
              </c:ext>
            </c:extLst>
          </c:dPt>
          <c:dPt>
            <c:idx val="2"/>
            <c:bubble3D val="0"/>
            <c:spPr>
              <a:noFill/>
            </c:spPr>
            <c:extLst>
              <c:ext xmlns:c16="http://schemas.microsoft.com/office/drawing/2014/chart" uri="{C3380CC4-5D6E-409C-BE32-E72D297353CC}">
                <c16:uniqueId val="{00000005-976E-4102-B11B-C9B5EAFCE102}"/>
              </c:ext>
            </c:extLst>
          </c:dPt>
          <c:dPt>
            <c:idx val="3"/>
            <c:bubble3D val="0"/>
            <c:spPr>
              <a:solidFill>
                <a:srgbClr val="CBE4EB"/>
              </a:solidFill>
              <a:ln>
                <a:noFill/>
              </a:ln>
            </c:spPr>
            <c:extLst>
              <c:ext xmlns:c16="http://schemas.microsoft.com/office/drawing/2014/chart" uri="{C3380CC4-5D6E-409C-BE32-E72D297353CC}">
                <c16:uniqueId val="{00000007-976E-4102-B11B-C9B5EAFCE102}"/>
              </c:ext>
            </c:extLst>
          </c:dPt>
          <c:dPt>
            <c:idx val="4"/>
            <c:bubble3D val="0"/>
            <c:spPr>
              <a:solidFill>
                <a:srgbClr val="007AC5"/>
              </a:solidFill>
              <a:ln>
                <a:noFill/>
              </a:ln>
            </c:spPr>
            <c:extLst>
              <c:ext xmlns:c16="http://schemas.microsoft.com/office/drawing/2014/chart" uri="{C3380CC4-5D6E-409C-BE32-E72D297353CC}">
                <c16:uniqueId val="{00000009-976E-4102-B11B-C9B5EAFCE102}"/>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76E-4102-B11B-C9B5EAFCE102}"/>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67E5-48D7-AAF5-AE04E64F67FA}"/>
              </c:ext>
            </c:extLst>
          </c:dPt>
          <c:dPt>
            <c:idx val="1"/>
            <c:bubble3D val="0"/>
            <c:spPr>
              <a:solidFill>
                <a:schemeClr val="tx1"/>
              </a:solidFill>
              <a:ln>
                <a:noFill/>
              </a:ln>
            </c:spPr>
            <c:extLst>
              <c:ext xmlns:c16="http://schemas.microsoft.com/office/drawing/2014/chart" uri="{C3380CC4-5D6E-409C-BE32-E72D297353CC}">
                <c16:uniqueId val="{00000003-67E5-48D7-AAF5-AE04E64F67FA}"/>
              </c:ext>
            </c:extLst>
          </c:dPt>
          <c:dPt>
            <c:idx val="2"/>
            <c:bubble3D val="0"/>
            <c:spPr>
              <a:noFill/>
            </c:spPr>
            <c:extLst>
              <c:ext xmlns:c16="http://schemas.microsoft.com/office/drawing/2014/chart" uri="{C3380CC4-5D6E-409C-BE32-E72D297353CC}">
                <c16:uniqueId val="{00000005-67E5-48D7-AAF5-AE04E64F67FA}"/>
              </c:ext>
            </c:extLst>
          </c:dPt>
          <c:dPt>
            <c:idx val="3"/>
            <c:bubble3D val="0"/>
            <c:spPr>
              <a:noFill/>
            </c:spPr>
            <c:extLst>
              <c:ext xmlns:c16="http://schemas.microsoft.com/office/drawing/2014/chart" uri="{C3380CC4-5D6E-409C-BE32-E72D297353CC}">
                <c16:uniqueId val="{00000007-67E5-48D7-AAF5-AE04E64F67FA}"/>
              </c:ext>
            </c:extLst>
          </c:dPt>
          <c:dPt>
            <c:idx val="4"/>
            <c:bubble3D val="0"/>
            <c:spPr>
              <a:solidFill>
                <a:schemeClr val="tx1"/>
              </a:solidFill>
              <a:ln>
                <a:noFill/>
              </a:ln>
            </c:spPr>
            <c:extLst>
              <c:ext xmlns:c16="http://schemas.microsoft.com/office/drawing/2014/chart" uri="{C3380CC4-5D6E-409C-BE32-E72D297353CC}">
                <c16:uniqueId val="{00000009-67E5-48D7-AAF5-AE04E64F67FA}"/>
              </c:ext>
            </c:extLst>
          </c:dPt>
          <c:dPt>
            <c:idx val="5"/>
            <c:bubble3D val="0"/>
            <c:spPr>
              <a:noFill/>
            </c:spPr>
            <c:extLst>
              <c:ext xmlns:c16="http://schemas.microsoft.com/office/drawing/2014/chart" uri="{C3380CC4-5D6E-409C-BE32-E72D297353CC}">
                <c16:uniqueId val="{0000000B-67E5-48D7-AAF5-AE04E64F67FA}"/>
              </c:ext>
            </c:extLst>
          </c:dPt>
          <c:dPt>
            <c:idx val="6"/>
            <c:bubble3D val="0"/>
            <c:spPr>
              <a:noFill/>
            </c:spPr>
            <c:extLst>
              <c:ext xmlns:c16="http://schemas.microsoft.com/office/drawing/2014/chart" uri="{C3380CC4-5D6E-409C-BE32-E72D297353CC}">
                <c16:uniqueId val="{0000000D-67E5-48D7-AAF5-AE04E64F67FA}"/>
              </c:ext>
            </c:extLst>
          </c:dPt>
          <c:dPt>
            <c:idx val="7"/>
            <c:bubble3D val="0"/>
            <c:spPr>
              <a:solidFill>
                <a:schemeClr val="tx1"/>
              </a:solidFill>
              <a:ln>
                <a:noFill/>
              </a:ln>
            </c:spPr>
            <c:extLst>
              <c:ext xmlns:c16="http://schemas.microsoft.com/office/drawing/2014/chart" uri="{C3380CC4-5D6E-409C-BE32-E72D297353CC}">
                <c16:uniqueId val="{0000000F-67E5-48D7-AAF5-AE04E64F67FA}"/>
              </c:ext>
            </c:extLst>
          </c:dPt>
          <c:dPt>
            <c:idx val="8"/>
            <c:bubble3D val="0"/>
            <c:spPr>
              <a:noFill/>
            </c:spPr>
            <c:extLst>
              <c:ext xmlns:c16="http://schemas.microsoft.com/office/drawing/2014/chart" uri="{C3380CC4-5D6E-409C-BE32-E72D297353CC}">
                <c16:uniqueId val="{00000011-67E5-48D7-AAF5-AE04E64F67FA}"/>
              </c:ext>
            </c:extLst>
          </c:dPt>
          <c:dPt>
            <c:idx val="9"/>
            <c:bubble3D val="0"/>
            <c:spPr>
              <a:noFill/>
            </c:spPr>
            <c:extLst>
              <c:ext xmlns:c16="http://schemas.microsoft.com/office/drawing/2014/chart" uri="{C3380CC4-5D6E-409C-BE32-E72D297353CC}">
                <c16:uniqueId val="{00000013-67E5-48D7-AAF5-AE04E64F67FA}"/>
              </c:ext>
            </c:extLst>
          </c:dPt>
          <c:dPt>
            <c:idx val="10"/>
            <c:bubble3D val="0"/>
            <c:spPr>
              <a:solidFill>
                <a:schemeClr val="tx1"/>
              </a:solidFill>
            </c:spPr>
            <c:extLst>
              <c:ext xmlns:c16="http://schemas.microsoft.com/office/drawing/2014/chart" uri="{C3380CC4-5D6E-409C-BE32-E72D297353CC}">
                <c16:uniqueId val="{00000015-67E5-48D7-AAF5-AE04E64F67FA}"/>
              </c:ext>
            </c:extLst>
          </c:dPt>
          <c:dPt>
            <c:idx val="11"/>
            <c:bubble3D val="0"/>
            <c:spPr>
              <a:noFill/>
            </c:spPr>
            <c:extLst>
              <c:ext xmlns:c16="http://schemas.microsoft.com/office/drawing/2014/chart" uri="{C3380CC4-5D6E-409C-BE32-E72D297353CC}">
                <c16:uniqueId val="{00000017-67E5-48D7-AAF5-AE04E64F67FA}"/>
              </c:ext>
            </c:extLst>
          </c:dPt>
          <c:dPt>
            <c:idx val="12"/>
            <c:bubble3D val="0"/>
            <c:spPr>
              <a:noFill/>
            </c:spPr>
            <c:extLst>
              <c:ext xmlns:c16="http://schemas.microsoft.com/office/drawing/2014/chart" uri="{C3380CC4-5D6E-409C-BE32-E72D297353CC}">
                <c16:uniqueId val="{00000019-67E5-48D7-AAF5-AE04E64F67FA}"/>
              </c:ext>
            </c:extLst>
          </c:dPt>
          <c:dPt>
            <c:idx val="13"/>
            <c:bubble3D val="0"/>
            <c:spPr>
              <a:solidFill>
                <a:schemeClr val="tx1"/>
              </a:solidFill>
            </c:spPr>
            <c:extLst>
              <c:ext xmlns:c16="http://schemas.microsoft.com/office/drawing/2014/chart" uri="{C3380CC4-5D6E-409C-BE32-E72D297353CC}">
                <c16:uniqueId val="{0000001B-67E5-48D7-AAF5-AE04E64F67FA}"/>
              </c:ext>
            </c:extLst>
          </c:dPt>
          <c:dPt>
            <c:idx val="14"/>
            <c:bubble3D val="0"/>
            <c:spPr>
              <a:noFill/>
            </c:spPr>
            <c:extLst>
              <c:ext xmlns:c16="http://schemas.microsoft.com/office/drawing/2014/chart" uri="{C3380CC4-5D6E-409C-BE32-E72D297353CC}">
                <c16:uniqueId val="{0000001D-67E5-48D7-AAF5-AE04E64F67FA}"/>
              </c:ext>
            </c:extLst>
          </c:dPt>
          <c:dPt>
            <c:idx val="15"/>
            <c:bubble3D val="0"/>
            <c:spPr>
              <a:noFill/>
            </c:spPr>
            <c:extLst>
              <c:ext xmlns:c16="http://schemas.microsoft.com/office/drawing/2014/chart" uri="{C3380CC4-5D6E-409C-BE32-E72D297353CC}">
                <c16:uniqueId val="{0000001F-67E5-48D7-AAF5-AE04E64F67FA}"/>
              </c:ext>
            </c:extLst>
          </c:dPt>
          <c:dPt>
            <c:idx val="16"/>
            <c:bubble3D val="0"/>
            <c:spPr>
              <a:solidFill>
                <a:schemeClr val="tx1"/>
              </a:solidFill>
            </c:spPr>
            <c:extLst>
              <c:ext xmlns:c16="http://schemas.microsoft.com/office/drawing/2014/chart" uri="{C3380CC4-5D6E-409C-BE32-E72D297353CC}">
                <c16:uniqueId val="{00000021-67E5-48D7-AAF5-AE04E64F67FA}"/>
              </c:ext>
            </c:extLst>
          </c:dPt>
          <c:dPt>
            <c:idx val="17"/>
            <c:bubble3D val="0"/>
            <c:spPr>
              <a:noFill/>
            </c:spPr>
            <c:extLst>
              <c:ext xmlns:c16="http://schemas.microsoft.com/office/drawing/2014/chart" uri="{C3380CC4-5D6E-409C-BE32-E72D297353CC}">
                <c16:uniqueId val="{00000023-67E5-48D7-AAF5-AE04E64F67FA}"/>
              </c:ext>
            </c:extLst>
          </c:dPt>
          <c:dPt>
            <c:idx val="18"/>
            <c:bubble3D val="0"/>
            <c:spPr>
              <a:noFill/>
            </c:spPr>
            <c:extLst>
              <c:ext xmlns:c16="http://schemas.microsoft.com/office/drawing/2014/chart" uri="{C3380CC4-5D6E-409C-BE32-E72D297353CC}">
                <c16:uniqueId val="{00000025-67E5-48D7-AAF5-AE04E64F67FA}"/>
              </c:ext>
            </c:extLst>
          </c:dPt>
          <c:dPt>
            <c:idx val="19"/>
            <c:bubble3D val="0"/>
            <c:spPr>
              <a:solidFill>
                <a:schemeClr val="tx1"/>
              </a:solidFill>
            </c:spPr>
            <c:extLst>
              <c:ext xmlns:c16="http://schemas.microsoft.com/office/drawing/2014/chart" uri="{C3380CC4-5D6E-409C-BE32-E72D297353CC}">
                <c16:uniqueId val="{00000027-67E5-48D7-AAF5-AE04E64F67FA}"/>
              </c:ext>
            </c:extLst>
          </c:dPt>
          <c:dPt>
            <c:idx val="20"/>
            <c:bubble3D val="0"/>
            <c:spPr>
              <a:noFill/>
            </c:spPr>
            <c:extLst>
              <c:ext xmlns:c16="http://schemas.microsoft.com/office/drawing/2014/chart" uri="{C3380CC4-5D6E-409C-BE32-E72D297353CC}">
                <c16:uniqueId val="{00000029-67E5-48D7-AAF5-AE04E64F67FA}"/>
              </c:ext>
            </c:extLst>
          </c:dPt>
          <c:dPt>
            <c:idx val="21"/>
            <c:bubble3D val="0"/>
            <c:spPr>
              <a:noFill/>
            </c:spPr>
            <c:extLst>
              <c:ext xmlns:c16="http://schemas.microsoft.com/office/drawing/2014/chart" uri="{C3380CC4-5D6E-409C-BE32-E72D297353CC}">
                <c16:uniqueId val="{0000002B-67E5-48D7-AAF5-AE04E64F67FA}"/>
              </c:ext>
            </c:extLst>
          </c:dPt>
          <c:dPt>
            <c:idx val="22"/>
            <c:bubble3D val="0"/>
            <c:spPr>
              <a:solidFill>
                <a:schemeClr val="tx1"/>
              </a:solidFill>
            </c:spPr>
            <c:extLst>
              <c:ext xmlns:c16="http://schemas.microsoft.com/office/drawing/2014/chart" uri="{C3380CC4-5D6E-409C-BE32-E72D297353CC}">
                <c16:uniqueId val="{0000002D-67E5-48D7-AAF5-AE04E64F67FA}"/>
              </c:ext>
            </c:extLst>
          </c:dPt>
          <c:dPt>
            <c:idx val="23"/>
            <c:bubble3D val="0"/>
            <c:spPr>
              <a:noFill/>
            </c:spPr>
            <c:extLst>
              <c:ext xmlns:c16="http://schemas.microsoft.com/office/drawing/2014/chart" uri="{C3380CC4-5D6E-409C-BE32-E72D297353CC}">
                <c16:uniqueId val="{0000002F-67E5-48D7-AAF5-AE04E64F67FA}"/>
              </c:ext>
            </c:extLst>
          </c:dPt>
          <c:dPt>
            <c:idx val="24"/>
            <c:bubble3D val="0"/>
            <c:spPr>
              <a:noFill/>
            </c:spPr>
            <c:extLst>
              <c:ext xmlns:c16="http://schemas.microsoft.com/office/drawing/2014/chart" uri="{C3380CC4-5D6E-409C-BE32-E72D297353CC}">
                <c16:uniqueId val="{00000031-67E5-48D7-AAF5-AE04E64F67FA}"/>
              </c:ext>
            </c:extLst>
          </c:dPt>
          <c:dPt>
            <c:idx val="25"/>
            <c:bubble3D val="0"/>
            <c:spPr>
              <a:solidFill>
                <a:schemeClr val="tx1"/>
              </a:solidFill>
            </c:spPr>
            <c:extLst>
              <c:ext xmlns:c16="http://schemas.microsoft.com/office/drawing/2014/chart" uri="{C3380CC4-5D6E-409C-BE32-E72D297353CC}">
                <c16:uniqueId val="{00000033-67E5-48D7-AAF5-AE04E64F67FA}"/>
              </c:ext>
            </c:extLst>
          </c:dPt>
          <c:dPt>
            <c:idx val="26"/>
            <c:bubble3D val="0"/>
            <c:spPr>
              <a:noFill/>
            </c:spPr>
            <c:extLst>
              <c:ext xmlns:c16="http://schemas.microsoft.com/office/drawing/2014/chart" uri="{C3380CC4-5D6E-409C-BE32-E72D297353CC}">
                <c16:uniqueId val="{00000035-67E5-48D7-AAF5-AE04E64F67FA}"/>
              </c:ext>
            </c:extLst>
          </c:dPt>
          <c:dPt>
            <c:idx val="27"/>
            <c:bubble3D val="0"/>
            <c:spPr>
              <a:noFill/>
            </c:spPr>
            <c:extLst>
              <c:ext xmlns:c16="http://schemas.microsoft.com/office/drawing/2014/chart" uri="{C3380CC4-5D6E-409C-BE32-E72D297353CC}">
                <c16:uniqueId val="{00000037-67E5-48D7-AAF5-AE04E64F67FA}"/>
              </c:ext>
            </c:extLst>
          </c:dPt>
          <c:dPt>
            <c:idx val="28"/>
            <c:bubble3D val="0"/>
            <c:spPr>
              <a:solidFill>
                <a:schemeClr val="tx1"/>
              </a:solidFill>
            </c:spPr>
            <c:extLst>
              <c:ext xmlns:c16="http://schemas.microsoft.com/office/drawing/2014/chart" uri="{C3380CC4-5D6E-409C-BE32-E72D297353CC}">
                <c16:uniqueId val="{00000039-67E5-48D7-AAF5-AE04E64F67FA}"/>
              </c:ext>
            </c:extLst>
          </c:dPt>
          <c:dPt>
            <c:idx val="29"/>
            <c:bubble3D val="0"/>
            <c:spPr>
              <a:noFill/>
            </c:spPr>
            <c:extLst>
              <c:ext xmlns:c16="http://schemas.microsoft.com/office/drawing/2014/chart" uri="{C3380CC4-5D6E-409C-BE32-E72D297353CC}">
                <c16:uniqueId val="{0000003B-67E5-48D7-AAF5-AE04E64F67FA}"/>
              </c:ext>
            </c:extLst>
          </c:dPt>
          <c:dPt>
            <c:idx val="30"/>
            <c:bubble3D val="0"/>
            <c:spPr>
              <a:noFill/>
            </c:spPr>
            <c:extLst>
              <c:ext xmlns:c16="http://schemas.microsoft.com/office/drawing/2014/chart" uri="{C3380CC4-5D6E-409C-BE32-E72D297353CC}">
                <c16:uniqueId val="{0000003D-67E5-48D7-AAF5-AE04E64F67FA}"/>
              </c:ext>
            </c:extLst>
          </c:dPt>
          <c:dPt>
            <c:idx val="31"/>
            <c:bubble3D val="0"/>
            <c:spPr>
              <a:solidFill>
                <a:schemeClr val="tx1"/>
              </a:solidFill>
            </c:spPr>
            <c:extLst>
              <c:ext xmlns:c16="http://schemas.microsoft.com/office/drawing/2014/chart" uri="{C3380CC4-5D6E-409C-BE32-E72D297353CC}">
                <c16:uniqueId val="{0000003F-67E5-48D7-AAF5-AE04E64F67FA}"/>
              </c:ext>
            </c:extLst>
          </c:dPt>
          <c:dPt>
            <c:idx val="32"/>
            <c:bubble3D val="0"/>
            <c:spPr>
              <a:noFill/>
            </c:spPr>
            <c:extLst>
              <c:ext xmlns:c16="http://schemas.microsoft.com/office/drawing/2014/chart" uri="{C3380CC4-5D6E-409C-BE32-E72D297353CC}">
                <c16:uniqueId val="{00000041-67E5-48D7-AAF5-AE04E64F67FA}"/>
              </c:ext>
            </c:extLst>
          </c:dPt>
          <c:dPt>
            <c:idx val="33"/>
            <c:bubble3D val="0"/>
            <c:spPr>
              <a:noFill/>
            </c:spPr>
            <c:extLst>
              <c:ext xmlns:c16="http://schemas.microsoft.com/office/drawing/2014/chart" uri="{C3380CC4-5D6E-409C-BE32-E72D297353CC}">
                <c16:uniqueId val="{00000043-67E5-48D7-AAF5-AE04E64F67FA}"/>
              </c:ext>
            </c:extLst>
          </c:dPt>
          <c:cat>
            <c:strRef>
              <c:f>tlGraphs!$M$112:$M$145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tlGraphs!$N$112:$N$145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67E5-48D7-AAF5-AE04E64F67F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8A69-4C07-9A9E-DAF4F9B8C55E}"/>
              </c:ext>
            </c:extLst>
          </c:dPt>
          <c:dPt>
            <c:idx val="1"/>
            <c:bubble3D val="0"/>
            <c:spPr>
              <a:solidFill>
                <a:srgbClr val="054680"/>
              </a:solidFill>
              <a:ln>
                <a:noFill/>
              </a:ln>
            </c:spPr>
            <c:extLst>
              <c:ext xmlns:c16="http://schemas.microsoft.com/office/drawing/2014/chart" uri="{C3380CC4-5D6E-409C-BE32-E72D297353CC}">
                <c16:uniqueId val="{00000003-8A69-4C07-9A9E-DAF4F9B8C55E}"/>
              </c:ext>
            </c:extLst>
          </c:dPt>
          <c:dPt>
            <c:idx val="2"/>
            <c:bubble3D val="0"/>
            <c:spPr>
              <a:noFill/>
            </c:spPr>
            <c:extLst>
              <c:ext xmlns:c16="http://schemas.microsoft.com/office/drawing/2014/chart" uri="{C3380CC4-5D6E-409C-BE32-E72D297353CC}">
                <c16:uniqueId val="{00000005-8A69-4C07-9A9E-DAF4F9B8C55E}"/>
              </c:ext>
            </c:extLst>
          </c:dPt>
          <c:dPt>
            <c:idx val="3"/>
            <c:bubble3D val="0"/>
            <c:spPr>
              <a:solidFill>
                <a:srgbClr val="CBE4EB"/>
              </a:solidFill>
              <a:ln>
                <a:noFill/>
              </a:ln>
            </c:spPr>
            <c:extLst>
              <c:ext xmlns:c16="http://schemas.microsoft.com/office/drawing/2014/chart" uri="{C3380CC4-5D6E-409C-BE32-E72D297353CC}">
                <c16:uniqueId val="{00000007-8A69-4C07-9A9E-DAF4F9B8C55E}"/>
              </c:ext>
            </c:extLst>
          </c:dPt>
          <c:dPt>
            <c:idx val="4"/>
            <c:bubble3D val="0"/>
            <c:spPr>
              <a:solidFill>
                <a:srgbClr val="007AC5"/>
              </a:solidFill>
              <a:ln>
                <a:noFill/>
              </a:ln>
            </c:spPr>
            <c:extLst>
              <c:ext xmlns:c16="http://schemas.microsoft.com/office/drawing/2014/chart" uri="{C3380CC4-5D6E-409C-BE32-E72D297353CC}">
                <c16:uniqueId val="{00000009-8A69-4C07-9A9E-DAF4F9B8C55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8A69-4C07-9A9E-DAF4F9B8C55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D81-46E5-B6F4-EC419D6F733B}"/>
              </c:ext>
            </c:extLst>
          </c:dPt>
          <c:dPt>
            <c:idx val="1"/>
            <c:bubble3D val="0"/>
            <c:spPr>
              <a:solidFill>
                <a:schemeClr val="tx1"/>
              </a:solidFill>
              <a:ln>
                <a:noFill/>
              </a:ln>
            </c:spPr>
            <c:extLst>
              <c:ext xmlns:c16="http://schemas.microsoft.com/office/drawing/2014/chart" uri="{C3380CC4-5D6E-409C-BE32-E72D297353CC}">
                <c16:uniqueId val="{00000003-FD81-46E5-B6F4-EC419D6F733B}"/>
              </c:ext>
            </c:extLst>
          </c:dPt>
          <c:dPt>
            <c:idx val="2"/>
            <c:bubble3D val="0"/>
            <c:spPr>
              <a:noFill/>
            </c:spPr>
            <c:extLst>
              <c:ext xmlns:c16="http://schemas.microsoft.com/office/drawing/2014/chart" uri="{C3380CC4-5D6E-409C-BE32-E72D297353CC}">
                <c16:uniqueId val="{00000005-FD81-46E5-B6F4-EC419D6F733B}"/>
              </c:ext>
            </c:extLst>
          </c:dPt>
          <c:dPt>
            <c:idx val="3"/>
            <c:bubble3D val="0"/>
            <c:spPr>
              <a:noFill/>
            </c:spPr>
            <c:extLst>
              <c:ext xmlns:c16="http://schemas.microsoft.com/office/drawing/2014/chart" uri="{C3380CC4-5D6E-409C-BE32-E72D297353CC}">
                <c16:uniqueId val="{00000007-FD81-46E5-B6F4-EC419D6F733B}"/>
              </c:ext>
            </c:extLst>
          </c:dPt>
          <c:dPt>
            <c:idx val="4"/>
            <c:bubble3D val="0"/>
            <c:spPr>
              <a:solidFill>
                <a:schemeClr val="tx1"/>
              </a:solidFill>
              <a:ln>
                <a:noFill/>
              </a:ln>
            </c:spPr>
            <c:extLst>
              <c:ext xmlns:c16="http://schemas.microsoft.com/office/drawing/2014/chart" uri="{C3380CC4-5D6E-409C-BE32-E72D297353CC}">
                <c16:uniqueId val="{00000009-FD81-46E5-B6F4-EC419D6F733B}"/>
              </c:ext>
            </c:extLst>
          </c:dPt>
          <c:dPt>
            <c:idx val="5"/>
            <c:bubble3D val="0"/>
            <c:spPr>
              <a:noFill/>
            </c:spPr>
            <c:extLst>
              <c:ext xmlns:c16="http://schemas.microsoft.com/office/drawing/2014/chart" uri="{C3380CC4-5D6E-409C-BE32-E72D297353CC}">
                <c16:uniqueId val="{0000000B-FD81-46E5-B6F4-EC419D6F733B}"/>
              </c:ext>
            </c:extLst>
          </c:dPt>
          <c:dPt>
            <c:idx val="6"/>
            <c:bubble3D val="0"/>
            <c:spPr>
              <a:noFill/>
            </c:spPr>
            <c:extLst>
              <c:ext xmlns:c16="http://schemas.microsoft.com/office/drawing/2014/chart" uri="{C3380CC4-5D6E-409C-BE32-E72D297353CC}">
                <c16:uniqueId val="{0000000D-FD81-46E5-B6F4-EC419D6F733B}"/>
              </c:ext>
            </c:extLst>
          </c:dPt>
          <c:dPt>
            <c:idx val="7"/>
            <c:bubble3D val="0"/>
            <c:spPr>
              <a:solidFill>
                <a:schemeClr val="tx1"/>
              </a:solidFill>
              <a:ln>
                <a:noFill/>
              </a:ln>
            </c:spPr>
            <c:extLst>
              <c:ext xmlns:c16="http://schemas.microsoft.com/office/drawing/2014/chart" uri="{C3380CC4-5D6E-409C-BE32-E72D297353CC}">
                <c16:uniqueId val="{0000000F-FD81-46E5-B6F4-EC419D6F733B}"/>
              </c:ext>
            </c:extLst>
          </c:dPt>
          <c:dPt>
            <c:idx val="8"/>
            <c:bubble3D val="0"/>
            <c:spPr>
              <a:noFill/>
            </c:spPr>
            <c:extLst>
              <c:ext xmlns:c16="http://schemas.microsoft.com/office/drawing/2014/chart" uri="{C3380CC4-5D6E-409C-BE32-E72D297353CC}">
                <c16:uniqueId val="{00000011-FD81-46E5-B6F4-EC419D6F733B}"/>
              </c:ext>
            </c:extLst>
          </c:dPt>
          <c:dPt>
            <c:idx val="9"/>
            <c:bubble3D val="0"/>
            <c:spPr>
              <a:noFill/>
            </c:spPr>
            <c:extLst>
              <c:ext xmlns:c16="http://schemas.microsoft.com/office/drawing/2014/chart" uri="{C3380CC4-5D6E-409C-BE32-E72D297353CC}">
                <c16:uniqueId val="{00000013-FD81-46E5-B6F4-EC419D6F733B}"/>
              </c:ext>
            </c:extLst>
          </c:dPt>
          <c:dPt>
            <c:idx val="10"/>
            <c:bubble3D val="0"/>
            <c:spPr>
              <a:solidFill>
                <a:schemeClr val="tx1"/>
              </a:solidFill>
            </c:spPr>
            <c:extLst>
              <c:ext xmlns:c16="http://schemas.microsoft.com/office/drawing/2014/chart" uri="{C3380CC4-5D6E-409C-BE32-E72D297353CC}">
                <c16:uniqueId val="{00000015-FD81-46E5-B6F4-EC419D6F733B}"/>
              </c:ext>
            </c:extLst>
          </c:dPt>
          <c:dPt>
            <c:idx val="11"/>
            <c:bubble3D val="0"/>
            <c:spPr>
              <a:noFill/>
            </c:spPr>
            <c:extLst>
              <c:ext xmlns:c16="http://schemas.microsoft.com/office/drawing/2014/chart" uri="{C3380CC4-5D6E-409C-BE32-E72D297353CC}">
                <c16:uniqueId val="{00000017-FD81-46E5-B6F4-EC419D6F733B}"/>
              </c:ext>
            </c:extLst>
          </c:dPt>
          <c:dPt>
            <c:idx val="12"/>
            <c:bubble3D val="0"/>
            <c:spPr>
              <a:noFill/>
            </c:spPr>
            <c:extLst>
              <c:ext xmlns:c16="http://schemas.microsoft.com/office/drawing/2014/chart" uri="{C3380CC4-5D6E-409C-BE32-E72D297353CC}">
                <c16:uniqueId val="{00000019-FD81-46E5-B6F4-EC419D6F733B}"/>
              </c:ext>
            </c:extLst>
          </c:dPt>
          <c:dPt>
            <c:idx val="13"/>
            <c:bubble3D val="0"/>
            <c:spPr>
              <a:solidFill>
                <a:schemeClr val="tx1"/>
              </a:solidFill>
            </c:spPr>
            <c:extLst>
              <c:ext xmlns:c16="http://schemas.microsoft.com/office/drawing/2014/chart" uri="{C3380CC4-5D6E-409C-BE32-E72D297353CC}">
                <c16:uniqueId val="{0000001B-FD81-46E5-B6F4-EC419D6F733B}"/>
              </c:ext>
            </c:extLst>
          </c:dPt>
          <c:dPt>
            <c:idx val="14"/>
            <c:bubble3D val="0"/>
            <c:spPr>
              <a:noFill/>
            </c:spPr>
            <c:extLst>
              <c:ext xmlns:c16="http://schemas.microsoft.com/office/drawing/2014/chart" uri="{C3380CC4-5D6E-409C-BE32-E72D297353CC}">
                <c16:uniqueId val="{0000001D-FD81-46E5-B6F4-EC419D6F733B}"/>
              </c:ext>
            </c:extLst>
          </c:dPt>
          <c:dPt>
            <c:idx val="15"/>
            <c:bubble3D val="0"/>
            <c:spPr>
              <a:noFill/>
            </c:spPr>
            <c:extLst>
              <c:ext xmlns:c16="http://schemas.microsoft.com/office/drawing/2014/chart" uri="{C3380CC4-5D6E-409C-BE32-E72D297353CC}">
                <c16:uniqueId val="{0000001F-FD81-46E5-B6F4-EC419D6F733B}"/>
              </c:ext>
            </c:extLst>
          </c:dPt>
          <c:dPt>
            <c:idx val="16"/>
            <c:bubble3D val="0"/>
            <c:spPr>
              <a:solidFill>
                <a:schemeClr val="tx1"/>
              </a:solidFill>
            </c:spPr>
            <c:extLst>
              <c:ext xmlns:c16="http://schemas.microsoft.com/office/drawing/2014/chart" uri="{C3380CC4-5D6E-409C-BE32-E72D297353CC}">
                <c16:uniqueId val="{00000021-FD81-46E5-B6F4-EC419D6F733B}"/>
              </c:ext>
            </c:extLst>
          </c:dPt>
          <c:dPt>
            <c:idx val="17"/>
            <c:bubble3D val="0"/>
            <c:spPr>
              <a:noFill/>
            </c:spPr>
            <c:extLst>
              <c:ext xmlns:c16="http://schemas.microsoft.com/office/drawing/2014/chart" uri="{C3380CC4-5D6E-409C-BE32-E72D297353CC}">
                <c16:uniqueId val="{00000023-FD81-46E5-B6F4-EC419D6F733B}"/>
              </c:ext>
            </c:extLst>
          </c:dPt>
          <c:dPt>
            <c:idx val="18"/>
            <c:bubble3D val="0"/>
            <c:spPr>
              <a:noFill/>
            </c:spPr>
            <c:extLst>
              <c:ext xmlns:c16="http://schemas.microsoft.com/office/drawing/2014/chart" uri="{C3380CC4-5D6E-409C-BE32-E72D297353CC}">
                <c16:uniqueId val="{00000025-FD81-46E5-B6F4-EC419D6F733B}"/>
              </c:ext>
            </c:extLst>
          </c:dPt>
          <c:dPt>
            <c:idx val="19"/>
            <c:bubble3D val="0"/>
            <c:spPr>
              <a:solidFill>
                <a:schemeClr val="tx1"/>
              </a:solidFill>
            </c:spPr>
            <c:extLst>
              <c:ext xmlns:c16="http://schemas.microsoft.com/office/drawing/2014/chart" uri="{C3380CC4-5D6E-409C-BE32-E72D297353CC}">
                <c16:uniqueId val="{00000027-FD81-46E5-B6F4-EC419D6F733B}"/>
              </c:ext>
            </c:extLst>
          </c:dPt>
          <c:dPt>
            <c:idx val="20"/>
            <c:bubble3D val="0"/>
            <c:spPr>
              <a:noFill/>
            </c:spPr>
            <c:extLst>
              <c:ext xmlns:c16="http://schemas.microsoft.com/office/drawing/2014/chart" uri="{C3380CC4-5D6E-409C-BE32-E72D297353CC}">
                <c16:uniqueId val="{00000029-FD81-46E5-B6F4-EC419D6F733B}"/>
              </c:ext>
            </c:extLst>
          </c:dPt>
          <c:dPt>
            <c:idx val="21"/>
            <c:bubble3D val="0"/>
            <c:spPr>
              <a:noFill/>
            </c:spPr>
            <c:extLst>
              <c:ext xmlns:c16="http://schemas.microsoft.com/office/drawing/2014/chart" uri="{C3380CC4-5D6E-409C-BE32-E72D297353CC}">
                <c16:uniqueId val="{0000002B-FD81-46E5-B6F4-EC419D6F733B}"/>
              </c:ext>
            </c:extLst>
          </c:dPt>
          <c:dPt>
            <c:idx val="22"/>
            <c:bubble3D val="0"/>
            <c:spPr>
              <a:solidFill>
                <a:schemeClr val="tx1"/>
              </a:solidFill>
            </c:spPr>
            <c:extLst>
              <c:ext xmlns:c16="http://schemas.microsoft.com/office/drawing/2014/chart" uri="{C3380CC4-5D6E-409C-BE32-E72D297353CC}">
                <c16:uniqueId val="{0000002D-FD81-46E5-B6F4-EC419D6F733B}"/>
              </c:ext>
            </c:extLst>
          </c:dPt>
          <c:dPt>
            <c:idx val="23"/>
            <c:bubble3D val="0"/>
            <c:spPr>
              <a:noFill/>
            </c:spPr>
            <c:extLst>
              <c:ext xmlns:c16="http://schemas.microsoft.com/office/drawing/2014/chart" uri="{C3380CC4-5D6E-409C-BE32-E72D297353CC}">
                <c16:uniqueId val="{0000002F-FD81-46E5-B6F4-EC419D6F733B}"/>
              </c:ext>
            </c:extLst>
          </c:dPt>
          <c:dPt>
            <c:idx val="24"/>
            <c:bubble3D val="0"/>
            <c:spPr>
              <a:noFill/>
            </c:spPr>
            <c:extLst>
              <c:ext xmlns:c16="http://schemas.microsoft.com/office/drawing/2014/chart" uri="{C3380CC4-5D6E-409C-BE32-E72D297353CC}">
                <c16:uniqueId val="{00000031-FD81-46E5-B6F4-EC419D6F733B}"/>
              </c:ext>
            </c:extLst>
          </c:dPt>
          <c:dPt>
            <c:idx val="25"/>
            <c:bubble3D val="0"/>
            <c:spPr>
              <a:solidFill>
                <a:schemeClr val="tx1"/>
              </a:solidFill>
            </c:spPr>
            <c:extLst>
              <c:ext xmlns:c16="http://schemas.microsoft.com/office/drawing/2014/chart" uri="{C3380CC4-5D6E-409C-BE32-E72D297353CC}">
                <c16:uniqueId val="{00000033-FD81-46E5-B6F4-EC419D6F733B}"/>
              </c:ext>
            </c:extLst>
          </c:dPt>
          <c:dPt>
            <c:idx val="26"/>
            <c:bubble3D val="0"/>
            <c:spPr>
              <a:noFill/>
            </c:spPr>
            <c:extLst>
              <c:ext xmlns:c16="http://schemas.microsoft.com/office/drawing/2014/chart" uri="{C3380CC4-5D6E-409C-BE32-E72D297353CC}">
                <c16:uniqueId val="{00000035-FD81-46E5-B6F4-EC419D6F733B}"/>
              </c:ext>
            </c:extLst>
          </c:dPt>
          <c:dPt>
            <c:idx val="27"/>
            <c:bubble3D val="0"/>
            <c:spPr>
              <a:noFill/>
            </c:spPr>
            <c:extLst>
              <c:ext xmlns:c16="http://schemas.microsoft.com/office/drawing/2014/chart" uri="{C3380CC4-5D6E-409C-BE32-E72D297353CC}">
                <c16:uniqueId val="{00000037-FD81-46E5-B6F4-EC419D6F733B}"/>
              </c:ext>
            </c:extLst>
          </c:dPt>
          <c:dPt>
            <c:idx val="28"/>
            <c:bubble3D val="0"/>
            <c:spPr>
              <a:solidFill>
                <a:schemeClr val="tx1"/>
              </a:solidFill>
            </c:spPr>
            <c:extLst>
              <c:ext xmlns:c16="http://schemas.microsoft.com/office/drawing/2014/chart" uri="{C3380CC4-5D6E-409C-BE32-E72D297353CC}">
                <c16:uniqueId val="{00000039-FD81-46E5-B6F4-EC419D6F733B}"/>
              </c:ext>
            </c:extLst>
          </c:dPt>
          <c:dPt>
            <c:idx val="29"/>
            <c:bubble3D val="0"/>
            <c:spPr>
              <a:noFill/>
            </c:spPr>
            <c:extLst>
              <c:ext xmlns:c16="http://schemas.microsoft.com/office/drawing/2014/chart" uri="{C3380CC4-5D6E-409C-BE32-E72D297353CC}">
                <c16:uniqueId val="{0000003B-FD81-46E5-B6F4-EC419D6F733B}"/>
              </c:ext>
            </c:extLst>
          </c:dPt>
          <c:dPt>
            <c:idx val="30"/>
            <c:bubble3D val="0"/>
            <c:spPr>
              <a:noFill/>
            </c:spPr>
            <c:extLst>
              <c:ext xmlns:c16="http://schemas.microsoft.com/office/drawing/2014/chart" uri="{C3380CC4-5D6E-409C-BE32-E72D297353CC}">
                <c16:uniqueId val="{0000003D-FD81-46E5-B6F4-EC419D6F733B}"/>
              </c:ext>
            </c:extLst>
          </c:dPt>
          <c:dPt>
            <c:idx val="31"/>
            <c:bubble3D val="0"/>
            <c:spPr>
              <a:solidFill>
                <a:schemeClr val="tx1"/>
              </a:solidFill>
            </c:spPr>
            <c:extLst>
              <c:ext xmlns:c16="http://schemas.microsoft.com/office/drawing/2014/chart" uri="{C3380CC4-5D6E-409C-BE32-E72D297353CC}">
                <c16:uniqueId val="{0000003F-FD81-46E5-B6F4-EC419D6F733B}"/>
              </c:ext>
            </c:extLst>
          </c:dPt>
          <c:dPt>
            <c:idx val="32"/>
            <c:bubble3D val="0"/>
            <c:spPr>
              <a:noFill/>
            </c:spPr>
            <c:extLst>
              <c:ext xmlns:c16="http://schemas.microsoft.com/office/drawing/2014/chart" uri="{C3380CC4-5D6E-409C-BE32-E72D297353CC}">
                <c16:uniqueId val="{00000041-FD81-46E5-B6F4-EC419D6F733B}"/>
              </c:ext>
            </c:extLst>
          </c:dPt>
          <c:dPt>
            <c:idx val="33"/>
            <c:bubble3D val="0"/>
            <c:spPr>
              <a:noFill/>
            </c:spPr>
            <c:extLst>
              <c:ext xmlns:c16="http://schemas.microsoft.com/office/drawing/2014/chart" uri="{C3380CC4-5D6E-409C-BE32-E72D297353CC}">
                <c16:uniqueId val="{00000043-FD81-46E5-B6F4-EC419D6F733B}"/>
              </c:ext>
            </c:extLst>
          </c:dPt>
          <c:cat>
            <c:strRef>
              <c:f>tlGraphs!$I$112:$I$145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tlGraphs!$J$112:$J$145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D81-46E5-B6F4-EC419D6F733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3CC-48B3-A63F-BD157D795E50}"/>
              </c:ext>
            </c:extLst>
          </c:dPt>
          <c:dPt>
            <c:idx val="1"/>
            <c:bubble3D val="0"/>
            <c:spPr>
              <a:solidFill>
                <a:srgbClr val="054680"/>
              </a:solidFill>
              <a:ln>
                <a:noFill/>
              </a:ln>
            </c:spPr>
            <c:extLst>
              <c:ext xmlns:c16="http://schemas.microsoft.com/office/drawing/2014/chart" uri="{C3380CC4-5D6E-409C-BE32-E72D297353CC}">
                <c16:uniqueId val="{00000003-A3CC-48B3-A63F-BD157D795E50}"/>
              </c:ext>
            </c:extLst>
          </c:dPt>
          <c:dPt>
            <c:idx val="2"/>
            <c:bubble3D val="0"/>
            <c:spPr>
              <a:noFill/>
            </c:spPr>
            <c:extLst>
              <c:ext xmlns:c16="http://schemas.microsoft.com/office/drawing/2014/chart" uri="{C3380CC4-5D6E-409C-BE32-E72D297353CC}">
                <c16:uniqueId val="{00000005-A3CC-48B3-A63F-BD157D795E50}"/>
              </c:ext>
            </c:extLst>
          </c:dPt>
          <c:dPt>
            <c:idx val="3"/>
            <c:bubble3D val="0"/>
            <c:spPr>
              <a:solidFill>
                <a:srgbClr val="CBE4EB"/>
              </a:solidFill>
              <a:ln>
                <a:noFill/>
              </a:ln>
            </c:spPr>
            <c:extLst>
              <c:ext xmlns:c16="http://schemas.microsoft.com/office/drawing/2014/chart" uri="{C3380CC4-5D6E-409C-BE32-E72D297353CC}">
                <c16:uniqueId val="{00000007-A3CC-48B3-A63F-BD157D795E50}"/>
              </c:ext>
            </c:extLst>
          </c:dPt>
          <c:dPt>
            <c:idx val="4"/>
            <c:bubble3D val="0"/>
            <c:spPr>
              <a:solidFill>
                <a:srgbClr val="007AC5"/>
              </a:solidFill>
              <a:ln>
                <a:noFill/>
              </a:ln>
            </c:spPr>
            <c:extLst>
              <c:ext xmlns:c16="http://schemas.microsoft.com/office/drawing/2014/chart" uri="{C3380CC4-5D6E-409C-BE32-E72D297353CC}">
                <c16:uniqueId val="{00000009-A3CC-48B3-A63F-BD157D795E5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3CC-48B3-A63F-BD157D795E5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19A-42D0-A1E1-ABF69D0D4381}"/>
              </c:ext>
            </c:extLst>
          </c:dPt>
          <c:dPt>
            <c:idx val="1"/>
            <c:bubble3D val="0"/>
            <c:spPr>
              <a:solidFill>
                <a:schemeClr val="tx1"/>
              </a:solidFill>
              <a:ln>
                <a:noFill/>
              </a:ln>
            </c:spPr>
            <c:extLst>
              <c:ext xmlns:c16="http://schemas.microsoft.com/office/drawing/2014/chart" uri="{C3380CC4-5D6E-409C-BE32-E72D297353CC}">
                <c16:uniqueId val="{00000003-119A-42D0-A1E1-ABF69D0D4381}"/>
              </c:ext>
            </c:extLst>
          </c:dPt>
          <c:dPt>
            <c:idx val="2"/>
            <c:bubble3D val="0"/>
            <c:spPr>
              <a:noFill/>
            </c:spPr>
            <c:extLst>
              <c:ext xmlns:c16="http://schemas.microsoft.com/office/drawing/2014/chart" uri="{C3380CC4-5D6E-409C-BE32-E72D297353CC}">
                <c16:uniqueId val="{00000005-119A-42D0-A1E1-ABF69D0D4381}"/>
              </c:ext>
            </c:extLst>
          </c:dPt>
          <c:dPt>
            <c:idx val="3"/>
            <c:bubble3D val="0"/>
            <c:spPr>
              <a:noFill/>
            </c:spPr>
            <c:extLst>
              <c:ext xmlns:c16="http://schemas.microsoft.com/office/drawing/2014/chart" uri="{C3380CC4-5D6E-409C-BE32-E72D297353CC}">
                <c16:uniqueId val="{00000007-119A-42D0-A1E1-ABF69D0D4381}"/>
              </c:ext>
            </c:extLst>
          </c:dPt>
          <c:dPt>
            <c:idx val="4"/>
            <c:bubble3D val="0"/>
            <c:spPr>
              <a:solidFill>
                <a:schemeClr val="tx1"/>
              </a:solidFill>
              <a:ln>
                <a:noFill/>
              </a:ln>
            </c:spPr>
            <c:extLst>
              <c:ext xmlns:c16="http://schemas.microsoft.com/office/drawing/2014/chart" uri="{C3380CC4-5D6E-409C-BE32-E72D297353CC}">
                <c16:uniqueId val="{00000009-119A-42D0-A1E1-ABF69D0D4381}"/>
              </c:ext>
            </c:extLst>
          </c:dPt>
          <c:dPt>
            <c:idx val="5"/>
            <c:bubble3D val="0"/>
            <c:spPr>
              <a:noFill/>
            </c:spPr>
            <c:extLst>
              <c:ext xmlns:c16="http://schemas.microsoft.com/office/drawing/2014/chart" uri="{C3380CC4-5D6E-409C-BE32-E72D297353CC}">
                <c16:uniqueId val="{0000000B-119A-42D0-A1E1-ABF69D0D4381}"/>
              </c:ext>
            </c:extLst>
          </c:dPt>
          <c:dPt>
            <c:idx val="6"/>
            <c:bubble3D val="0"/>
            <c:spPr>
              <a:noFill/>
            </c:spPr>
            <c:extLst>
              <c:ext xmlns:c16="http://schemas.microsoft.com/office/drawing/2014/chart" uri="{C3380CC4-5D6E-409C-BE32-E72D297353CC}">
                <c16:uniqueId val="{0000000D-119A-42D0-A1E1-ABF69D0D4381}"/>
              </c:ext>
            </c:extLst>
          </c:dPt>
          <c:dPt>
            <c:idx val="7"/>
            <c:bubble3D val="0"/>
            <c:spPr>
              <a:solidFill>
                <a:schemeClr val="tx1"/>
              </a:solidFill>
              <a:ln>
                <a:noFill/>
              </a:ln>
            </c:spPr>
            <c:extLst>
              <c:ext xmlns:c16="http://schemas.microsoft.com/office/drawing/2014/chart" uri="{C3380CC4-5D6E-409C-BE32-E72D297353CC}">
                <c16:uniqueId val="{0000000F-119A-42D0-A1E1-ABF69D0D4381}"/>
              </c:ext>
            </c:extLst>
          </c:dPt>
          <c:dPt>
            <c:idx val="8"/>
            <c:bubble3D val="0"/>
            <c:spPr>
              <a:noFill/>
            </c:spPr>
            <c:extLst>
              <c:ext xmlns:c16="http://schemas.microsoft.com/office/drawing/2014/chart" uri="{C3380CC4-5D6E-409C-BE32-E72D297353CC}">
                <c16:uniqueId val="{00000011-119A-42D0-A1E1-ABF69D0D4381}"/>
              </c:ext>
            </c:extLst>
          </c:dPt>
          <c:dPt>
            <c:idx val="9"/>
            <c:bubble3D val="0"/>
            <c:spPr>
              <a:noFill/>
            </c:spPr>
            <c:extLst>
              <c:ext xmlns:c16="http://schemas.microsoft.com/office/drawing/2014/chart" uri="{C3380CC4-5D6E-409C-BE32-E72D297353CC}">
                <c16:uniqueId val="{00000013-119A-42D0-A1E1-ABF69D0D4381}"/>
              </c:ext>
            </c:extLst>
          </c:dPt>
          <c:dPt>
            <c:idx val="10"/>
            <c:bubble3D val="0"/>
            <c:spPr>
              <a:solidFill>
                <a:schemeClr val="tx1"/>
              </a:solidFill>
            </c:spPr>
            <c:extLst>
              <c:ext xmlns:c16="http://schemas.microsoft.com/office/drawing/2014/chart" uri="{C3380CC4-5D6E-409C-BE32-E72D297353CC}">
                <c16:uniqueId val="{00000015-119A-42D0-A1E1-ABF69D0D4381}"/>
              </c:ext>
            </c:extLst>
          </c:dPt>
          <c:dPt>
            <c:idx val="11"/>
            <c:bubble3D val="0"/>
            <c:spPr>
              <a:noFill/>
            </c:spPr>
            <c:extLst>
              <c:ext xmlns:c16="http://schemas.microsoft.com/office/drawing/2014/chart" uri="{C3380CC4-5D6E-409C-BE32-E72D297353CC}">
                <c16:uniqueId val="{00000017-119A-42D0-A1E1-ABF69D0D4381}"/>
              </c:ext>
            </c:extLst>
          </c:dPt>
          <c:dPt>
            <c:idx val="12"/>
            <c:bubble3D val="0"/>
            <c:spPr>
              <a:noFill/>
            </c:spPr>
            <c:extLst>
              <c:ext xmlns:c16="http://schemas.microsoft.com/office/drawing/2014/chart" uri="{C3380CC4-5D6E-409C-BE32-E72D297353CC}">
                <c16:uniqueId val="{00000019-119A-42D0-A1E1-ABF69D0D4381}"/>
              </c:ext>
            </c:extLst>
          </c:dPt>
          <c:dPt>
            <c:idx val="13"/>
            <c:bubble3D val="0"/>
            <c:spPr>
              <a:solidFill>
                <a:schemeClr val="tx1"/>
              </a:solidFill>
            </c:spPr>
            <c:extLst>
              <c:ext xmlns:c16="http://schemas.microsoft.com/office/drawing/2014/chart" uri="{C3380CC4-5D6E-409C-BE32-E72D297353CC}">
                <c16:uniqueId val="{0000001B-119A-42D0-A1E1-ABF69D0D4381}"/>
              </c:ext>
            </c:extLst>
          </c:dPt>
          <c:dPt>
            <c:idx val="14"/>
            <c:bubble3D val="0"/>
            <c:spPr>
              <a:noFill/>
            </c:spPr>
            <c:extLst>
              <c:ext xmlns:c16="http://schemas.microsoft.com/office/drawing/2014/chart" uri="{C3380CC4-5D6E-409C-BE32-E72D297353CC}">
                <c16:uniqueId val="{0000001D-119A-42D0-A1E1-ABF69D0D4381}"/>
              </c:ext>
            </c:extLst>
          </c:dPt>
          <c:dPt>
            <c:idx val="15"/>
            <c:bubble3D val="0"/>
            <c:spPr>
              <a:noFill/>
            </c:spPr>
            <c:extLst>
              <c:ext xmlns:c16="http://schemas.microsoft.com/office/drawing/2014/chart" uri="{C3380CC4-5D6E-409C-BE32-E72D297353CC}">
                <c16:uniqueId val="{0000001F-119A-42D0-A1E1-ABF69D0D4381}"/>
              </c:ext>
            </c:extLst>
          </c:dPt>
          <c:dPt>
            <c:idx val="16"/>
            <c:bubble3D val="0"/>
            <c:spPr>
              <a:solidFill>
                <a:schemeClr val="tx1"/>
              </a:solidFill>
            </c:spPr>
            <c:extLst>
              <c:ext xmlns:c16="http://schemas.microsoft.com/office/drawing/2014/chart" uri="{C3380CC4-5D6E-409C-BE32-E72D297353CC}">
                <c16:uniqueId val="{00000021-119A-42D0-A1E1-ABF69D0D4381}"/>
              </c:ext>
            </c:extLst>
          </c:dPt>
          <c:dPt>
            <c:idx val="17"/>
            <c:bubble3D val="0"/>
            <c:spPr>
              <a:noFill/>
            </c:spPr>
            <c:extLst>
              <c:ext xmlns:c16="http://schemas.microsoft.com/office/drawing/2014/chart" uri="{C3380CC4-5D6E-409C-BE32-E72D297353CC}">
                <c16:uniqueId val="{00000023-119A-42D0-A1E1-ABF69D0D4381}"/>
              </c:ext>
            </c:extLst>
          </c:dPt>
          <c:dPt>
            <c:idx val="18"/>
            <c:bubble3D val="0"/>
            <c:spPr>
              <a:noFill/>
            </c:spPr>
            <c:extLst>
              <c:ext xmlns:c16="http://schemas.microsoft.com/office/drawing/2014/chart" uri="{C3380CC4-5D6E-409C-BE32-E72D297353CC}">
                <c16:uniqueId val="{00000025-119A-42D0-A1E1-ABF69D0D4381}"/>
              </c:ext>
            </c:extLst>
          </c:dPt>
          <c:dPt>
            <c:idx val="19"/>
            <c:bubble3D val="0"/>
            <c:spPr>
              <a:solidFill>
                <a:schemeClr val="tx1"/>
              </a:solidFill>
            </c:spPr>
            <c:extLst>
              <c:ext xmlns:c16="http://schemas.microsoft.com/office/drawing/2014/chart" uri="{C3380CC4-5D6E-409C-BE32-E72D297353CC}">
                <c16:uniqueId val="{00000027-119A-42D0-A1E1-ABF69D0D4381}"/>
              </c:ext>
            </c:extLst>
          </c:dPt>
          <c:dPt>
            <c:idx val="20"/>
            <c:bubble3D val="0"/>
            <c:spPr>
              <a:noFill/>
            </c:spPr>
            <c:extLst>
              <c:ext xmlns:c16="http://schemas.microsoft.com/office/drawing/2014/chart" uri="{C3380CC4-5D6E-409C-BE32-E72D297353CC}">
                <c16:uniqueId val="{00000029-119A-42D0-A1E1-ABF69D0D4381}"/>
              </c:ext>
            </c:extLst>
          </c:dPt>
          <c:dPt>
            <c:idx val="21"/>
            <c:bubble3D val="0"/>
            <c:spPr>
              <a:noFill/>
            </c:spPr>
            <c:extLst>
              <c:ext xmlns:c16="http://schemas.microsoft.com/office/drawing/2014/chart" uri="{C3380CC4-5D6E-409C-BE32-E72D297353CC}">
                <c16:uniqueId val="{0000002B-119A-42D0-A1E1-ABF69D0D4381}"/>
              </c:ext>
            </c:extLst>
          </c:dPt>
          <c:dPt>
            <c:idx val="22"/>
            <c:bubble3D val="0"/>
            <c:spPr>
              <a:solidFill>
                <a:schemeClr val="tx1"/>
              </a:solidFill>
            </c:spPr>
            <c:extLst>
              <c:ext xmlns:c16="http://schemas.microsoft.com/office/drawing/2014/chart" uri="{C3380CC4-5D6E-409C-BE32-E72D297353CC}">
                <c16:uniqueId val="{0000002D-119A-42D0-A1E1-ABF69D0D4381}"/>
              </c:ext>
            </c:extLst>
          </c:dPt>
          <c:dPt>
            <c:idx val="23"/>
            <c:bubble3D val="0"/>
            <c:spPr>
              <a:noFill/>
            </c:spPr>
            <c:extLst>
              <c:ext xmlns:c16="http://schemas.microsoft.com/office/drawing/2014/chart" uri="{C3380CC4-5D6E-409C-BE32-E72D297353CC}">
                <c16:uniqueId val="{0000002F-119A-42D0-A1E1-ABF69D0D4381}"/>
              </c:ext>
            </c:extLst>
          </c:dPt>
          <c:dPt>
            <c:idx val="24"/>
            <c:bubble3D val="0"/>
            <c:spPr>
              <a:noFill/>
            </c:spPr>
            <c:extLst>
              <c:ext xmlns:c16="http://schemas.microsoft.com/office/drawing/2014/chart" uri="{C3380CC4-5D6E-409C-BE32-E72D297353CC}">
                <c16:uniqueId val="{00000031-119A-42D0-A1E1-ABF69D0D4381}"/>
              </c:ext>
            </c:extLst>
          </c:dPt>
          <c:dPt>
            <c:idx val="25"/>
            <c:bubble3D val="0"/>
            <c:spPr>
              <a:solidFill>
                <a:schemeClr val="tx1"/>
              </a:solidFill>
            </c:spPr>
            <c:extLst>
              <c:ext xmlns:c16="http://schemas.microsoft.com/office/drawing/2014/chart" uri="{C3380CC4-5D6E-409C-BE32-E72D297353CC}">
                <c16:uniqueId val="{00000033-119A-42D0-A1E1-ABF69D0D4381}"/>
              </c:ext>
            </c:extLst>
          </c:dPt>
          <c:dPt>
            <c:idx val="26"/>
            <c:bubble3D val="0"/>
            <c:spPr>
              <a:noFill/>
            </c:spPr>
            <c:extLst>
              <c:ext xmlns:c16="http://schemas.microsoft.com/office/drawing/2014/chart" uri="{C3380CC4-5D6E-409C-BE32-E72D297353CC}">
                <c16:uniqueId val="{00000035-119A-42D0-A1E1-ABF69D0D4381}"/>
              </c:ext>
            </c:extLst>
          </c:dPt>
          <c:dPt>
            <c:idx val="27"/>
            <c:bubble3D val="0"/>
            <c:spPr>
              <a:noFill/>
            </c:spPr>
            <c:extLst>
              <c:ext xmlns:c16="http://schemas.microsoft.com/office/drawing/2014/chart" uri="{C3380CC4-5D6E-409C-BE32-E72D297353CC}">
                <c16:uniqueId val="{00000037-119A-42D0-A1E1-ABF69D0D4381}"/>
              </c:ext>
            </c:extLst>
          </c:dPt>
          <c:dPt>
            <c:idx val="28"/>
            <c:bubble3D val="0"/>
            <c:spPr>
              <a:solidFill>
                <a:schemeClr val="tx1"/>
              </a:solidFill>
            </c:spPr>
            <c:extLst>
              <c:ext xmlns:c16="http://schemas.microsoft.com/office/drawing/2014/chart" uri="{C3380CC4-5D6E-409C-BE32-E72D297353CC}">
                <c16:uniqueId val="{00000039-119A-42D0-A1E1-ABF69D0D4381}"/>
              </c:ext>
            </c:extLst>
          </c:dPt>
          <c:dPt>
            <c:idx val="29"/>
            <c:bubble3D val="0"/>
            <c:spPr>
              <a:noFill/>
            </c:spPr>
            <c:extLst>
              <c:ext xmlns:c16="http://schemas.microsoft.com/office/drawing/2014/chart" uri="{C3380CC4-5D6E-409C-BE32-E72D297353CC}">
                <c16:uniqueId val="{0000003B-119A-42D0-A1E1-ABF69D0D4381}"/>
              </c:ext>
            </c:extLst>
          </c:dPt>
          <c:dPt>
            <c:idx val="30"/>
            <c:bubble3D val="0"/>
            <c:spPr>
              <a:noFill/>
            </c:spPr>
            <c:extLst>
              <c:ext xmlns:c16="http://schemas.microsoft.com/office/drawing/2014/chart" uri="{C3380CC4-5D6E-409C-BE32-E72D297353CC}">
                <c16:uniqueId val="{0000003D-119A-42D0-A1E1-ABF69D0D4381}"/>
              </c:ext>
            </c:extLst>
          </c:dPt>
          <c:dPt>
            <c:idx val="31"/>
            <c:bubble3D val="0"/>
            <c:spPr>
              <a:solidFill>
                <a:schemeClr val="tx1"/>
              </a:solidFill>
            </c:spPr>
            <c:extLst>
              <c:ext xmlns:c16="http://schemas.microsoft.com/office/drawing/2014/chart" uri="{C3380CC4-5D6E-409C-BE32-E72D297353CC}">
                <c16:uniqueId val="{0000003F-119A-42D0-A1E1-ABF69D0D4381}"/>
              </c:ext>
            </c:extLst>
          </c:dPt>
          <c:dPt>
            <c:idx val="32"/>
            <c:bubble3D val="0"/>
            <c:spPr>
              <a:noFill/>
            </c:spPr>
            <c:extLst>
              <c:ext xmlns:c16="http://schemas.microsoft.com/office/drawing/2014/chart" uri="{C3380CC4-5D6E-409C-BE32-E72D297353CC}">
                <c16:uniqueId val="{00000041-119A-42D0-A1E1-ABF69D0D4381}"/>
              </c:ext>
            </c:extLst>
          </c:dPt>
          <c:dPt>
            <c:idx val="33"/>
            <c:bubble3D val="0"/>
            <c:spPr>
              <a:noFill/>
            </c:spPr>
            <c:extLst>
              <c:ext xmlns:c16="http://schemas.microsoft.com/office/drawing/2014/chart" uri="{C3380CC4-5D6E-409C-BE32-E72D297353CC}">
                <c16:uniqueId val="{00000043-119A-42D0-A1E1-ABF69D0D4381}"/>
              </c:ext>
            </c:extLst>
          </c:dPt>
          <c:cat>
            <c:strRef>
              <c:f>tlGraphs!$E$112:$E$145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tlGraphs!$F$112:$F$145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19A-42D0-A1E1-ABF69D0D438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6413-4820-AD7B-62AC871A6579}"/>
              </c:ext>
            </c:extLst>
          </c:dPt>
          <c:dPt>
            <c:idx val="1"/>
            <c:bubble3D val="0"/>
            <c:spPr>
              <a:solidFill>
                <a:srgbClr val="054680"/>
              </a:solidFill>
              <a:ln>
                <a:noFill/>
              </a:ln>
            </c:spPr>
            <c:extLst>
              <c:ext xmlns:c16="http://schemas.microsoft.com/office/drawing/2014/chart" uri="{C3380CC4-5D6E-409C-BE32-E72D297353CC}">
                <c16:uniqueId val="{00000003-6413-4820-AD7B-62AC871A6579}"/>
              </c:ext>
            </c:extLst>
          </c:dPt>
          <c:dPt>
            <c:idx val="2"/>
            <c:bubble3D val="0"/>
            <c:spPr>
              <a:noFill/>
            </c:spPr>
            <c:extLst>
              <c:ext xmlns:c16="http://schemas.microsoft.com/office/drawing/2014/chart" uri="{C3380CC4-5D6E-409C-BE32-E72D297353CC}">
                <c16:uniqueId val="{00000005-6413-4820-AD7B-62AC871A6579}"/>
              </c:ext>
            </c:extLst>
          </c:dPt>
          <c:dPt>
            <c:idx val="3"/>
            <c:bubble3D val="0"/>
            <c:spPr>
              <a:solidFill>
                <a:srgbClr val="CBE4EB"/>
              </a:solidFill>
              <a:ln>
                <a:noFill/>
              </a:ln>
            </c:spPr>
            <c:extLst>
              <c:ext xmlns:c16="http://schemas.microsoft.com/office/drawing/2014/chart" uri="{C3380CC4-5D6E-409C-BE32-E72D297353CC}">
                <c16:uniqueId val="{00000007-6413-4820-AD7B-62AC871A6579}"/>
              </c:ext>
            </c:extLst>
          </c:dPt>
          <c:dPt>
            <c:idx val="4"/>
            <c:bubble3D val="0"/>
            <c:spPr>
              <a:solidFill>
                <a:srgbClr val="007AC5"/>
              </a:solidFill>
              <a:ln>
                <a:noFill/>
              </a:ln>
            </c:spPr>
            <c:extLst>
              <c:ext xmlns:c16="http://schemas.microsoft.com/office/drawing/2014/chart" uri="{C3380CC4-5D6E-409C-BE32-E72D297353CC}">
                <c16:uniqueId val="{00000009-6413-4820-AD7B-62AC871A6579}"/>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413-4820-AD7B-62AC871A6579}"/>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3BCB-42CA-ADE2-5764BCFB9B1F}"/>
              </c:ext>
            </c:extLst>
          </c:dPt>
          <c:dPt>
            <c:idx val="1"/>
            <c:bubble3D val="0"/>
            <c:spPr>
              <a:solidFill>
                <a:schemeClr val="tx1"/>
              </a:solidFill>
              <a:ln>
                <a:noFill/>
              </a:ln>
            </c:spPr>
            <c:extLst>
              <c:ext xmlns:c16="http://schemas.microsoft.com/office/drawing/2014/chart" uri="{C3380CC4-5D6E-409C-BE32-E72D297353CC}">
                <c16:uniqueId val="{00000003-3BCB-42CA-ADE2-5764BCFB9B1F}"/>
              </c:ext>
            </c:extLst>
          </c:dPt>
          <c:dPt>
            <c:idx val="2"/>
            <c:bubble3D val="0"/>
            <c:spPr>
              <a:noFill/>
            </c:spPr>
            <c:extLst>
              <c:ext xmlns:c16="http://schemas.microsoft.com/office/drawing/2014/chart" uri="{C3380CC4-5D6E-409C-BE32-E72D297353CC}">
                <c16:uniqueId val="{00000005-3BCB-42CA-ADE2-5764BCFB9B1F}"/>
              </c:ext>
            </c:extLst>
          </c:dPt>
          <c:dPt>
            <c:idx val="3"/>
            <c:bubble3D val="0"/>
            <c:spPr>
              <a:noFill/>
            </c:spPr>
            <c:extLst>
              <c:ext xmlns:c16="http://schemas.microsoft.com/office/drawing/2014/chart" uri="{C3380CC4-5D6E-409C-BE32-E72D297353CC}">
                <c16:uniqueId val="{00000007-3BCB-42CA-ADE2-5764BCFB9B1F}"/>
              </c:ext>
            </c:extLst>
          </c:dPt>
          <c:dPt>
            <c:idx val="4"/>
            <c:bubble3D val="0"/>
            <c:spPr>
              <a:solidFill>
                <a:schemeClr val="tx1"/>
              </a:solidFill>
              <a:ln>
                <a:noFill/>
              </a:ln>
            </c:spPr>
            <c:extLst>
              <c:ext xmlns:c16="http://schemas.microsoft.com/office/drawing/2014/chart" uri="{C3380CC4-5D6E-409C-BE32-E72D297353CC}">
                <c16:uniqueId val="{00000009-3BCB-42CA-ADE2-5764BCFB9B1F}"/>
              </c:ext>
            </c:extLst>
          </c:dPt>
          <c:dPt>
            <c:idx val="5"/>
            <c:bubble3D val="0"/>
            <c:spPr>
              <a:noFill/>
            </c:spPr>
            <c:extLst>
              <c:ext xmlns:c16="http://schemas.microsoft.com/office/drawing/2014/chart" uri="{C3380CC4-5D6E-409C-BE32-E72D297353CC}">
                <c16:uniqueId val="{0000000B-3BCB-42CA-ADE2-5764BCFB9B1F}"/>
              </c:ext>
            </c:extLst>
          </c:dPt>
          <c:dPt>
            <c:idx val="6"/>
            <c:bubble3D val="0"/>
            <c:spPr>
              <a:noFill/>
            </c:spPr>
            <c:extLst>
              <c:ext xmlns:c16="http://schemas.microsoft.com/office/drawing/2014/chart" uri="{C3380CC4-5D6E-409C-BE32-E72D297353CC}">
                <c16:uniqueId val="{0000000D-3BCB-42CA-ADE2-5764BCFB9B1F}"/>
              </c:ext>
            </c:extLst>
          </c:dPt>
          <c:dPt>
            <c:idx val="7"/>
            <c:bubble3D val="0"/>
            <c:spPr>
              <a:solidFill>
                <a:schemeClr val="tx1"/>
              </a:solidFill>
              <a:ln>
                <a:noFill/>
              </a:ln>
            </c:spPr>
            <c:extLst>
              <c:ext xmlns:c16="http://schemas.microsoft.com/office/drawing/2014/chart" uri="{C3380CC4-5D6E-409C-BE32-E72D297353CC}">
                <c16:uniqueId val="{0000000F-3BCB-42CA-ADE2-5764BCFB9B1F}"/>
              </c:ext>
            </c:extLst>
          </c:dPt>
          <c:dPt>
            <c:idx val="8"/>
            <c:bubble3D val="0"/>
            <c:spPr>
              <a:noFill/>
            </c:spPr>
            <c:extLst>
              <c:ext xmlns:c16="http://schemas.microsoft.com/office/drawing/2014/chart" uri="{C3380CC4-5D6E-409C-BE32-E72D297353CC}">
                <c16:uniqueId val="{00000011-3BCB-42CA-ADE2-5764BCFB9B1F}"/>
              </c:ext>
            </c:extLst>
          </c:dPt>
          <c:dPt>
            <c:idx val="9"/>
            <c:bubble3D val="0"/>
            <c:spPr>
              <a:noFill/>
            </c:spPr>
            <c:extLst>
              <c:ext xmlns:c16="http://schemas.microsoft.com/office/drawing/2014/chart" uri="{C3380CC4-5D6E-409C-BE32-E72D297353CC}">
                <c16:uniqueId val="{00000013-3BCB-42CA-ADE2-5764BCFB9B1F}"/>
              </c:ext>
            </c:extLst>
          </c:dPt>
          <c:dPt>
            <c:idx val="10"/>
            <c:bubble3D val="0"/>
            <c:spPr>
              <a:solidFill>
                <a:schemeClr val="tx1"/>
              </a:solidFill>
            </c:spPr>
            <c:extLst>
              <c:ext xmlns:c16="http://schemas.microsoft.com/office/drawing/2014/chart" uri="{C3380CC4-5D6E-409C-BE32-E72D297353CC}">
                <c16:uniqueId val="{00000015-3BCB-42CA-ADE2-5764BCFB9B1F}"/>
              </c:ext>
            </c:extLst>
          </c:dPt>
          <c:dPt>
            <c:idx val="11"/>
            <c:bubble3D val="0"/>
            <c:spPr>
              <a:noFill/>
            </c:spPr>
            <c:extLst>
              <c:ext xmlns:c16="http://schemas.microsoft.com/office/drawing/2014/chart" uri="{C3380CC4-5D6E-409C-BE32-E72D297353CC}">
                <c16:uniqueId val="{00000017-3BCB-42CA-ADE2-5764BCFB9B1F}"/>
              </c:ext>
            </c:extLst>
          </c:dPt>
          <c:dPt>
            <c:idx val="12"/>
            <c:bubble3D val="0"/>
            <c:spPr>
              <a:noFill/>
            </c:spPr>
            <c:extLst>
              <c:ext xmlns:c16="http://schemas.microsoft.com/office/drawing/2014/chart" uri="{C3380CC4-5D6E-409C-BE32-E72D297353CC}">
                <c16:uniqueId val="{00000019-3BCB-42CA-ADE2-5764BCFB9B1F}"/>
              </c:ext>
            </c:extLst>
          </c:dPt>
          <c:dPt>
            <c:idx val="13"/>
            <c:bubble3D val="0"/>
            <c:spPr>
              <a:solidFill>
                <a:schemeClr val="tx1"/>
              </a:solidFill>
            </c:spPr>
            <c:extLst>
              <c:ext xmlns:c16="http://schemas.microsoft.com/office/drawing/2014/chart" uri="{C3380CC4-5D6E-409C-BE32-E72D297353CC}">
                <c16:uniqueId val="{0000001B-3BCB-42CA-ADE2-5764BCFB9B1F}"/>
              </c:ext>
            </c:extLst>
          </c:dPt>
          <c:dPt>
            <c:idx val="14"/>
            <c:bubble3D val="0"/>
            <c:spPr>
              <a:noFill/>
            </c:spPr>
            <c:extLst>
              <c:ext xmlns:c16="http://schemas.microsoft.com/office/drawing/2014/chart" uri="{C3380CC4-5D6E-409C-BE32-E72D297353CC}">
                <c16:uniqueId val="{0000001D-3BCB-42CA-ADE2-5764BCFB9B1F}"/>
              </c:ext>
            </c:extLst>
          </c:dPt>
          <c:dPt>
            <c:idx val="15"/>
            <c:bubble3D val="0"/>
            <c:spPr>
              <a:noFill/>
            </c:spPr>
            <c:extLst>
              <c:ext xmlns:c16="http://schemas.microsoft.com/office/drawing/2014/chart" uri="{C3380CC4-5D6E-409C-BE32-E72D297353CC}">
                <c16:uniqueId val="{0000001F-3BCB-42CA-ADE2-5764BCFB9B1F}"/>
              </c:ext>
            </c:extLst>
          </c:dPt>
          <c:dPt>
            <c:idx val="16"/>
            <c:bubble3D val="0"/>
            <c:spPr>
              <a:solidFill>
                <a:schemeClr val="tx1"/>
              </a:solidFill>
            </c:spPr>
            <c:extLst>
              <c:ext xmlns:c16="http://schemas.microsoft.com/office/drawing/2014/chart" uri="{C3380CC4-5D6E-409C-BE32-E72D297353CC}">
                <c16:uniqueId val="{00000021-3BCB-42CA-ADE2-5764BCFB9B1F}"/>
              </c:ext>
            </c:extLst>
          </c:dPt>
          <c:dPt>
            <c:idx val="17"/>
            <c:bubble3D val="0"/>
            <c:spPr>
              <a:noFill/>
            </c:spPr>
            <c:extLst>
              <c:ext xmlns:c16="http://schemas.microsoft.com/office/drawing/2014/chart" uri="{C3380CC4-5D6E-409C-BE32-E72D297353CC}">
                <c16:uniqueId val="{00000023-3BCB-42CA-ADE2-5764BCFB9B1F}"/>
              </c:ext>
            </c:extLst>
          </c:dPt>
          <c:dPt>
            <c:idx val="18"/>
            <c:bubble3D val="0"/>
            <c:spPr>
              <a:noFill/>
            </c:spPr>
            <c:extLst>
              <c:ext xmlns:c16="http://schemas.microsoft.com/office/drawing/2014/chart" uri="{C3380CC4-5D6E-409C-BE32-E72D297353CC}">
                <c16:uniqueId val="{00000025-3BCB-42CA-ADE2-5764BCFB9B1F}"/>
              </c:ext>
            </c:extLst>
          </c:dPt>
          <c:dPt>
            <c:idx val="19"/>
            <c:bubble3D val="0"/>
            <c:spPr>
              <a:solidFill>
                <a:schemeClr val="tx1"/>
              </a:solidFill>
            </c:spPr>
            <c:extLst>
              <c:ext xmlns:c16="http://schemas.microsoft.com/office/drawing/2014/chart" uri="{C3380CC4-5D6E-409C-BE32-E72D297353CC}">
                <c16:uniqueId val="{00000027-3BCB-42CA-ADE2-5764BCFB9B1F}"/>
              </c:ext>
            </c:extLst>
          </c:dPt>
          <c:dPt>
            <c:idx val="20"/>
            <c:bubble3D val="0"/>
            <c:spPr>
              <a:noFill/>
            </c:spPr>
            <c:extLst>
              <c:ext xmlns:c16="http://schemas.microsoft.com/office/drawing/2014/chart" uri="{C3380CC4-5D6E-409C-BE32-E72D297353CC}">
                <c16:uniqueId val="{00000029-3BCB-42CA-ADE2-5764BCFB9B1F}"/>
              </c:ext>
            </c:extLst>
          </c:dPt>
          <c:dPt>
            <c:idx val="21"/>
            <c:bubble3D val="0"/>
            <c:spPr>
              <a:noFill/>
            </c:spPr>
            <c:extLst>
              <c:ext xmlns:c16="http://schemas.microsoft.com/office/drawing/2014/chart" uri="{C3380CC4-5D6E-409C-BE32-E72D297353CC}">
                <c16:uniqueId val="{0000002B-3BCB-42CA-ADE2-5764BCFB9B1F}"/>
              </c:ext>
            </c:extLst>
          </c:dPt>
          <c:dPt>
            <c:idx val="22"/>
            <c:bubble3D val="0"/>
            <c:spPr>
              <a:solidFill>
                <a:schemeClr val="tx1"/>
              </a:solidFill>
            </c:spPr>
            <c:extLst>
              <c:ext xmlns:c16="http://schemas.microsoft.com/office/drawing/2014/chart" uri="{C3380CC4-5D6E-409C-BE32-E72D297353CC}">
                <c16:uniqueId val="{0000002D-3BCB-42CA-ADE2-5764BCFB9B1F}"/>
              </c:ext>
            </c:extLst>
          </c:dPt>
          <c:dPt>
            <c:idx val="23"/>
            <c:bubble3D val="0"/>
            <c:spPr>
              <a:noFill/>
            </c:spPr>
            <c:extLst>
              <c:ext xmlns:c16="http://schemas.microsoft.com/office/drawing/2014/chart" uri="{C3380CC4-5D6E-409C-BE32-E72D297353CC}">
                <c16:uniqueId val="{0000002F-3BCB-42CA-ADE2-5764BCFB9B1F}"/>
              </c:ext>
            </c:extLst>
          </c:dPt>
          <c:dPt>
            <c:idx val="24"/>
            <c:bubble3D val="0"/>
            <c:spPr>
              <a:noFill/>
            </c:spPr>
            <c:extLst>
              <c:ext xmlns:c16="http://schemas.microsoft.com/office/drawing/2014/chart" uri="{C3380CC4-5D6E-409C-BE32-E72D297353CC}">
                <c16:uniqueId val="{00000031-3BCB-42CA-ADE2-5764BCFB9B1F}"/>
              </c:ext>
            </c:extLst>
          </c:dPt>
          <c:dPt>
            <c:idx val="25"/>
            <c:bubble3D val="0"/>
            <c:spPr>
              <a:solidFill>
                <a:schemeClr val="tx1"/>
              </a:solidFill>
            </c:spPr>
            <c:extLst>
              <c:ext xmlns:c16="http://schemas.microsoft.com/office/drawing/2014/chart" uri="{C3380CC4-5D6E-409C-BE32-E72D297353CC}">
                <c16:uniqueId val="{00000033-3BCB-42CA-ADE2-5764BCFB9B1F}"/>
              </c:ext>
            </c:extLst>
          </c:dPt>
          <c:dPt>
            <c:idx val="26"/>
            <c:bubble3D val="0"/>
            <c:spPr>
              <a:noFill/>
            </c:spPr>
            <c:extLst>
              <c:ext xmlns:c16="http://schemas.microsoft.com/office/drawing/2014/chart" uri="{C3380CC4-5D6E-409C-BE32-E72D297353CC}">
                <c16:uniqueId val="{00000035-3BCB-42CA-ADE2-5764BCFB9B1F}"/>
              </c:ext>
            </c:extLst>
          </c:dPt>
          <c:dPt>
            <c:idx val="27"/>
            <c:bubble3D val="0"/>
            <c:spPr>
              <a:noFill/>
            </c:spPr>
            <c:extLst>
              <c:ext xmlns:c16="http://schemas.microsoft.com/office/drawing/2014/chart" uri="{C3380CC4-5D6E-409C-BE32-E72D297353CC}">
                <c16:uniqueId val="{00000037-3BCB-42CA-ADE2-5764BCFB9B1F}"/>
              </c:ext>
            </c:extLst>
          </c:dPt>
          <c:dPt>
            <c:idx val="28"/>
            <c:bubble3D val="0"/>
            <c:spPr>
              <a:solidFill>
                <a:schemeClr val="tx1"/>
              </a:solidFill>
            </c:spPr>
            <c:extLst>
              <c:ext xmlns:c16="http://schemas.microsoft.com/office/drawing/2014/chart" uri="{C3380CC4-5D6E-409C-BE32-E72D297353CC}">
                <c16:uniqueId val="{00000039-3BCB-42CA-ADE2-5764BCFB9B1F}"/>
              </c:ext>
            </c:extLst>
          </c:dPt>
          <c:dPt>
            <c:idx val="29"/>
            <c:bubble3D val="0"/>
            <c:spPr>
              <a:noFill/>
            </c:spPr>
            <c:extLst>
              <c:ext xmlns:c16="http://schemas.microsoft.com/office/drawing/2014/chart" uri="{C3380CC4-5D6E-409C-BE32-E72D297353CC}">
                <c16:uniqueId val="{0000003B-3BCB-42CA-ADE2-5764BCFB9B1F}"/>
              </c:ext>
            </c:extLst>
          </c:dPt>
          <c:dPt>
            <c:idx val="30"/>
            <c:bubble3D val="0"/>
            <c:spPr>
              <a:noFill/>
            </c:spPr>
            <c:extLst>
              <c:ext xmlns:c16="http://schemas.microsoft.com/office/drawing/2014/chart" uri="{C3380CC4-5D6E-409C-BE32-E72D297353CC}">
                <c16:uniqueId val="{0000003D-3BCB-42CA-ADE2-5764BCFB9B1F}"/>
              </c:ext>
            </c:extLst>
          </c:dPt>
          <c:dPt>
            <c:idx val="31"/>
            <c:bubble3D val="0"/>
            <c:spPr>
              <a:solidFill>
                <a:schemeClr val="tx1"/>
              </a:solidFill>
            </c:spPr>
            <c:extLst>
              <c:ext xmlns:c16="http://schemas.microsoft.com/office/drawing/2014/chart" uri="{C3380CC4-5D6E-409C-BE32-E72D297353CC}">
                <c16:uniqueId val="{0000003F-3BCB-42CA-ADE2-5764BCFB9B1F}"/>
              </c:ext>
            </c:extLst>
          </c:dPt>
          <c:dPt>
            <c:idx val="32"/>
            <c:bubble3D val="0"/>
            <c:spPr>
              <a:noFill/>
            </c:spPr>
            <c:extLst>
              <c:ext xmlns:c16="http://schemas.microsoft.com/office/drawing/2014/chart" uri="{C3380CC4-5D6E-409C-BE32-E72D297353CC}">
                <c16:uniqueId val="{00000041-3BCB-42CA-ADE2-5764BCFB9B1F}"/>
              </c:ext>
            </c:extLst>
          </c:dPt>
          <c:dPt>
            <c:idx val="33"/>
            <c:bubble3D val="0"/>
            <c:spPr>
              <a:noFill/>
            </c:spPr>
            <c:extLst>
              <c:ext xmlns:c16="http://schemas.microsoft.com/office/drawing/2014/chart" uri="{C3380CC4-5D6E-409C-BE32-E72D297353CC}">
                <c16:uniqueId val="{00000043-3BCB-42CA-ADE2-5764BCFB9B1F}"/>
              </c:ext>
            </c:extLst>
          </c:dPt>
          <c:cat>
            <c:strRef>
              <c:f>tlGraphs!$Q$112:$Q$145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tlGraphs!$R$112:$R$145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3BCB-42CA-ADE2-5764BCFB9B1F}"/>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FFFFFF"/>
                </a:solidFill>
                <a:latin typeface="Arial"/>
                <a:ea typeface="Arial"/>
                <a:cs typeface="Arial"/>
              </a:defRPr>
            </a:pPr>
            <a:r>
              <a:rPr lang="en-US"/>
              <a:t>Outsourcing Expertise</a:t>
            </a:r>
          </a:p>
        </c:rich>
      </c:tx>
      <c:layout>
        <c:manualLayout>
          <c:xMode val="edge"/>
          <c:yMode val="edge"/>
          <c:x val="0.18269298068510667"/>
          <c:y val="1.8315018315018316E-2"/>
        </c:manualLayout>
      </c:layout>
      <c:overlay val="0"/>
      <c:spPr>
        <a:noFill/>
        <a:ln w="25400">
          <a:noFill/>
        </a:ln>
      </c:spPr>
    </c:title>
    <c:autoTitleDeleted val="0"/>
    <c:plotArea>
      <c:layout>
        <c:manualLayout>
          <c:layoutTarget val="inner"/>
          <c:xMode val="edge"/>
          <c:yMode val="edge"/>
          <c:x val="0.11859011477775308"/>
          <c:y val="0.28937832452754597"/>
          <c:w val="0.66666875334520659"/>
          <c:h val="0.64469095084617833"/>
        </c:manualLayout>
      </c:layout>
      <c:barChart>
        <c:barDir val="col"/>
        <c:grouping val="stacked"/>
        <c:varyColors val="0"/>
        <c:ser>
          <c:idx val="2"/>
          <c:order val="0"/>
          <c:tx>
            <c:strRef>
              <c:f>toolCompDev!$X$52</c:f>
              <c:strCache>
                <c:ptCount val="1"/>
                <c:pt idx="0">
                  <c:v>C</c:v>
                </c:pt>
              </c:strCache>
            </c:strRef>
          </c:tx>
          <c:spPr>
            <a:gradFill rotWithShape="0">
              <a:gsLst>
                <a:gs pos="0">
                  <a:srgbClr val="FF6600">
                    <a:gamma/>
                    <a:shade val="46275"/>
                    <a:invGamma/>
                  </a:srgbClr>
                </a:gs>
                <a:gs pos="50000">
                  <a:srgbClr val="FF6600"/>
                </a:gs>
                <a:gs pos="100000">
                  <a:srgbClr val="FF6600">
                    <a:gamma/>
                    <a:shade val="46275"/>
                    <a:invGamma/>
                  </a:srgbClr>
                </a:gs>
              </a:gsLst>
              <a:lin ang="0" scaled="1"/>
            </a:gradFill>
            <a:ln w="25400">
              <a:noFill/>
            </a:ln>
          </c:spPr>
          <c:invertIfNegative val="0"/>
          <c:cat>
            <c:strRef>
              <c:f>toolCompDev!$Y$49:$AA$49</c:f>
              <c:strCache>
                <c:ptCount val="3"/>
                <c:pt idx="0">
                  <c:v>Industry 1</c:v>
                </c:pt>
                <c:pt idx="1">
                  <c:v>Industry 2</c:v>
                </c:pt>
                <c:pt idx="2">
                  <c:v>Industry 3</c:v>
                </c:pt>
              </c:strCache>
            </c:strRef>
          </c:cat>
          <c:val>
            <c:numRef>
              <c:f>toolCompDev!$Y$52:$AA$52</c:f>
              <c:numCache>
                <c:formatCode>General</c:formatCode>
                <c:ptCount val="3"/>
                <c:pt idx="0">
                  <c:v>2</c:v>
                </c:pt>
                <c:pt idx="1">
                  <c:v>2</c:v>
                </c:pt>
                <c:pt idx="2">
                  <c:v>2</c:v>
                </c:pt>
              </c:numCache>
            </c:numRef>
          </c:val>
          <c:extLst>
            <c:ext xmlns:c16="http://schemas.microsoft.com/office/drawing/2014/chart" uri="{C3380CC4-5D6E-409C-BE32-E72D297353CC}">
              <c16:uniqueId val="{00000000-553B-4CC8-97EC-A51864355042}"/>
            </c:ext>
          </c:extLst>
        </c:ser>
        <c:ser>
          <c:idx val="1"/>
          <c:order val="1"/>
          <c:tx>
            <c:strRef>
              <c:f>toolCompDev!$X$51</c:f>
              <c:strCache>
                <c:ptCount val="1"/>
                <c:pt idx="0">
                  <c:v>B</c:v>
                </c:pt>
              </c:strCache>
            </c:strRef>
          </c:tx>
          <c:spPr>
            <a:gradFill rotWithShape="0">
              <a:gsLst>
                <a:gs pos="0">
                  <a:srgbClr val="008000">
                    <a:gamma/>
                    <a:shade val="46275"/>
                    <a:invGamma/>
                  </a:srgbClr>
                </a:gs>
                <a:gs pos="50000">
                  <a:srgbClr val="008000"/>
                </a:gs>
                <a:gs pos="100000">
                  <a:srgbClr val="008000">
                    <a:gamma/>
                    <a:shade val="46275"/>
                    <a:invGamma/>
                  </a:srgbClr>
                </a:gs>
              </a:gsLst>
              <a:lin ang="0" scaled="1"/>
            </a:gradFill>
            <a:ln w="25400">
              <a:noFill/>
            </a:ln>
          </c:spPr>
          <c:invertIfNegative val="0"/>
          <c:cat>
            <c:strRef>
              <c:f>toolCompDev!$Y$49:$AA$49</c:f>
              <c:strCache>
                <c:ptCount val="3"/>
                <c:pt idx="0">
                  <c:v>Industry 1</c:v>
                </c:pt>
                <c:pt idx="1">
                  <c:v>Industry 2</c:v>
                </c:pt>
                <c:pt idx="2">
                  <c:v>Industry 3</c:v>
                </c:pt>
              </c:strCache>
            </c:strRef>
          </c:cat>
          <c:val>
            <c:numRef>
              <c:f>toolCompDev!$Y$51:$AA$51</c:f>
              <c:numCache>
                <c:formatCode>General</c:formatCode>
                <c:ptCount val="3"/>
                <c:pt idx="0">
                  <c:v>4</c:v>
                </c:pt>
                <c:pt idx="1">
                  <c:v>2</c:v>
                </c:pt>
                <c:pt idx="2">
                  <c:v>2</c:v>
                </c:pt>
              </c:numCache>
            </c:numRef>
          </c:val>
          <c:extLst>
            <c:ext xmlns:c16="http://schemas.microsoft.com/office/drawing/2014/chart" uri="{C3380CC4-5D6E-409C-BE32-E72D297353CC}">
              <c16:uniqueId val="{00000001-553B-4CC8-97EC-A51864355042}"/>
            </c:ext>
          </c:extLst>
        </c:ser>
        <c:ser>
          <c:idx val="0"/>
          <c:order val="2"/>
          <c:tx>
            <c:strRef>
              <c:f>toolCompDev!$X$50</c:f>
              <c:strCache>
                <c:ptCount val="1"/>
                <c:pt idx="0">
                  <c:v>A</c:v>
                </c:pt>
              </c:strCache>
            </c:strRef>
          </c:tx>
          <c:spPr>
            <a:gradFill rotWithShape="0">
              <a:gsLst>
                <a:gs pos="0">
                  <a:srgbClr val="00CCFF">
                    <a:gamma/>
                    <a:shade val="46275"/>
                    <a:invGamma/>
                  </a:srgbClr>
                </a:gs>
                <a:gs pos="50000">
                  <a:srgbClr val="00CCFF"/>
                </a:gs>
                <a:gs pos="100000">
                  <a:srgbClr val="00CCFF">
                    <a:gamma/>
                    <a:shade val="46275"/>
                    <a:invGamma/>
                  </a:srgbClr>
                </a:gs>
              </a:gsLst>
              <a:lin ang="0" scaled="1"/>
            </a:gradFill>
            <a:ln w="25400">
              <a:noFill/>
            </a:ln>
          </c:spPr>
          <c:invertIfNegative val="0"/>
          <c:cat>
            <c:strRef>
              <c:f>toolCompDev!$Y$49:$AA$49</c:f>
              <c:strCache>
                <c:ptCount val="3"/>
                <c:pt idx="0">
                  <c:v>Industry 1</c:v>
                </c:pt>
                <c:pt idx="1">
                  <c:v>Industry 2</c:v>
                </c:pt>
                <c:pt idx="2">
                  <c:v>Industry 3</c:v>
                </c:pt>
              </c:strCache>
            </c:strRef>
          </c:cat>
          <c:val>
            <c:numRef>
              <c:f>toolCompDev!$Y$50:$AA$50</c:f>
              <c:numCache>
                <c:formatCode>General</c:formatCode>
                <c:ptCount val="3"/>
                <c:pt idx="0">
                  <c:v>4</c:v>
                </c:pt>
                <c:pt idx="1">
                  <c:v>0</c:v>
                </c:pt>
                <c:pt idx="2">
                  <c:v>6</c:v>
                </c:pt>
              </c:numCache>
            </c:numRef>
          </c:val>
          <c:extLst>
            <c:ext xmlns:c16="http://schemas.microsoft.com/office/drawing/2014/chart" uri="{C3380CC4-5D6E-409C-BE32-E72D297353CC}">
              <c16:uniqueId val="{00000002-553B-4CC8-97EC-A51864355042}"/>
            </c:ext>
          </c:extLst>
        </c:ser>
        <c:dLbls>
          <c:showLegendKey val="0"/>
          <c:showVal val="0"/>
          <c:showCatName val="0"/>
          <c:showSerName val="0"/>
          <c:showPercent val="0"/>
          <c:showBubbleSize val="0"/>
        </c:dLbls>
        <c:gapWidth val="70"/>
        <c:overlap val="100"/>
        <c:axId val="558117328"/>
        <c:axId val="558117720"/>
      </c:barChart>
      <c:catAx>
        <c:axId val="558117328"/>
        <c:scaling>
          <c:orientation val="minMax"/>
        </c:scaling>
        <c:delete val="0"/>
        <c:axPos val="b"/>
        <c:numFmt formatCode="General" sourceLinked="1"/>
        <c:majorTickMark val="none"/>
        <c:minorTickMark val="none"/>
        <c:tickLblPos val="high"/>
        <c:spPr>
          <a:ln w="3175">
            <a:solidFill>
              <a:srgbClr val="FFFFFF"/>
            </a:solidFill>
            <a:prstDash val="solid"/>
          </a:ln>
        </c:spPr>
        <c:txPr>
          <a:bodyPr rot="0" vert="horz"/>
          <a:lstStyle/>
          <a:p>
            <a:pPr>
              <a:defRPr sz="1100" b="1" i="0" u="none" strike="noStrike" baseline="0">
                <a:solidFill>
                  <a:srgbClr val="FFFFFF"/>
                </a:solidFill>
                <a:latin typeface="Arial"/>
                <a:ea typeface="Arial"/>
                <a:cs typeface="Arial"/>
              </a:defRPr>
            </a:pPr>
            <a:endParaRPr lang="en-US"/>
          </a:p>
        </c:txPr>
        <c:crossAx val="558117720"/>
        <c:crosses val="autoZero"/>
        <c:auto val="1"/>
        <c:lblAlgn val="ctr"/>
        <c:lblOffset val="0"/>
        <c:tickLblSkip val="1"/>
        <c:tickMarkSkip val="1"/>
        <c:noMultiLvlLbl val="0"/>
      </c:catAx>
      <c:valAx>
        <c:axId val="558117720"/>
        <c:scaling>
          <c:orientation val="minMax"/>
          <c:min val="0"/>
        </c:scaling>
        <c:delete val="0"/>
        <c:axPos val="l"/>
        <c:majorGridlines>
          <c:spPr>
            <a:ln w="3175">
              <a:solidFill>
                <a:srgbClr val="FFFFFF"/>
              </a:solidFill>
              <a:prstDash val="solid"/>
            </a:ln>
          </c:spPr>
        </c:majorGridlines>
        <c:numFmt formatCode="General" sourceLinked="1"/>
        <c:majorTickMark val="none"/>
        <c:minorTickMark val="none"/>
        <c:tickLblPos val="nextTo"/>
        <c:spPr>
          <a:ln w="3175">
            <a:solidFill>
              <a:srgbClr val="FFFFFF"/>
            </a:solidFill>
            <a:prstDash val="solid"/>
          </a:ln>
        </c:spPr>
        <c:txPr>
          <a:bodyPr rot="0" vert="horz"/>
          <a:lstStyle/>
          <a:p>
            <a:pPr>
              <a:defRPr sz="1100" b="1" i="0" u="none" strike="noStrike" baseline="0">
                <a:solidFill>
                  <a:srgbClr val="FFFFFF"/>
                </a:solidFill>
                <a:latin typeface="Arial"/>
                <a:ea typeface="Arial"/>
                <a:cs typeface="Arial"/>
              </a:defRPr>
            </a:pPr>
            <a:endParaRPr lang="en-US"/>
          </a:p>
        </c:txPr>
        <c:crossAx val="558117328"/>
        <c:crosses val="autoZero"/>
        <c:crossBetween val="between"/>
        <c:minorUnit val="1"/>
      </c:valAx>
      <c:spPr>
        <a:noFill/>
        <a:ln w="3175">
          <a:solidFill>
            <a:srgbClr val="FFFFFF"/>
          </a:solidFill>
          <a:prstDash val="solid"/>
        </a:ln>
      </c:spPr>
    </c:plotArea>
    <c:legend>
      <c:legendPos val="r"/>
      <c:layout>
        <c:manualLayout>
          <c:xMode val="edge"/>
          <c:yMode val="edge"/>
          <c:x val="0.79487415034659126"/>
          <c:y val="0.34066049436128176"/>
          <c:w val="0.12500033649639952"/>
          <c:h val="0.64835395575553056"/>
        </c:manualLayout>
      </c:layout>
      <c:overlay val="0"/>
      <c:spPr>
        <a:noFill/>
        <a:ln w="25400">
          <a:noFill/>
        </a:ln>
      </c:spPr>
      <c:txPr>
        <a:bodyPr/>
        <a:lstStyle/>
        <a:p>
          <a:pPr>
            <a:defRPr sz="925" b="1" i="0" u="none" strike="noStrike" baseline="0">
              <a:solidFill>
                <a:srgbClr val="FFFFFF"/>
              </a:solidFill>
              <a:latin typeface="Arial"/>
              <a:ea typeface="Arial"/>
              <a:cs typeface="Arial"/>
            </a:defRPr>
          </a:pPr>
          <a:endParaRPr lang="en-US"/>
        </a:p>
      </c:txPr>
    </c:legend>
    <c:plotVisOnly val="1"/>
    <c:dispBlanksAs val="gap"/>
    <c:showDLblsOverMax val="0"/>
  </c:chart>
  <c:spPr>
    <a:noFill/>
    <a:ln w="9525">
      <a:noFill/>
    </a:ln>
  </c:spPr>
  <c:txPr>
    <a:bodyPr/>
    <a:lstStyle/>
    <a:p>
      <a:pPr>
        <a:defRPr sz="800" b="1" i="0" u="none" strike="noStrike" baseline="0">
          <a:solidFill>
            <a:srgbClr val="FFFFFF"/>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16" fmlaLink="menuFinancialActive" fmlaRange="MenuFinancialList" sel="1" val="0"/>
</file>

<file path=xl/ctrlProps/ctrlProp7.xml><?xml version="1.0" encoding="utf-8"?>
<formControlPr xmlns="http://schemas.microsoft.com/office/spreadsheetml/2009/9/main" objectType="Scroll" dx="16" fmlaLink="tlInputBusAEmp1HrsCurrProj" horiz="1" max="30" page="10" val="5"/>
</file>

<file path=xl/ctrlProps/ctrlProp8.xml><?xml version="1.0" encoding="utf-8"?>
<formControlPr xmlns="http://schemas.microsoft.com/office/spreadsheetml/2009/9/main" objectType="Scroll" dx="16" fmlaLink="tlInputBusAEmp1HrsCurrProjV2" horiz="1" max="30" page="10" val="5"/>
</file>

<file path=xl/ctrlProps/ctrlProp9.xml><?xml version="1.0" encoding="utf-8"?>
<formControlPr xmlns="http://schemas.microsoft.com/office/spreadsheetml/2009/9/main" objectType="Scroll" dx="16" fmlaLink="tlInputBusAEmp1HrsCurrProjV3" horiz="1" max="30" page="10" val="5"/>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menuDecsActive" fmlaRange="menuDecsList" sel="1" val="0"/>
</file>

<file path=xl/ctrlProps/ctrlProp12.xml><?xml version="1.0" encoding="utf-8"?>
<formControlPr xmlns="http://schemas.microsoft.com/office/spreadsheetml/2009/9/main" objectType="Drop" dropStyle="combo" dx="16" fmlaLink="menuFinancialActive" fmlaRange="MenuFinancialList" sel="1" val="0"/>
</file>

<file path=xl/ctrlProps/ctrlProp13.xml><?xml version="1.0" encoding="utf-8"?>
<formControlPr xmlns="http://schemas.microsoft.com/office/spreadsheetml/2009/9/main" objectType="Drop" dropStyle="combo" dx="16" fmlaLink="menuActionActive" fmlaRange="menuActionList" sel="1" val="0"/>
</file>

<file path=xl/ctrlProps/ctrlProp14.xml><?xml version="1.0" encoding="utf-8"?>
<formControlPr xmlns="http://schemas.microsoft.com/office/spreadsheetml/2009/9/main" objectType="Drop" dropStyle="combo" dx="16" fmlaLink="menuDecsActive" fmlaRange="menuDecsList" sel="1" val="0"/>
</file>

<file path=xl/ctrlProps/ctrlProp15.xml><?xml version="1.0" encoding="utf-8"?>
<formControlPr xmlns="http://schemas.microsoft.com/office/spreadsheetml/2009/9/main" objectType="Drop" dropStyle="combo" dx="16" fmlaLink="menuFinancialActive" fmlaRange="MenuFinancialList" sel="1" val="0"/>
</file>

<file path=xl/ctrlProps/ctrlProp16.xml><?xml version="1.0" encoding="utf-8"?>
<formControlPr xmlns="http://schemas.microsoft.com/office/spreadsheetml/2009/9/main" objectType="Drop" dropStyle="combo" dx="16" fmlaLink="menuActionActive" fmlaRange="menuActionList" sel="1" val="0"/>
</file>

<file path=xl/ctrlProps/ctrlProp17.xml><?xml version="1.0" encoding="utf-8"?>
<formControlPr xmlns="http://schemas.microsoft.com/office/spreadsheetml/2009/9/main" objectType="Drop" dropStyle="combo" dx="16" fmlaLink="menuDecsActive" fmlaRange="menuDecsList" sel="1" val="0"/>
</file>

<file path=xl/ctrlProps/ctrlProp18.xml><?xml version="1.0" encoding="utf-8"?>
<formControlPr xmlns="http://schemas.microsoft.com/office/spreadsheetml/2009/9/main" objectType="Drop" dropStyle="combo" dx="16" fmlaLink="menuFinancialActive" fmlaRange="MenuFinancialList" sel="1" val="0"/>
</file>

<file path=xl/ctrlProps/ctrlProp19.xml><?xml version="1.0" encoding="utf-8"?>
<formControlPr xmlns="http://schemas.microsoft.com/office/spreadsheetml/2009/9/main" objectType="Drop" dropStyle="combo" dx="16" fmlaLink="menuActionActive" fmlaRange="menuActionList" sel="1" val="0"/>
</file>

<file path=xl/ctrlProps/ctrlProp20.xml><?xml version="1.0" encoding="utf-8"?>
<formControlPr xmlns="http://schemas.microsoft.com/office/spreadsheetml/2009/9/main" objectType="CheckBox" checked="Checked" fmlaLink="$AD$115" lockText="1"/>
</file>

<file path=xl/ctrlProps/ctrlProp21.xml><?xml version="1.0" encoding="utf-8"?>
<formControlPr xmlns="http://schemas.microsoft.com/office/spreadsheetml/2009/9/main" objectType="CheckBox" fmlaLink="$AD$116" lockText="1"/>
</file>

<file path=xl/ctrlProps/ctrlProp22.xml><?xml version="1.0" encoding="utf-8"?>
<formControlPr xmlns="http://schemas.microsoft.com/office/spreadsheetml/2009/9/main" objectType="CheckBox" fmlaLink="$AD$117" lockText="1"/>
</file>

<file path=xl/ctrlProps/ctrlProp23.xml><?xml version="1.0" encoding="utf-8"?>
<formControlPr xmlns="http://schemas.microsoft.com/office/spreadsheetml/2009/9/main" objectType="CheckBox" fmlaLink="$AD$121" lockText="1"/>
</file>

<file path=xl/ctrlProps/ctrlProp24.xml><?xml version="1.0" encoding="utf-8"?>
<formControlPr xmlns="http://schemas.microsoft.com/office/spreadsheetml/2009/9/main" objectType="CheckBox" fmlaLink="$AD$118" lockText="1"/>
</file>

<file path=xl/ctrlProps/ctrlProp25.xml><?xml version="1.0" encoding="utf-8"?>
<formControlPr xmlns="http://schemas.microsoft.com/office/spreadsheetml/2009/9/main" objectType="CheckBox" fmlaLink="$AD$119" lockText="1"/>
</file>

<file path=xl/ctrlProps/ctrlProp26.xml><?xml version="1.0" encoding="utf-8"?>
<formControlPr xmlns="http://schemas.microsoft.com/office/spreadsheetml/2009/9/main" objectType="CheckBox" fmlaLink="$AD$120" lockText="1"/>
</file>

<file path=xl/ctrlProps/ctrlProp27.xml><?xml version="1.0" encoding="utf-8"?>
<formControlPr xmlns="http://schemas.microsoft.com/office/spreadsheetml/2009/9/main" objectType="CheckBox" fmlaLink="$AD$122" lockText="1"/>
</file>

<file path=xl/ctrlProps/ctrlProp28.xml><?xml version="1.0" encoding="utf-8"?>
<formControlPr xmlns="http://schemas.microsoft.com/office/spreadsheetml/2009/9/main" objectType="CheckBox" fmlaLink="$AD$123" lockText="1"/>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 Id="rId9"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21" Type="http://schemas.openxmlformats.org/officeDocument/2006/relationships/chart" Target="../charts/chart41.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20" Type="http://schemas.openxmlformats.org/officeDocument/2006/relationships/chart" Target="../charts/chart40.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23" Type="http://schemas.openxmlformats.org/officeDocument/2006/relationships/chart" Target="../charts/chart43.xml"/><Relationship Id="rId10" Type="http://schemas.openxmlformats.org/officeDocument/2006/relationships/chart" Target="../charts/chart30.xml"/><Relationship Id="rId19" Type="http://schemas.openxmlformats.org/officeDocument/2006/relationships/chart" Target="../charts/chart39.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 Id="rId22" Type="http://schemas.openxmlformats.org/officeDocument/2006/relationships/chart" Target="../charts/chart42.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6.xml"/><Relationship Id="rId18" Type="http://schemas.openxmlformats.org/officeDocument/2006/relationships/chart" Target="../charts/chart61.xml"/><Relationship Id="rId3" Type="http://schemas.openxmlformats.org/officeDocument/2006/relationships/chart" Target="../charts/chart46.xml"/><Relationship Id="rId21" Type="http://schemas.openxmlformats.org/officeDocument/2006/relationships/chart" Target="../charts/chart64.xml"/><Relationship Id="rId7" Type="http://schemas.openxmlformats.org/officeDocument/2006/relationships/chart" Target="../charts/chart50.xml"/><Relationship Id="rId12" Type="http://schemas.openxmlformats.org/officeDocument/2006/relationships/chart" Target="../charts/chart55.xml"/><Relationship Id="rId17" Type="http://schemas.openxmlformats.org/officeDocument/2006/relationships/chart" Target="../charts/chart60.xml"/><Relationship Id="rId2" Type="http://schemas.openxmlformats.org/officeDocument/2006/relationships/chart" Target="../charts/chart45.xml"/><Relationship Id="rId16" Type="http://schemas.openxmlformats.org/officeDocument/2006/relationships/chart" Target="../charts/chart59.xml"/><Relationship Id="rId20" Type="http://schemas.openxmlformats.org/officeDocument/2006/relationships/chart" Target="../charts/chart63.xml"/><Relationship Id="rId1" Type="http://schemas.openxmlformats.org/officeDocument/2006/relationships/chart" Target="../charts/chart44.xml"/><Relationship Id="rId6" Type="http://schemas.openxmlformats.org/officeDocument/2006/relationships/chart" Target="../charts/chart49.xml"/><Relationship Id="rId11" Type="http://schemas.openxmlformats.org/officeDocument/2006/relationships/chart" Target="../charts/chart54.xml"/><Relationship Id="rId5" Type="http://schemas.openxmlformats.org/officeDocument/2006/relationships/chart" Target="../charts/chart48.xml"/><Relationship Id="rId15" Type="http://schemas.openxmlformats.org/officeDocument/2006/relationships/chart" Target="../charts/chart58.xml"/><Relationship Id="rId23" Type="http://schemas.openxmlformats.org/officeDocument/2006/relationships/chart" Target="../charts/chart66.xml"/><Relationship Id="rId10" Type="http://schemas.openxmlformats.org/officeDocument/2006/relationships/chart" Target="../charts/chart53.xml"/><Relationship Id="rId19" Type="http://schemas.openxmlformats.org/officeDocument/2006/relationships/chart" Target="../charts/chart62.xml"/><Relationship Id="rId4" Type="http://schemas.openxmlformats.org/officeDocument/2006/relationships/chart" Target="../charts/chart47.xml"/><Relationship Id="rId9" Type="http://schemas.openxmlformats.org/officeDocument/2006/relationships/chart" Target="../charts/chart52.xml"/><Relationship Id="rId14" Type="http://schemas.openxmlformats.org/officeDocument/2006/relationships/chart" Target="../charts/chart57.xml"/><Relationship Id="rId22" Type="http://schemas.openxmlformats.org/officeDocument/2006/relationships/chart" Target="../charts/chart6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74.xml"/><Relationship Id="rId3" Type="http://schemas.openxmlformats.org/officeDocument/2006/relationships/chart" Target="../charts/chart69.xml"/><Relationship Id="rId7" Type="http://schemas.openxmlformats.org/officeDocument/2006/relationships/chart" Target="../charts/chart73.xml"/><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chart" Target="../charts/chart76.xml"/><Relationship Id="rId4" Type="http://schemas.openxmlformats.org/officeDocument/2006/relationships/chart" Target="../charts/chart70.xml"/><Relationship Id="rId9" Type="http://schemas.openxmlformats.org/officeDocument/2006/relationships/chart" Target="../charts/chart75.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84.xml"/><Relationship Id="rId3" Type="http://schemas.openxmlformats.org/officeDocument/2006/relationships/chart" Target="../charts/chart79.xml"/><Relationship Id="rId7" Type="http://schemas.openxmlformats.org/officeDocument/2006/relationships/chart" Target="../charts/chart83.xml"/><Relationship Id="rId2" Type="http://schemas.openxmlformats.org/officeDocument/2006/relationships/chart" Target="../charts/chart78.xml"/><Relationship Id="rId1" Type="http://schemas.openxmlformats.org/officeDocument/2006/relationships/chart" Target="../charts/chart77.xml"/><Relationship Id="rId6" Type="http://schemas.openxmlformats.org/officeDocument/2006/relationships/chart" Target="../charts/chart82.xml"/><Relationship Id="rId5" Type="http://schemas.openxmlformats.org/officeDocument/2006/relationships/chart" Target="../charts/chart81.xml"/><Relationship Id="rId4" Type="http://schemas.openxmlformats.org/officeDocument/2006/relationships/chart" Target="../charts/chart8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eg"/><Relationship Id="rId5" Type="http://schemas.openxmlformats.org/officeDocument/2006/relationships/image" Target="../media/image9.jpeg"/><Relationship Id="rId4" Type="http://schemas.openxmlformats.org/officeDocument/2006/relationships/image" Target="../media/image8.jpeg"/></Relationships>
</file>

<file path=xl/drawings/_rels/drawing16.xml.rels><?xml version="1.0" encoding="UTF-8" standalone="yes"?>
<Relationships xmlns="http://schemas.openxmlformats.org/package/2006/relationships"><Relationship Id="rId8" Type="http://schemas.openxmlformats.org/officeDocument/2006/relationships/chart" Target="../charts/chart92.xml"/><Relationship Id="rId13" Type="http://schemas.openxmlformats.org/officeDocument/2006/relationships/chart" Target="../charts/chart97.xml"/><Relationship Id="rId18" Type="http://schemas.openxmlformats.org/officeDocument/2006/relationships/chart" Target="../charts/chart102.xml"/><Relationship Id="rId26" Type="http://schemas.openxmlformats.org/officeDocument/2006/relationships/chart" Target="../charts/chart110.xml"/><Relationship Id="rId3" Type="http://schemas.openxmlformats.org/officeDocument/2006/relationships/chart" Target="../charts/chart87.xml"/><Relationship Id="rId21" Type="http://schemas.openxmlformats.org/officeDocument/2006/relationships/chart" Target="../charts/chart105.xml"/><Relationship Id="rId34" Type="http://schemas.openxmlformats.org/officeDocument/2006/relationships/chart" Target="../charts/chart118.xml"/><Relationship Id="rId7" Type="http://schemas.openxmlformats.org/officeDocument/2006/relationships/chart" Target="../charts/chart91.xml"/><Relationship Id="rId12" Type="http://schemas.openxmlformats.org/officeDocument/2006/relationships/chart" Target="../charts/chart96.xml"/><Relationship Id="rId17" Type="http://schemas.openxmlformats.org/officeDocument/2006/relationships/chart" Target="../charts/chart101.xml"/><Relationship Id="rId25" Type="http://schemas.openxmlformats.org/officeDocument/2006/relationships/chart" Target="../charts/chart109.xml"/><Relationship Id="rId33" Type="http://schemas.openxmlformats.org/officeDocument/2006/relationships/chart" Target="../charts/chart117.xml"/><Relationship Id="rId2" Type="http://schemas.openxmlformats.org/officeDocument/2006/relationships/chart" Target="../charts/chart86.xml"/><Relationship Id="rId16" Type="http://schemas.openxmlformats.org/officeDocument/2006/relationships/chart" Target="../charts/chart100.xml"/><Relationship Id="rId20" Type="http://schemas.openxmlformats.org/officeDocument/2006/relationships/chart" Target="../charts/chart104.xml"/><Relationship Id="rId29" Type="http://schemas.openxmlformats.org/officeDocument/2006/relationships/chart" Target="../charts/chart113.xml"/><Relationship Id="rId1" Type="http://schemas.openxmlformats.org/officeDocument/2006/relationships/chart" Target="../charts/chart85.xml"/><Relationship Id="rId6" Type="http://schemas.openxmlformats.org/officeDocument/2006/relationships/chart" Target="../charts/chart90.xml"/><Relationship Id="rId11" Type="http://schemas.openxmlformats.org/officeDocument/2006/relationships/chart" Target="../charts/chart95.xml"/><Relationship Id="rId24" Type="http://schemas.openxmlformats.org/officeDocument/2006/relationships/chart" Target="../charts/chart108.xml"/><Relationship Id="rId32" Type="http://schemas.openxmlformats.org/officeDocument/2006/relationships/chart" Target="../charts/chart116.xml"/><Relationship Id="rId5" Type="http://schemas.openxmlformats.org/officeDocument/2006/relationships/chart" Target="../charts/chart89.xml"/><Relationship Id="rId15" Type="http://schemas.openxmlformats.org/officeDocument/2006/relationships/chart" Target="../charts/chart99.xml"/><Relationship Id="rId23" Type="http://schemas.openxmlformats.org/officeDocument/2006/relationships/chart" Target="../charts/chart107.xml"/><Relationship Id="rId28" Type="http://schemas.openxmlformats.org/officeDocument/2006/relationships/chart" Target="../charts/chart112.xml"/><Relationship Id="rId10" Type="http://schemas.openxmlformats.org/officeDocument/2006/relationships/chart" Target="../charts/chart94.xml"/><Relationship Id="rId19" Type="http://schemas.openxmlformats.org/officeDocument/2006/relationships/chart" Target="../charts/chart103.xml"/><Relationship Id="rId31" Type="http://schemas.openxmlformats.org/officeDocument/2006/relationships/chart" Target="../charts/chart115.xml"/><Relationship Id="rId4" Type="http://schemas.openxmlformats.org/officeDocument/2006/relationships/chart" Target="../charts/chart88.xml"/><Relationship Id="rId9" Type="http://schemas.openxmlformats.org/officeDocument/2006/relationships/chart" Target="../charts/chart93.xml"/><Relationship Id="rId14" Type="http://schemas.openxmlformats.org/officeDocument/2006/relationships/chart" Target="../charts/chart98.xml"/><Relationship Id="rId22" Type="http://schemas.openxmlformats.org/officeDocument/2006/relationships/chart" Target="../charts/chart106.xml"/><Relationship Id="rId27" Type="http://schemas.openxmlformats.org/officeDocument/2006/relationships/chart" Target="../charts/chart111.xml"/><Relationship Id="rId30" Type="http://schemas.openxmlformats.org/officeDocument/2006/relationships/chart" Target="../charts/chart114.xml"/><Relationship Id="rId35" Type="http://schemas.openxmlformats.org/officeDocument/2006/relationships/chart" Target="../charts/chart119.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chart" Target="../charts/chart126.xml"/><Relationship Id="rId3" Type="http://schemas.openxmlformats.org/officeDocument/2006/relationships/chart" Target="../charts/chart121.xml"/><Relationship Id="rId7" Type="http://schemas.openxmlformats.org/officeDocument/2006/relationships/chart" Target="../charts/chart125.xml"/><Relationship Id="rId2" Type="http://schemas.openxmlformats.org/officeDocument/2006/relationships/chart" Target="../charts/chart120.xml"/><Relationship Id="rId1" Type="http://schemas.openxmlformats.org/officeDocument/2006/relationships/image" Target="../media/image11.png"/><Relationship Id="rId6" Type="http://schemas.openxmlformats.org/officeDocument/2006/relationships/chart" Target="../charts/chart124.xml"/><Relationship Id="rId5" Type="http://schemas.openxmlformats.org/officeDocument/2006/relationships/chart" Target="../charts/chart123.xml"/><Relationship Id="rId4" Type="http://schemas.openxmlformats.org/officeDocument/2006/relationships/chart" Target="../charts/chart122.xml"/><Relationship Id="rId9" Type="http://schemas.openxmlformats.org/officeDocument/2006/relationships/chart" Target="../charts/chart127.xml"/></Relationships>
</file>

<file path=xl/drawings/_rels/drawing2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chart" Target="../charts/chart128.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762000</xdr:colOff>
      <xdr:row>19</xdr:row>
      <xdr:rowOff>104775</xdr:rowOff>
    </xdr:from>
    <xdr:to>
      <xdr:col>4</xdr:col>
      <xdr:colOff>1076325</xdr:colOff>
      <xdr:row>21</xdr:row>
      <xdr:rowOff>26334</xdr:rowOff>
    </xdr:to>
    <xdr:sp macro="[0]!tlOutputNamer_Main" textlink="">
      <xdr:nvSpPr>
        <xdr:cNvPr id="2" name="btnTestAuto_Individual">
          <a:extLst>
            <a:ext uri="{FF2B5EF4-FFF2-40B4-BE49-F238E27FC236}">
              <a16:creationId xmlns:a16="http://schemas.microsoft.com/office/drawing/2014/main" id="{00000000-0008-0000-0100-000002000000}"/>
            </a:ext>
          </a:extLst>
        </xdr:cNvPr>
        <xdr:cNvSpPr/>
      </xdr:nvSpPr>
      <xdr:spPr bwMode="auto">
        <a:xfrm>
          <a:off x="923925" y="3514725"/>
          <a:ext cx="2466975" cy="302559"/>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Name tlOutput Ranges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19</xdr:row>
          <xdr:rowOff>19050</xdr:rowOff>
        </xdr:from>
        <xdr:to>
          <xdr:col>3</xdr:col>
          <xdr:colOff>1638300</xdr:colOff>
          <xdr:row>21</xdr:row>
          <xdr:rowOff>0</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0200-00000164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Verdana"/>
                  <a:ea typeface="Verdana"/>
                  <a:cs typeface="Verdana"/>
                </a:rPr>
                <a:t>Create tlObal Ranges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32</xdr:row>
          <xdr:rowOff>123825</xdr:rowOff>
        </xdr:from>
        <xdr:to>
          <xdr:col>5</xdr:col>
          <xdr:colOff>581025</xdr:colOff>
          <xdr:row>34</xdr:row>
          <xdr:rowOff>95250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Import Balances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35</xdr:row>
          <xdr:rowOff>95250</xdr:rowOff>
        </xdr:from>
        <xdr:to>
          <xdr:col>5</xdr:col>
          <xdr:colOff>523875</xdr:colOff>
          <xdr:row>37</xdr:row>
          <xdr:rowOff>57150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Zoom Tool Sheets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593912</xdr:colOff>
      <xdr:row>15</xdr:row>
      <xdr:rowOff>156883</xdr:rowOff>
    </xdr:from>
    <xdr:ext cx="1596837" cy="264584"/>
    <xdr:grpSp>
      <xdr:nvGrpSpPr>
        <xdr:cNvPr id="2" name="Group 1">
          <a:extLst>
            <a:ext uri="{FF2B5EF4-FFF2-40B4-BE49-F238E27FC236}">
              <a16:creationId xmlns:a16="http://schemas.microsoft.com/office/drawing/2014/main" id="{00000000-0008-0000-0600-000002000000}"/>
            </a:ext>
          </a:extLst>
        </xdr:cNvPr>
        <xdr:cNvGrpSpPr/>
      </xdr:nvGrpSpPr>
      <xdr:grpSpPr>
        <a:xfrm>
          <a:off x="5661212" y="2842933"/>
          <a:ext cx="1596837" cy="264584"/>
          <a:chOff x="2190750" y="740833"/>
          <a:chExt cx="1598083" cy="264583"/>
        </a:xfrm>
      </xdr:grpSpPr>
      <xdr:sp macro="[0]!ToolNavMenu" textlink="">
        <xdr:nvSpPr>
          <xdr:cNvPr id="3" name="Rectangle 2">
            <a:extLst>
              <a:ext uri="{FF2B5EF4-FFF2-40B4-BE49-F238E27FC236}">
                <a16:creationId xmlns:a16="http://schemas.microsoft.com/office/drawing/2014/main" id="{00000000-0008-0000-0600-000003000000}"/>
              </a:ext>
            </a:extLst>
          </xdr:cNvPr>
          <xdr:cNvSpPr/>
        </xdr:nvSpPr>
        <xdr:spPr bwMode="auto">
          <a:xfrm>
            <a:off x="2190750" y="740833"/>
            <a:ext cx="1598083" cy="264583"/>
          </a:xfrm>
          <a:prstGeom prst="rect">
            <a:avLst/>
          </a:prstGeom>
          <a:noFill/>
          <a:ln w="9525" cap="flat" cmpd="sng" algn="ctr">
            <a:noFill/>
            <a:prstDash val="solid"/>
            <a:round/>
            <a:headEnd type="none" w="med" len="med"/>
            <a:tailEnd type="none" w="med" len="med"/>
          </a:ln>
          <a:effectLst/>
        </xdr:spPr>
        <xdr:txBody>
          <a:bodyPr vertOverflow="clip" horzOverflow="clip" wrap="square" lIns="18288" tIns="0" rIns="0" bIns="0" rtlCol="0" anchor="ctr" upright="1"/>
          <a:lstStyle/>
          <a:p>
            <a:pPr algn="l"/>
            <a:r>
              <a:rPr lang="en-US" sz="1200" u="sng">
                <a:solidFill>
                  <a:srgbClr val="FB054B"/>
                </a:solidFill>
                <a:latin typeface="Verdana" panose="020B0604030504040204" pitchFamily="34" charset="0"/>
                <a:ea typeface="Verdana" panose="020B0604030504040204" pitchFamily="34" charset="0"/>
                <a:cs typeface="Verdana" panose="020B0604030504040204" pitchFamily="34" charset="0"/>
              </a:rPr>
              <a:t>Navigation Menu</a:t>
            </a:r>
          </a:p>
        </xdr:txBody>
      </xdr:sp>
      <xdr:sp macro="[0]!ToolNavMenu" textlink="">
        <xdr:nvSpPr>
          <xdr:cNvPr id="4" name="Isosceles Triangle 3">
            <a:extLst>
              <a:ext uri="{FF2B5EF4-FFF2-40B4-BE49-F238E27FC236}">
                <a16:creationId xmlns:a16="http://schemas.microsoft.com/office/drawing/2014/main" id="{00000000-0008-0000-0600-000004000000}"/>
              </a:ext>
            </a:extLst>
          </xdr:cNvPr>
          <xdr:cNvSpPr/>
        </xdr:nvSpPr>
        <xdr:spPr bwMode="auto">
          <a:xfrm rot="5400000">
            <a:off x="3614430" y="810046"/>
            <a:ext cx="146341" cy="126156"/>
          </a:xfrm>
          <a:prstGeom prst="triangle">
            <a:avLst/>
          </a:prstGeom>
          <a:solidFill>
            <a:srgbClr val="FB054B"/>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solidFill>
                <a:srgbClr val="FB054B"/>
              </a:solidFill>
              <a:latin typeface="Verdana" panose="020B0604030504040204" pitchFamily="34" charset="0"/>
              <a:ea typeface="Verdana" panose="020B0604030504040204" pitchFamily="34" charset="0"/>
              <a:cs typeface="Verdana" panose="020B0604030504040204" pitchFamily="34" charset="0"/>
            </a:endParaRPr>
          </a:p>
        </xdr:txBody>
      </xdr:sp>
    </xdr:grpSp>
    <xdr:clientData/>
  </xdr:oneCellAnchor>
  <mc:AlternateContent xmlns:mc="http://schemas.openxmlformats.org/markup-compatibility/2006">
    <mc:Choice xmlns:a14="http://schemas.microsoft.com/office/drawing/2010/main" Requires="a14">
      <xdr:twoCellAnchor>
        <xdr:from>
          <xdr:col>4</xdr:col>
          <xdr:colOff>342900</xdr:colOff>
          <xdr:row>44</xdr:row>
          <xdr:rowOff>19050</xdr:rowOff>
        </xdr:from>
        <xdr:to>
          <xdr:col>6</xdr:col>
          <xdr:colOff>323850</xdr:colOff>
          <xdr:row>46</xdr:row>
          <xdr:rowOff>152400</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0600-000001F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00"/>
                  </a:solidFill>
                  <a:latin typeface="Verdana"/>
                  <a:ea typeface="Verdana"/>
                  <a:cs typeface="Verdana"/>
                </a:rPr>
                <a:t>2) Format Nav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19050</xdr:rowOff>
        </xdr:from>
        <xdr:to>
          <xdr:col>3</xdr:col>
          <xdr:colOff>38100</xdr:colOff>
          <xdr:row>46</xdr:row>
          <xdr:rowOff>152400</xdr:rowOff>
        </xdr:to>
        <xdr:sp macro="" textlink="">
          <xdr:nvSpPr>
            <xdr:cNvPr id="129026" name="Button 2" hidden="1">
              <a:extLst>
                <a:ext uri="{63B3BB69-23CF-44E3-9099-C40C66FF867C}">
                  <a14:compatExt spid="_x0000_s129026"/>
                </a:ext>
                <a:ext uri="{FF2B5EF4-FFF2-40B4-BE49-F238E27FC236}">
                  <a16:creationId xmlns:a16="http://schemas.microsoft.com/office/drawing/2014/main" id="{00000000-0008-0000-0600-000002F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00"/>
                  </a:solidFill>
                  <a:latin typeface="Verdana"/>
                  <a:ea typeface="Verdana"/>
                  <a:cs typeface="Verdana"/>
                </a:rPr>
                <a:t>1) Tabulate Nav Layout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98</xdr:row>
          <xdr:rowOff>0</xdr:rowOff>
        </xdr:from>
        <xdr:to>
          <xdr:col>15</xdr:col>
          <xdr:colOff>485775</xdr:colOff>
          <xdr:row>98</xdr:row>
          <xdr:rowOff>0</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07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126475</xdr:colOff>
      <xdr:row>2</xdr:row>
      <xdr:rowOff>117520</xdr:rowOff>
    </xdr:from>
    <xdr:ext cx="8617550" cy="528734"/>
    <xdr:sp macro="" textlink="">
      <xdr:nvSpPr>
        <xdr:cNvPr id="3" name="Rectangle 2">
          <a:extLst>
            <a:ext uri="{FF2B5EF4-FFF2-40B4-BE49-F238E27FC236}">
              <a16:creationId xmlns:a16="http://schemas.microsoft.com/office/drawing/2014/main" id="{00000000-0008-0000-0700-000003000000}"/>
            </a:ext>
          </a:extLst>
        </xdr:cNvPr>
        <xdr:cNvSpPr/>
      </xdr:nvSpPr>
      <xdr:spPr>
        <a:xfrm>
          <a:off x="1078975" y="609133"/>
          <a:ext cx="8617550" cy="528734"/>
        </a:xfrm>
        <a:prstGeom prst="rect">
          <a:avLst/>
        </a:prstGeom>
        <a:noFill/>
      </xdr:spPr>
      <xdr:txBody>
        <a:bodyPr wrap="square" lIns="91440" tIns="45720" rIns="91440" bIns="45720">
          <a:spAutoFit/>
        </a:bodyPr>
        <a:lstStyle/>
        <a:p>
          <a:pPr algn="ctr"/>
          <a:r>
            <a:rPr lang="en-US" sz="2800" b="0" i="0" cap="none" spc="0">
              <a:ln w="1905">
                <a:noFill/>
              </a:ln>
              <a:solidFill>
                <a:schemeClr val="bg1"/>
              </a:solidFill>
              <a:effectLst/>
              <a:latin typeface="Verdana" panose="020B0604030504040204" pitchFamily="34" charset="0"/>
              <a:ea typeface="Verdana" panose="020B0604030504040204" pitchFamily="34" charset="0"/>
              <a:cs typeface="Verdana" panose="020B0604030504040204" pitchFamily="34" charset="0"/>
            </a:rPr>
            <a:t>Appirio Leadership</a:t>
          </a:r>
          <a:r>
            <a:rPr lang="en-US" sz="2800" b="0" i="0" cap="none" spc="0" baseline="0">
              <a:ln w="1905">
                <a:noFill/>
              </a:ln>
              <a:solidFill>
                <a:schemeClr val="bg1"/>
              </a:solidFill>
              <a:effectLst/>
              <a:latin typeface="Verdana" panose="020B0604030504040204" pitchFamily="34" charset="0"/>
              <a:ea typeface="Verdana" panose="020B0604030504040204" pitchFamily="34" charset="0"/>
              <a:cs typeface="Verdana" panose="020B0604030504040204" pitchFamily="34" charset="0"/>
            </a:rPr>
            <a:t> Summit 2016</a:t>
          </a:r>
          <a:endParaRPr lang="en-US" sz="2800" b="0" i="0" cap="none" spc="0">
            <a:ln w="1905">
              <a:noFill/>
            </a:ln>
            <a:solidFill>
              <a:schemeClr val="bg1"/>
            </a:solidFill>
            <a:effectLst/>
            <a:latin typeface="Verdana" panose="020B0604030504040204" pitchFamily="34" charset="0"/>
            <a:ea typeface="Verdana" panose="020B0604030504040204" pitchFamily="34" charset="0"/>
            <a:cs typeface="Verdana" panose="020B0604030504040204" pitchFamily="34" charset="0"/>
          </a:endParaRPr>
        </a:p>
      </xdr:txBody>
    </xdr:sp>
    <xdr:clientData/>
  </xdr:oneCellAnchor>
  <xdr:twoCellAnchor editAs="oneCell">
    <xdr:from>
      <xdr:col>1</xdr:col>
      <xdr:colOff>457106</xdr:colOff>
      <xdr:row>15</xdr:row>
      <xdr:rowOff>120266</xdr:rowOff>
    </xdr:from>
    <xdr:to>
      <xdr:col>3</xdr:col>
      <xdr:colOff>550442</xdr:colOff>
      <xdr:row>17</xdr:row>
      <xdr:rowOff>189565</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9606" y="4397298"/>
          <a:ext cx="1617336" cy="560912"/>
        </a:xfrm>
        <a:prstGeom prst="rect">
          <a:avLst/>
        </a:prstGeom>
      </xdr:spPr>
    </xdr:pic>
    <xdr:clientData/>
  </xdr:twoCellAnchor>
  <xdr:twoCellAnchor>
    <xdr:from>
      <xdr:col>3</xdr:col>
      <xdr:colOff>286560</xdr:colOff>
      <xdr:row>3</xdr:row>
      <xdr:rowOff>753943</xdr:rowOff>
    </xdr:from>
    <xdr:to>
      <xdr:col>4</xdr:col>
      <xdr:colOff>1041443</xdr:colOff>
      <xdr:row>12</xdr:row>
      <xdr:rowOff>47704</xdr:rowOff>
    </xdr:to>
    <xdr:pic>
      <xdr:nvPicPr>
        <xdr:cNvPr id="29" name="Picture 28" descr="http://www.gescandon.com/images/appirioLogo.png">
          <a:extLst>
            <a:ext uri="{FF2B5EF4-FFF2-40B4-BE49-F238E27FC236}">
              <a16:creationId xmlns:a16="http://schemas.microsoft.com/office/drawing/2014/main" id="{00000000-0008-0000-0700-00001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305" r="53576"/>
        <a:stretch/>
      </xdr:blipFill>
      <xdr:spPr bwMode="auto">
        <a:xfrm rot="16200000">
          <a:off x="2480507" y="1798496"/>
          <a:ext cx="2116625" cy="1534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948449</xdr:colOff>
      <xdr:row>5</xdr:row>
      <xdr:rowOff>88274</xdr:rowOff>
    </xdr:from>
    <xdr:to>
      <xdr:col>8</xdr:col>
      <xdr:colOff>1586865</xdr:colOff>
      <xdr:row>9</xdr:row>
      <xdr:rowOff>141872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4205999" y="2031374"/>
          <a:ext cx="4543666" cy="1044198"/>
        </a:xfrm>
        <a:prstGeom prst="rect">
          <a:avLst/>
        </a:prstGeom>
      </xdr:spPr>
    </xdr:pic>
    <xdr:clientData/>
  </xdr:twoCellAnchor>
  <xdr:twoCellAnchor>
    <xdr:from>
      <xdr:col>8</xdr:col>
      <xdr:colOff>331834</xdr:colOff>
      <xdr:row>19</xdr:row>
      <xdr:rowOff>12290</xdr:rowOff>
    </xdr:from>
    <xdr:to>
      <xdr:col>8</xdr:col>
      <xdr:colOff>1411731</xdr:colOff>
      <xdr:row>21</xdr:row>
      <xdr:rowOff>0</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7494634" y="5184365"/>
          <a:ext cx="1079897" cy="368710"/>
          <a:chOff x="7306597" y="5161935"/>
          <a:chExt cx="1079897" cy="368710"/>
        </a:xfrm>
      </xdr:grpSpPr>
      <xdr:sp macro="[0]!ToolNavMenu" textlink="">
        <xdr:nvSpPr>
          <xdr:cNvPr id="2" name="TextBox 1">
            <a:extLst>
              <a:ext uri="{FF2B5EF4-FFF2-40B4-BE49-F238E27FC236}">
                <a16:creationId xmlns:a16="http://schemas.microsoft.com/office/drawing/2014/main" id="{00000000-0008-0000-0700-000002000000}"/>
              </a:ext>
            </a:extLst>
          </xdr:cNvPr>
          <xdr:cNvSpPr txBox="1"/>
        </xdr:nvSpPr>
        <xdr:spPr>
          <a:xfrm>
            <a:off x="7306597" y="5161935"/>
            <a:ext cx="1001661" cy="368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i="1">
                <a:solidFill>
                  <a:schemeClr val="bg1"/>
                </a:solidFill>
                <a:latin typeface="Verdana" panose="020B0604030504040204" pitchFamily="34" charset="0"/>
                <a:ea typeface="Verdana" panose="020B0604030504040204" pitchFamily="34" charset="0"/>
                <a:cs typeface="Verdana" panose="020B0604030504040204" pitchFamily="34" charset="0"/>
              </a:rPr>
              <a:t>Start</a:t>
            </a:r>
          </a:p>
        </xdr:txBody>
      </xdr:sp>
      <xdr:sp macro="[0]!ToolNavMenu" textlink="">
        <xdr:nvSpPr>
          <xdr:cNvPr id="6" name="Isosceles Triangle 5">
            <a:extLst>
              <a:ext uri="{FF2B5EF4-FFF2-40B4-BE49-F238E27FC236}">
                <a16:creationId xmlns:a16="http://schemas.microsoft.com/office/drawing/2014/main" id="{00000000-0008-0000-0700-000006000000}"/>
              </a:ext>
            </a:extLst>
          </xdr:cNvPr>
          <xdr:cNvSpPr/>
        </xdr:nvSpPr>
        <xdr:spPr bwMode="auto">
          <a:xfrm rot="5400000">
            <a:off x="8172237" y="5267232"/>
            <a:ext cx="230127" cy="198386"/>
          </a:xfrm>
          <a:prstGeom prst="triangle">
            <a:avLst/>
          </a:prstGeom>
          <a:solidFill>
            <a:schemeClr val="bg1"/>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559200</xdr:colOff>
      <xdr:row>0</xdr:row>
      <xdr:rowOff>172066</xdr:rowOff>
    </xdr:from>
    <xdr:to>
      <xdr:col>16</xdr:col>
      <xdr:colOff>464267</xdr:colOff>
      <xdr:row>1</xdr:row>
      <xdr:rowOff>147485</xdr:rowOff>
    </xdr:to>
    <xdr:grpSp>
      <xdr:nvGrpSpPr>
        <xdr:cNvPr id="5" name="Group 4">
          <a:extLst>
            <a:ext uri="{FF2B5EF4-FFF2-40B4-BE49-F238E27FC236}">
              <a16:creationId xmlns:a16="http://schemas.microsoft.com/office/drawing/2014/main" id="{00000000-0008-0000-0800-000005000000}"/>
            </a:ext>
          </a:extLst>
        </xdr:cNvPr>
        <xdr:cNvGrpSpPr/>
      </xdr:nvGrpSpPr>
      <xdr:grpSpPr>
        <a:xfrm>
          <a:off x="8617350" y="172066"/>
          <a:ext cx="1362392" cy="204019"/>
          <a:chOff x="8019435" y="79888"/>
          <a:chExt cx="1361471" cy="202790"/>
        </a:xfrm>
      </xdr:grpSpPr>
      <xdr:sp macro="[0]!ToolNavMenu" textlink="">
        <xdr:nvSpPr>
          <xdr:cNvPr id="6" name="TextBox 5">
            <a:extLst>
              <a:ext uri="{FF2B5EF4-FFF2-40B4-BE49-F238E27FC236}">
                <a16:creationId xmlns:a16="http://schemas.microsoft.com/office/drawing/2014/main" id="{00000000-0008-0000-0800-000006000000}"/>
              </a:ext>
            </a:extLst>
          </xdr:cNvPr>
          <xdr:cNvSpPr txBox="1"/>
        </xdr:nvSpPr>
        <xdr:spPr>
          <a:xfrm>
            <a:off x="8019435" y="79888"/>
            <a:ext cx="1290484" cy="202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7" name="Isosceles Triangle 6">
            <a:extLst>
              <a:ext uri="{FF2B5EF4-FFF2-40B4-BE49-F238E27FC236}">
                <a16:creationId xmlns:a16="http://schemas.microsoft.com/office/drawing/2014/main" id="{00000000-0008-0000-0800-000007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485774</xdr:colOff>
      <xdr:row>10</xdr:row>
      <xdr:rowOff>64732</xdr:rowOff>
    </xdr:from>
    <xdr:to>
      <xdr:col>23</xdr:col>
      <xdr:colOff>514349</xdr:colOff>
      <xdr:row>25</xdr:row>
      <xdr:rowOff>9248</xdr:rowOff>
    </xdr:to>
    <xdr:graphicFrame macro="">
      <xdr:nvGraphicFramePr>
        <xdr:cNvPr id="67" name="Chart 66">
          <a:extLst>
            <a:ext uri="{FF2B5EF4-FFF2-40B4-BE49-F238E27FC236}">
              <a16:creationId xmlns:a16="http://schemas.microsoft.com/office/drawing/2014/main" id="{00000000-0008-0000-09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xdr:row>
      <xdr:rowOff>38058</xdr:rowOff>
    </xdr:from>
    <xdr:to>
      <xdr:col>6</xdr:col>
      <xdr:colOff>4191</xdr:colOff>
      <xdr:row>6</xdr:row>
      <xdr:rowOff>163407</xdr:rowOff>
    </xdr:to>
    <xdr:grpSp>
      <xdr:nvGrpSpPr>
        <xdr:cNvPr id="23" name="Group 22">
          <a:extLst>
            <a:ext uri="{FF2B5EF4-FFF2-40B4-BE49-F238E27FC236}">
              <a16:creationId xmlns:a16="http://schemas.microsoft.com/office/drawing/2014/main" id="{00000000-0008-0000-0900-000017000000}"/>
            </a:ext>
          </a:extLst>
        </xdr:cNvPr>
        <xdr:cNvGrpSpPr/>
      </xdr:nvGrpSpPr>
      <xdr:grpSpPr>
        <a:xfrm>
          <a:off x="0" y="630725"/>
          <a:ext cx="2438358" cy="866182"/>
          <a:chOff x="2704113" y="1089314"/>
          <a:chExt cx="4635330" cy="1687107"/>
        </a:xfrm>
      </xdr:grpSpPr>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2704893" y="1147967"/>
          <a:ext cx="4540210" cy="16284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313886</xdr:colOff>
      <xdr:row>3</xdr:row>
      <xdr:rowOff>38058</xdr:rowOff>
    </xdr:from>
    <xdr:to>
      <xdr:col>13</xdr:col>
      <xdr:colOff>708602</xdr:colOff>
      <xdr:row>6</xdr:row>
      <xdr:rowOff>163407</xdr:rowOff>
    </xdr:to>
    <xdr:grpSp>
      <xdr:nvGrpSpPr>
        <xdr:cNvPr id="29" name="Group 28">
          <a:extLst>
            <a:ext uri="{FF2B5EF4-FFF2-40B4-BE49-F238E27FC236}">
              <a16:creationId xmlns:a16="http://schemas.microsoft.com/office/drawing/2014/main" id="{00000000-0008-0000-0900-00001D000000}"/>
            </a:ext>
          </a:extLst>
        </xdr:cNvPr>
        <xdr:cNvGrpSpPr/>
      </xdr:nvGrpSpPr>
      <xdr:grpSpPr>
        <a:xfrm>
          <a:off x="3986303" y="630725"/>
          <a:ext cx="2426716" cy="866182"/>
          <a:chOff x="2704113" y="1089314"/>
          <a:chExt cx="4635330" cy="1687107"/>
        </a:xfrm>
      </xdr:grpSpPr>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322332</xdr:colOff>
      <xdr:row>3</xdr:row>
      <xdr:rowOff>38058</xdr:rowOff>
    </xdr:from>
    <xdr:to>
      <xdr:col>9</xdr:col>
      <xdr:colOff>714450</xdr:colOff>
      <xdr:row>6</xdr:row>
      <xdr:rowOff>163407</xdr:rowOff>
    </xdr:to>
    <xdr:grpSp>
      <xdr:nvGrpSpPr>
        <xdr:cNvPr id="32" name="Group 31">
          <a:extLst>
            <a:ext uri="{FF2B5EF4-FFF2-40B4-BE49-F238E27FC236}">
              <a16:creationId xmlns:a16="http://schemas.microsoft.com/office/drawing/2014/main" id="{00000000-0008-0000-0900-000020000000}"/>
            </a:ext>
          </a:extLst>
        </xdr:cNvPr>
        <xdr:cNvGrpSpPr/>
      </xdr:nvGrpSpPr>
      <xdr:grpSpPr>
        <a:xfrm>
          <a:off x="1962749" y="630725"/>
          <a:ext cx="2424118" cy="866182"/>
          <a:chOff x="2704113" y="1089314"/>
          <a:chExt cx="4635330" cy="1687107"/>
        </a:xfrm>
      </xdr:grpSpPr>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2704895" y="1147967"/>
          <a:ext cx="4540209" cy="16284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13</xdr:col>
      <xdr:colOff>230086</xdr:colOff>
      <xdr:row>3</xdr:row>
      <xdr:rowOff>64036</xdr:rowOff>
    </xdr:from>
    <xdr:to>
      <xdr:col>17</xdr:col>
      <xdr:colOff>624802</xdr:colOff>
      <xdr:row>6</xdr:row>
      <xdr:rowOff>189385</xdr:rowOff>
    </xdr:to>
    <xdr:grpSp>
      <xdr:nvGrpSpPr>
        <xdr:cNvPr id="35" name="Group 34">
          <a:extLst>
            <a:ext uri="{FF2B5EF4-FFF2-40B4-BE49-F238E27FC236}">
              <a16:creationId xmlns:a16="http://schemas.microsoft.com/office/drawing/2014/main" id="{00000000-0008-0000-0900-000023000000}"/>
            </a:ext>
          </a:extLst>
        </xdr:cNvPr>
        <xdr:cNvGrpSpPr/>
      </xdr:nvGrpSpPr>
      <xdr:grpSpPr>
        <a:xfrm>
          <a:off x="5934503" y="656703"/>
          <a:ext cx="2426716" cy="866182"/>
          <a:chOff x="2704113" y="1089314"/>
          <a:chExt cx="4635330" cy="1687108"/>
        </a:xfrm>
      </xdr:grpSpPr>
      <xdr:graphicFrame macro="">
        <xdr:nvGraphicFramePr>
          <xdr:cNvPr id="39" name="Chart 38">
            <a:extLst>
              <a:ext uri="{FF2B5EF4-FFF2-40B4-BE49-F238E27FC236}">
                <a16:creationId xmlns:a16="http://schemas.microsoft.com/office/drawing/2014/main" id="{00000000-0008-0000-0900-00002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0" name="Chart 39">
            <a:extLst>
              <a:ext uri="{FF2B5EF4-FFF2-40B4-BE49-F238E27FC236}">
                <a16:creationId xmlns:a16="http://schemas.microsoft.com/office/drawing/2014/main" id="{00000000-0008-0000-0900-000028000000}"/>
              </a:ext>
            </a:extLst>
          </xdr:cNvPr>
          <xdr:cNvGraphicFramePr>
            <a:graphicFrameLocks/>
          </xdr:cNvGraphicFramePr>
        </xdr:nvGraphicFramePr>
        <xdr:xfrm>
          <a:off x="2704894" y="1147967"/>
          <a:ext cx="4540210" cy="1628455"/>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13</xdr:col>
      <xdr:colOff>522713</xdr:colOff>
      <xdr:row>26</xdr:row>
      <xdr:rowOff>0</xdr:rowOff>
    </xdr:from>
    <xdr:to>
      <xdr:col>23</xdr:col>
      <xdr:colOff>627256</xdr:colOff>
      <xdr:row>34</xdr:row>
      <xdr:rowOff>139390</xdr:rowOff>
    </xdr:to>
    <xdr:grpSp>
      <xdr:nvGrpSpPr>
        <xdr:cNvPr id="37" name="Group 36">
          <a:extLst>
            <a:ext uri="{FF2B5EF4-FFF2-40B4-BE49-F238E27FC236}">
              <a16:creationId xmlns:a16="http://schemas.microsoft.com/office/drawing/2014/main" id="{00000000-0008-0000-0900-000025000000}"/>
            </a:ext>
          </a:extLst>
        </xdr:cNvPr>
        <xdr:cNvGrpSpPr/>
      </xdr:nvGrpSpPr>
      <xdr:grpSpPr>
        <a:xfrm>
          <a:off x="6227130" y="3989917"/>
          <a:ext cx="5184543" cy="1345890"/>
          <a:chOff x="2704113" y="1089314"/>
          <a:chExt cx="4635330" cy="1687107"/>
        </a:xfrm>
      </xdr:grpSpPr>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4" name="Chart 43">
            <a:extLst>
              <a:ext uri="{FF2B5EF4-FFF2-40B4-BE49-F238E27FC236}">
                <a16:creationId xmlns:a16="http://schemas.microsoft.com/office/drawing/2014/main" id="{00000000-0008-0000-0900-00002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17</xdr:col>
      <xdr:colOff>190503</xdr:colOff>
      <xdr:row>1</xdr:row>
      <xdr:rowOff>61452</xdr:rowOff>
    </xdr:from>
    <xdr:to>
      <xdr:col>19</xdr:col>
      <xdr:colOff>538022</xdr:colOff>
      <xdr:row>1</xdr:row>
      <xdr:rowOff>264242</xdr:rowOff>
    </xdr:to>
    <xdr:grpSp>
      <xdr:nvGrpSpPr>
        <xdr:cNvPr id="4" name="Group 3">
          <a:extLst>
            <a:ext uri="{FF2B5EF4-FFF2-40B4-BE49-F238E27FC236}">
              <a16:creationId xmlns:a16="http://schemas.microsoft.com/office/drawing/2014/main" id="{00000000-0008-0000-0900-000004000000}"/>
            </a:ext>
          </a:extLst>
        </xdr:cNvPr>
        <xdr:cNvGrpSpPr/>
      </xdr:nvGrpSpPr>
      <xdr:grpSpPr>
        <a:xfrm>
          <a:off x="7926920" y="114369"/>
          <a:ext cx="1363519" cy="202790"/>
          <a:chOff x="8019435" y="79888"/>
          <a:chExt cx="1361471" cy="202790"/>
        </a:xfrm>
      </xdr:grpSpPr>
      <xdr:sp macro="[0]!ToolNavMenu" textlink="">
        <xdr:nvSpPr>
          <xdr:cNvPr id="2" name="TextBox 1">
            <a:extLst>
              <a:ext uri="{FF2B5EF4-FFF2-40B4-BE49-F238E27FC236}">
                <a16:creationId xmlns:a16="http://schemas.microsoft.com/office/drawing/2014/main" id="{00000000-0008-0000-0900-000002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3" name="Isosceles Triangle 2">
            <a:extLst>
              <a:ext uri="{FF2B5EF4-FFF2-40B4-BE49-F238E27FC236}">
                <a16:creationId xmlns:a16="http://schemas.microsoft.com/office/drawing/2014/main" id="{00000000-0008-0000-0900-000003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233795</xdr:colOff>
      <xdr:row>11</xdr:row>
      <xdr:rowOff>8660</xdr:rowOff>
    </xdr:from>
    <xdr:to>
      <xdr:col>21</xdr:col>
      <xdr:colOff>389658</xdr:colOff>
      <xdr:row>31</xdr:row>
      <xdr:rowOff>18184</xdr:rowOff>
    </xdr:to>
    <xdr:graphicFrame macro="">
      <xdr:nvGraphicFramePr>
        <xdr:cNvPr id="55" name="Chart 54">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xdr:row>
      <xdr:rowOff>29399</xdr:rowOff>
    </xdr:from>
    <xdr:to>
      <xdr:col>6</xdr:col>
      <xdr:colOff>4191</xdr:colOff>
      <xdr:row>6</xdr:row>
      <xdr:rowOff>154748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0" y="626876"/>
          <a:ext cx="2411418" cy="887349"/>
          <a:chOff x="2704113" y="1089314"/>
          <a:chExt cx="4635330" cy="1687107"/>
        </a:xfrm>
      </xdr:grpSpPr>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313886</xdr:colOff>
      <xdr:row>3</xdr:row>
      <xdr:rowOff>29399</xdr:rowOff>
    </xdr:from>
    <xdr:to>
      <xdr:col>13</xdr:col>
      <xdr:colOff>708602</xdr:colOff>
      <xdr:row>6</xdr:row>
      <xdr:rowOff>154748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3942045" y="626876"/>
          <a:ext cx="2403625" cy="887349"/>
          <a:chOff x="2704113" y="1089314"/>
          <a:chExt cx="4635330" cy="1687107"/>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322332</xdr:colOff>
      <xdr:row>3</xdr:row>
      <xdr:rowOff>29399</xdr:rowOff>
    </xdr:from>
    <xdr:to>
      <xdr:col>9</xdr:col>
      <xdr:colOff>714450</xdr:colOff>
      <xdr:row>6</xdr:row>
      <xdr:rowOff>154748</xdr:rowOff>
    </xdr:to>
    <xdr:grpSp>
      <xdr:nvGrpSpPr>
        <xdr:cNvPr id="34" name="Group 33">
          <a:extLst>
            <a:ext uri="{FF2B5EF4-FFF2-40B4-BE49-F238E27FC236}">
              <a16:creationId xmlns:a16="http://schemas.microsoft.com/office/drawing/2014/main" id="{00000000-0008-0000-0A00-000022000000}"/>
            </a:ext>
          </a:extLst>
        </xdr:cNvPr>
        <xdr:cNvGrpSpPr/>
      </xdr:nvGrpSpPr>
      <xdr:grpSpPr>
        <a:xfrm>
          <a:off x="1941582" y="626876"/>
          <a:ext cx="2401027" cy="887349"/>
          <a:chOff x="2704113" y="1089314"/>
          <a:chExt cx="4635330" cy="1687107"/>
        </a:xfrm>
      </xdr:grpSpPr>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13</xdr:col>
      <xdr:colOff>282040</xdr:colOff>
      <xdr:row>3</xdr:row>
      <xdr:rowOff>38058</xdr:rowOff>
    </xdr:from>
    <xdr:to>
      <xdr:col>17</xdr:col>
      <xdr:colOff>676756</xdr:colOff>
      <xdr:row>6</xdr:row>
      <xdr:rowOff>163407</xdr:rowOff>
    </xdr:to>
    <xdr:grpSp>
      <xdr:nvGrpSpPr>
        <xdr:cNvPr id="37" name="Group 36">
          <a:extLst>
            <a:ext uri="{FF2B5EF4-FFF2-40B4-BE49-F238E27FC236}">
              <a16:creationId xmlns:a16="http://schemas.microsoft.com/office/drawing/2014/main" id="{00000000-0008-0000-0A00-000025000000}"/>
            </a:ext>
          </a:extLst>
        </xdr:cNvPr>
        <xdr:cNvGrpSpPr/>
      </xdr:nvGrpSpPr>
      <xdr:grpSpPr>
        <a:xfrm>
          <a:off x="5919108" y="635535"/>
          <a:ext cx="2403625" cy="887349"/>
          <a:chOff x="2704113" y="1089314"/>
          <a:chExt cx="4635330" cy="1687107"/>
        </a:xfrm>
      </xdr:grpSpPr>
      <xdr:graphicFrame macro="">
        <xdr:nvGraphicFramePr>
          <xdr:cNvPr id="38" name="Chart 37">
            <a:extLst>
              <a:ext uri="{FF2B5EF4-FFF2-40B4-BE49-F238E27FC236}">
                <a16:creationId xmlns:a16="http://schemas.microsoft.com/office/drawing/2014/main" id="{00000000-0008-0000-0A00-000026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mc:AlternateContent xmlns:mc="http://schemas.openxmlformats.org/markup-compatibility/2006">
    <mc:Choice xmlns:a14="http://schemas.microsoft.com/office/drawing/2010/main" Requires="a14">
      <xdr:twoCellAnchor editAs="oneCell">
        <xdr:from>
          <xdr:col>6</xdr:col>
          <xdr:colOff>180975</xdr:colOff>
          <xdr:row>26</xdr:row>
          <xdr:rowOff>142875</xdr:rowOff>
        </xdr:from>
        <xdr:to>
          <xdr:col>11</xdr:col>
          <xdr:colOff>704850</xdr:colOff>
          <xdr:row>27</xdr:row>
          <xdr:rowOff>142875</xdr:rowOff>
        </xdr:to>
        <xdr:sp macro="" textlink="">
          <xdr:nvSpPr>
            <xdr:cNvPr id="18436" name="ScrollBar_JDCOffshorePrac1" hidden="1">
              <a:extLst>
                <a:ext uri="{63B3BB69-23CF-44E3-9099-C40C66FF867C}">
                  <a14:compatExt spid="_x0000_s18436"/>
                </a:ext>
                <a:ext uri="{FF2B5EF4-FFF2-40B4-BE49-F238E27FC236}">
                  <a16:creationId xmlns:a16="http://schemas.microsoft.com/office/drawing/2014/main" id="{00000000-0008-0000-0A00-000004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199159</xdr:colOff>
      <xdr:row>28</xdr:row>
      <xdr:rowOff>43295</xdr:rowOff>
    </xdr:from>
    <xdr:to>
      <xdr:col>7</xdr:col>
      <xdr:colOff>432954</xdr:colOff>
      <xdr:row>30</xdr:row>
      <xdr:rowOff>86591</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2606386" y="4476750"/>
          <a:ext cx="450273"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Verdana" panose="020B0604030504040204" pitchFamily="34" charset="0"/>
              <a:ea typeface="Verdana" panose="020B0604030504040204" pitchFamily="34" charset="0"/>
              <a:cs typeface="Verdana" panose="020B0604030504040204" pitchFamily="34" charset="0"/>
            </a:rPr>
            <a:t>0%</a:t>
          </a:r>
        </a:p>
      </xdr:txBody>
    </xdr:sp>
    <xdr:clientData/>
  </xdr:twoCellAnchor>
  <xdr:twoCellAnchor>
    <xdr:from>
      <xdr:col>11</xdr:col>
      <xdr:colOff>178377</xdr:colOff>
      <xdr:row>28</xdr:row>
      <xdr:rowOff>57149</xdr:rowOff>
    </xdr:from>
    <xdr:to>
      <xdr:col>11</xdr:col>
      <xdr:colOff>701387</xdr:colOff>
      <xdr:row>30</xdr:row>
      <xdr:rowOff>43296</xdr:rowOff>
    </xdr:to>
    <xdr:sp macro="" textlink="">
      <xdr:nvSpPr>
        <xdr:cNvPr id="31" name="TextBox 30">
          <a:extLst>
            <a:ext uri="{FF2B5EF4-FFF2-40B4-BE49-F238E27FC236}">
              <a16:creationId xmlns:a16="http://schemas.microsoft.com/office/drawing/2014/main" id="{00000000-0008-0000-0A00-00001F000000}"/>
            </a:ext>
          </a:extLst>
        </xdr:cNvPr>
        <xdr:cNvSpPr txBox="1"/>
      </xdr:nvSpPr>
      <xdr:spPr>
        <a:xfrm>
          <a:off x="4810991" y="4490604"/>
          <a:ext cx="523010"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a:latin typeface="Verdana" panose="020B0604030504040204" pitchFamily="34" charset="0"/>
              <a:ea typeface="Verdana" panose="020B0604030504040204" pitchFamily="34" charset="0"/>
              <a:cs typeface="Verdana" panose="020B0604030504040204" pitchFamily="34" charset="0"/>
            </a:rPr>
            <a:t>30%</a:t>
          </a:r>
        </a:p>
      </xdr:txBody>
    </xdr:sp>
    <xdr:clientData/>
  </xdr:twoCellAnchor>
  <xdr:twoCellAnchor>
    <xdr:from>
      <xdr:col>17</xdr:col>
      <xdr:colOff>159770</xdr:colOff>
      <xdr:row>1</xdr:row>
      <xdr:rowOff>61450</xdr:rowOff>
    </xdr:from>
    <xdr:to>
      <xdr:col>19</xdr:col>
      <xdr:colOff>507289</xdr:colOff>
      <xdr:row>1</xdr:row>
      <xdr:rowOff>264240</xdr:rowOff>
    </xdr:to>
    <xdr:grpSp>
      <xdr:nvGrpSpPr>
        <xdr:cNvPr id="40" name="Group 39">
          <a:extLst>
            <a:ext uri="{FF2B5EF4-FFF2-40B4-BE49-F238E27FC236}">
              <a16:creationId xmlns:a16="http://schemas.microsoft.com/office/drawing/2014/main" id="{00000000-0008-0000-0A00-000028000000}"/>
            </a:ext>
          </a:extLst>
        </xdr:cNvPr>
        <xdr:cNvGrpSpPr/>
      </xdr:nvGrpSpPr>
      <xdr:grpSpPr>
        <a:xfrm>
          <a:off x="7805747" y="122064"/>
          <a:ext cx="1351974" cy="202790"/>
          <a:chOff x="8019435" y="79888"/>
          <a:chExt cx="1361471" cy="202790"/>
        </a:xfrm>
      </xdr:grpSpPr>
      <xdr:sp macro="[0]!ToolNavMenu" textlink="">
        <xdr:nvSpPr>
          <xdr:cNvPr id="41" name="TextBox 40">
            <a:extLst>
              <a:ext uri="{FF2B5EF4-FFF2-40B4-BE49-F238E27FC236}">
                <a16:creationId xmlns:a16="http://schemas.microsoft.com/office/drawing/2014/main" id="{00000000-0008-0000-0A00-000029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42" name="Isosceles Triangle 41">
            <a:extLst>
              <a:ext uri="{FF2B5EF4-FFF2-40B4-BE49-F238E27FC236}">
                <a16:creationId xmlns:a16="http://schemas.microsoft.com/office/drawing/2014/main" id="{00000000-0008-0000-0A00-00002A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26734</xdr:colOff>
      <xdr:row>51</xdr:row>
      <xdr:rowOff>0</xdr:rowOff>
    </xdr:from>
    <xdr:to>
      <xdr:col>12</xdr:col>
      <xdr:colOff>215363</xdr:colOff>
      <xdr:row>51</xdr:row>
      <xdr:rowOff>78</xdr:rowOff>
    </xdr:to>
    <xdr:grpSp>
      <xdr:nvGrpSpPr>
        <xdr:cNvPr id="30" name="Group 29">
          <a:extLst>
            <a:ext uri="{FF2B5EF4-FFF2-40B4-BE49-F238E27FC236}">
              <a16:creationId xmlns:a16="http://schemas.microsoft.com/office/drawing/2014/main" id="{00000000-0008-0000-0B00-00001E000000}"/>
            </a:ext>
          </a:extLst>
        </xdr:cNvPr>
        <xdr:cNvGrpSpPr/>
      </xdr:nvGrpSpPr>
      <xdr:grpSpPr>
        <a:xfrm>
          <a:off x="2650439" y="7524750"/>
          <a:ext cx="2985515" cy="78"/>
          <a:chOff x="2704113" y="1089314"/>
          <a:chExt cx="4635330" cy="1687107"/>
        </a:xfrm>
      </xdr:grpSpPr>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11</xdr:col>
      <xdr:colOff>13530</xdr:colOff>
      <xdr:row>51</xdr:row>
      <xdr:rowOff>0</xdr:rowOff>
    </xdr:from>
    <xdr:to>
      <xdr:col>16</xdr:col>
      <xdr:colOff>202159</xdr:colOff>
      <xdr:row>51</xdr:row>
      <xdr:rowOff>78</xdr:rowOff>
    </xdr:to>
    <xdr:grpSp>
      <xdr:nvGrpSpPr>
        <xdr:cNvPr id="33" name="Group 32">
          <a:extLst>
            <a:ext uri="{FF2B5EF4-FFF2-40B4-BE49-F238E27FC236}">
              <a16:creationId xmlns:a16="http://schemas.microsoft.com/office/drawing/2014/main" id="{00000000-0008-0000-0B00-000021000000}"/>
            </a:ext>
          </a:extLst>
        </xdr:cNvPr>
        <xdr:cNvGrpSpPr/>
      </xdr:nvGrpSpPr>
      <xdr:grpSpPr>
        <a:xfrm>
          <a:off x="4646144" y="7524750"/>
          <a:ext cx="2985515" cy="78"/>
          <a:chOff x="2704113" y="1089314"/>
          <a:chExt cx="4635330" cy="1687107"/>
        </a:xfrm>
      </xdr:grpSpPr>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0</xdr:colOff>
      <xdr:row>51</xdr:row>
      <xdr:rowOff>0</xdr:rowOff>
    </xdr:from>
    <xdr:to>
      <xdr:col>6</xdr:col>
      <xdr:colOff>6789</xdr:colOff>
      <xdr:row>51</xdr:row>
      <xdr:rowOff>78</xdr:rowOff>
    </xdr:to>
    <xdr:grpSp>
      <xdr:nvGrpSpPr>
        <xdr:cNvPr id="55" name="Group 54">
          <a:extLst>
            <a:ext uri="{FF2B5EF4-FFF2-40B4-BE49-F238E27FC236}">
              <a16:creationId xmlns:a16="http://schemas.microsoft.com/office/drawing/2014/main" id="{00000000-0008-0000-0B00-000037000000}"/>
            </a:ext>
          </a:extLst>
        </xdr:cNvPr>
        <xdr:cNvGrpSpPr/>
      </xdr:nvGrpSpPr>
      <xdr:grpSpPr>
        <a:xfrm>
          <a:off x="0" y="7524750"/>
          <a:ext cx="2414016" cy="78"/>
          <a:chOff x="2704113" y="1089314"/>
          <a:chExt cx="4635330" cy="1687107"/>
        </a:xfrm>
      </xdr:grpSpPr>
      <xdr:graphicFrame macro="">
        <xdr:nvGraphicFramePr>
          <xdr:cNvPr id="56" name="Chart 55">
            <a:extLst>
              <a:ext uri="{FF2B5EF4-FFF2-40B4-BE49-F238E27FC236}">
                <a16:creationId xmlns:a16="http://schemas.microsoft.com/office/drawing/2014/main" id="{00000000-0008-0000-0B00-000038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57" name="Chart 56">
            <a:extLst>
              <a:ext uri="{FF2B5EF4-FFF2-40B4-BE49-F238E27FC236}">
                <a16:creationId xmlns:a16="http://schemas.microsoft.com/office/drawing/2014/main" id="{00000000-0008-0000-0B00-000039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4</xdr:col>
      <xdr:colOff>9037</xdr:colOff>
      <xdr:row>51</xdr:row>
      <xdr:rowOff>0</xdr:rowOff>
    </xdr:from>
    <xdr:to>
      <xdr:col>9</xdr:col>
      <xdr:colOff>197666</xdr:colOff>
      <xdr:row>51</xdr:row>
      <xdr:rowOff>78</xdr:rowOff>
    </xdr:to>
    <xdr:grpSp>
      <xdr:nvGrpSpPr>
        <xdr:cNvPr id="58" name="Group 57">
          <a:extLst>
            <a:ext uri="{FF2B5EF4-FFF2-40B4-BE49-F238E27FC236}">
              <a16:creationId xmlns:a16="http://schemas.microsoft.com/office/drawing/2014/main" id="{00000000-0008-0000-0B00-00003A000000}"/>
            </a:ext>
          </a:extLst>
        </xdr:cNvPr>
        <xdr:cNvGrpSpPr/>
      </xdr:nvGrpSpPr>
      <xdr:grpSpPr>
        <a:xfrm>
          <a:off x="1411810" y="7524750"/>
          <a:ext cx="2414015" cy="78"/>
          <a:chOff x="2704113" y="1089314"/>
          <a:chExt cx="4635330" cy="1687107"/>
        </a:xfrm>
      </xdr:grpSpPr>
      <xdr:graphicFrame macro="">
        <xdr:nvGraphicFramePr>
          <xdr:cNvPr id="59" name="Chart 58">
            <a:extLst>
              <a:ext uri="{FF2B5EF4-FFF2-40B4-BE49-F238E27FC236}">
                <a16:creationId xmlns:a16="http://schemas.microsoft.com/office/drawing/2014/main" id="{00000000-0008-0000-0B00-00003B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0" name="Chart 59">
            <a:extLst>
              <a:ext uri="{FF2B5EF4-FFF2-40B4-BE49-F238E27FC236}">
                <a16:creationId xmlns:a16="http://schemas.microsoft.com/office/drawing/2014/main" id="{00000000-0008-0000-0B00-00003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14</xdr:col>
      <xdr:colOff>642</xdr:colOff>
      <xdr:row>51</xdr:row>
      <xdr:rowOff>0</xdr:rowOff>
    </xdr:from>
    <xdr:to>
      <xdr:col>19</xdr:col>
      <xdr:colOff>153769</xdr:colOff>
      <xdr:row>51</xdr:row>
      <xdr:rowOff>78</xdr:rowOff>
    </xdr:to>
    <xdr:grpSp>
      <xdr:nvGrpSpPr>
        <xdr:cNvPr id="61" name="Group 60">
          <a:extLst>
            <a:ext uri="{FF2B5EF4-FFF2-40B4-BE49-F238E27FC236}">
              <a16:creationId xmlns:a16="http://schemas.microsoft.com/office/drawing/2014/main" id="{00000000-0008-0000-0B00-00003D000000}"/>
            </a:ext>
          </a:extLst>
        </xdr:cNvPr>
        <xdr:cNvGrpSpPr/>
      </xdr:nvGrpSpPr>
      <xdr:grpSpPr>
        <a:xfrm>
          <a:off x="6425687" y="7524750"/>
          <a:ext cx="2378514" cy="78"/>
          <a:chOff x="2704113" y="1089314"/>
          <a:chExt cx="4635330" cy="1687107"/>
        </a:xfrm>
      </xdr:grpSpPr>
      <xdr:graphicFrame macro="">
        <xdr:nvGraphicFramePr>
          <xdr:cNvPr id="62" name="Chart 61">
            <a:extLst>
              <a:ext uri="{FF2B5EF4-FFF2-40B4-BE49-F238E27FC236}">
                <a16:creationId xmlns:a16="http://schemas.microsoft.com/office/drawing/2014/main" id="{00000000-0008-0000-0B00-00003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63" name="Chart 62">
            <a:extLst>
              <a:ext uri="{FF2B5EF4-FFF2-40B4-BE49-F238E27FC236}">
                <a16:creationId xmlns:a16="http://schemas.microsoft.com/office/drawing/2014/main" id="{00000000-0008-0000-0B00-00003F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17</xdr:col>
      <xdr:colOff>263110</xdr:colOff>
      <xdr:row>51</xdr:row>
      <xdr:rowOff>0</xdr:rowOff>
    </xdr:from>
    <xdr:to>
      <xdr:col>22</xdr:col>
      <xdr:colOff>1467</xdr:colOff>
      <xdr:row>51</xdr:row>
      <xdr:rowOff>78</xdr:rowOff>
    </xdr:to>
    <xdr:grpSp>
      <xdr:nvGrpSpPr>
        <xdr:cNvPr id="64" name="Group 63">
          <a:extLst>
            <a:ext uri="{FF2B5EF4-FFF2-40B4-BE49-F238E27FC236}">
              <a16:creationId xmlns:a16="http://schemas.microsoft.com/office/drawing/2014/main" id="{00000000-0008-0000-0B00-000040000000}"/>
            </a:ext>
          </a:extLst>
        </xdr:cNvPr>
        <xdr:cNvGrpSpPr/>
      </xdr:nvGrpSpPr>
      <xdr:grpSpPr>
        <a:xfrm>
          <a:off x="7909087" y="7524750"/>
          <a:ext cx="2535244" cy="78"/>
          <a:chOff x="2704113" y="1089314"/>
          <a:chExt cx="4635330" cy="1687107"/>
        </a:xfrm>
      </xdr:grpSpPr>
      <xdr:graphicFrame macro="">
        <xdr:nvGraphicFramePr>
          <xdr:cNvPr id="65" name="Chart 64">
            <a:extLst>
              <a:ext uri="{FF2B5EF4-FFF2-40B4-BE49-F238E27FC236}">
                <a16:creationId xmlns:a16="http://schemas.microsoft.com/office/drawing/2014/main" id="{00000000-0008-0000-0B00-000041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66" name="Chart 65">
            <a:extLst>
              <a:ext uri="{FF2B5EF4-FFF2-40B4-BE49-F238E27FC236}">
                <a16:creationId xmlns:a16="http://schemas.microsoft.com/office/drawing/2014/main" id="{00000000-0008-0000-0B00-000042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20</xdr:col>
      <xdr:colOff>4302</xdr:colOff>
      <xdr:row>51</xdr:row>
      <xdr:rowOff>0</xdr:rowOff>
    </xdr:from>
    <xdr:to>
      <xdr:col>25</xdr:col>
      <xdr:colOff>5030</xdr:colOff>
      <xdr:row>51</xdr:row>
      <xdr:rowOff>78</xdr:rowOff>
    </xdr:to>
    <xdr:grpSp>
      <xdr:nvGrpSpPr>
        <xdr:cNvPr id="67" name="Group 66">
          <a:extLst>
            <a:ext uri="{FF2B5EF4-FFF2-40B4-BE49-F238E27FC236}">
              <a16:creationId xmlns:a16="http://schemas.microsoft.com/office/drawing/2014/main" id="{00000000-0008-0000-0B00-000043000000}"/>
            </a:ext>
          </a:extLst>
        </xdr:cNvPr>
        <xdr:cNvGrpSpPr/>
      </xdr:nvGrpSpPr>
      <xdr:grpSpPr>
        <a:xfrm>
          <a:off x="9442711" y="7524750"/>
          <a:ext cx="2226114" cy="78"/>
          <a:chOff x="2704113" y="1089314"/>
          <a:chExt cx="4635330" cy="1687107"/>
        </a:xfrm>
      </xdr:grpSpPr>
      <xdr:graphicFrame macro="">
        <xdr:nvGraphicFramePr>
          <xdr:cNvPr id="68" name="Chart 67">
            <a:extLst>
              <a:ext uri="{FF2B5EF4-FFF2-40B4-BE49-F238E27FC236}">
                <a16:creationId xmlns:a16="http://schemas.microsoft.com/office/drawing/2014/main" id="{00000000-0008-0000-0B00-00004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69" name="Chart 68">
            <a:extLst>
              <a:ext uri="{FF2B5EF4-FFF2-40B4-BE49-F238E27FC236}">
                <a16:creationId xmlns:a16="http://schemas.microsoft.com/office/drawing/2014/main" id="{00000000-0008-0000-0B00-00004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0</xdr:col>
      <xdr:colOff>2</xdr:colOff>
      <xdr:row>3</xdr:row>
      <xdr:rowOff>38058</xdr:rowOff>
    </xdr:from>
    <xdr:to>
      <xdr:col>6</xdr:col>
      <xdr:colOff>4193</xdr:colOff>
      <xdr:row>6</xdr:row>
      <xdr:rowOff>163407</xdr:rowOff>
    </xdr:to>
    <xdr:grpSp>
      <xdr:nvGrpSpPr>
        <xdr:cNvPr id="43" name="Group 42">
          <a:extLst>
            <a:ext uri="{FF2B5EF4-FFF2-40B4-BE49-F238E27FC236}">
              <a16:creationId xmlns:a16="http://schemas.microsoft.com/office/drawing/2014/main" id="{00000000-0008-0000-0B00-00002B000000}"/>
            </a:ext>
          </a:extLst>
        </xdr:cNvPr>
        <xdr:cNvGrpSpPr/>
      </xdr:nvGrpSpPr>
      <xdr:grpSpPr>
        <a:xfrm>
          <a:off x="2" y="635535"/>
          <a:ext cx="2411418" cy="887349"/>
          <a:chOff x="2704113" y="1089314"/>
          <a:chExt cx="4635330" cy="1687107"/>
        </a:xfrm>
      </xdr:grpSpPr>
      <xdr:graphicFrame macro="">
        <xdr:nvGraphicFramePr>
          <xdr:cNvPr id="44" name="Chart 43">
            <a:extLst>
              <a:ext uri="{FF2B5EF4-FFF2-40B4-BE49-F238E27FC236}">
                <a16:creationId xmlns:a16="http://schemas.microsoft.com/office/drawing/2014/main" id="{00000000-0008-0000-0B00-00002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5" name="Chart 44">
            <a:extLst>
              <a:ext uri="{FF2B5EF4-FFF2-40B4-BE49-F238E27FC236}">
                <a16:creationId xmlns:a16="http://schemas.microsoft.com/office/drawing/2014/main" id="{00000000-0008-0000-0B00-00002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9</xdr:col>
      <xdr:colOff>313888</xdr:colOff>
      <xdr:row>3</xdr:row>
      <xdr:rowOff>38058</xdr:rowOff>
    </xdr:from>
    <xdr:to>
      <xdr:col>13</xdr:col>
      <xdr:colOff>708604</xdr:colOff>
      <xdr:row>6</xdr:row>
      <xdr:rowOff>163407</xdr:rowOff>
    </xdr:to>
    <xdr:grpSp>
      <xdr:nvGrpSpPr>
        <xdr:cNvPr id="49" name="Group 48">
          <a:extLst>
            <a:ext uri="{FF2B5EF4-FFF2-40B4-BE49-F238E27FC236}">
              <a16:creationId xmlns:a16="http://schemas.microsoft.com/office/drawing/2014/main" id="{00000000-0008-0000-0B00-000031000000}"/>
            </a:ext>
          </a:extLst>
        </xdr:cNvPr>
        <xdr:cNvGrpSpPr/>
      </xdr:nvGrpSpPr>
      <xdr:grpSpPr>
        <a:xfrm>
          <a:off x="3942047" y="635535"/>
          <a:ext cx="2403625" cy="887349"/>
          <a:chOff x="2704113" y="1089314"/>
          <a:chExt cx="4635330" cy="1687107"/>
        </a:xfrm>
      </xdr:grpSpPr>
      <xdr:graphicFrame macro="">
        <xdr:nvGraphicFramePr>
          <xdr:cNvPr id="50" name="Chart 49">
            <a:extLst>
              <a:ext uri="{FF2B5EF4-FFF2-40B4-BE49-F238E27FC236}">
                <a16:creationId xmlns:a16="http://schemas.microsoft.com/office/drawing/2014/main" id="{00000000-0008-0000-0B00-00003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51" name="Chart 50">
            <a:extLst>
              <a:ext uri="{FF2B5EF4-FFF2-40B4-BE49-F238E27FC236}">
                <a16:creationId xmlns:a16="http://schemas.microsoft.com/office/drawing/2014/main" id="{00000000-0008-0000-0B00-000033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5</xdr:col>
      <xdr:colOff>322334</xdr:colOff>
      <xdr:row>3</xdr:row>
      <xdr:rowOff>38058</xdr:rowOff>
    </xdr:from>
    <xdr:to>
      <xdr:col>9</xdr:col>
      <xdr:colOff>714452</xdr:colOff>
      <xdr:row>6</xdr:row>
      <xdr:rowOff>163407</xdr:rowOff>
    </xdr:to>
    <xdr:grpSp>
      <xdr:nvGrpSpPr>
        <xdr:cNvPr id="72" name="Group 71">
          <a:extLst>
            <a:ext uri="{FF2B5EF4-FFF2-40B4-BE49-F238E27FC236}">
              <a16:creationId xmlns:a16="http://schemas.microsoft.com/office/drawing/2014/main" id="{00000000-0008-0000-0B00-000048000000}"/>
            </a:ext>
          </a:extLst>
        </xdr:cNvPr>
        <xdr:cNvGrpSpPr/>
      </xdr:nvGrpSpPr>
      <xdr:grpSpPr>
        <a:xfrm>
          <a:off x="1941584" y="635535"/>
          <a:ext cx="2401027" cy="887349"/>
          <a:chOff x="2704113" y="1089314"/>
          <a:chExt cx="4635330" cy="1687107"/>
        </a:xfrm>
      </xdr:grpSpPr>
      <xdr:graphicFrame macro="">
        <xdr:nvGraphicFramePr>
          <xdr:cNvPr id="73" name="Chart 72">
            <a:extLst>
              <a:ext uri="{FF2B5EF4-FFF2-40B4-BE49-F238E27FC236}">
                <a16:creationId xmlns:a16="http://schemas.microsoft.com/office/drawing/2014/main" id="{00000000-0008-0000-0B00-00004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74" name="Chart 73">
            <a:extLst>
              <a:ext uri="{FF2B5EF4-FFF2-40B4-BE49-F238E27FC236}">
                <a16:creationId xmlns:a16="http://schemas.microsoft.com/office/drawing/2014/main" id="{00000000-0008-0000-0B00-00004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0"/>
          </a:graphicData>
        </a:graphic>
      </xdr:graphicFrame>
    </xdr:grpSp>
    <xdr:clientData/>
  </xdr:twoCellAnchor>
  <xdr:twoCellAnchor>
    <xdr:from>
      <xdr:col>13</xdr:col>
      <xdr:colOff>204111</xdr:colOff>
      <xdr:row>3</xdr:row>
      <xdr:rowOff>20739</xdr:rowOff>
    </xdr:from>
    <xdr:to>
      <xdr:col>17</xdr:col>
      <xdr:colOff>598827</xdr:colOff>
      <xdr:row>6</xdr:row>
      <xdr:rowOff>146088</xdr:rowOff>
    </xdr:to>
    <xdr:grpSp>
      <xdr:nvGrpSpPr>
        <xdr:cNvPr id="75" name="Group 74">
          <a:extLst>
            <a:ext uri="{FF2B5EF4-FFF2-40B4-BE49-F238E27FC236}">
              <a16:creationId xmlns:a16="http://schemas.microsoft.com/office/drawing/2014/main" id="{00000000-0008-0000-0B00-00004B000000}"/>
            </a:ext>
          </a:extLst>
        </xdr:cNvPr>
        <xdr:cNvGrpSpPr/>
      </xdr:nvGrpSpPr>
      <xdr:grpSpPr>
        <a:xfrm>
          <a:off x="5841179" y="618216"/>
          <a:ext cx="2403625" cy="887349"/>
          <a:chOff x="2704113" y="1089314"/>
          <a:chExt cx="4635330" cy="1687107"/>
        </a:xfrm>
      </xdr:grpSpPr>
      <xdr:graphicFrame macro="">
        <xdr:nvGraphicFramePr>
          <xdr:cNvPr id="76" name="Chart 75">
            <a:extLst>
              <a:ext uri="{FF2B5EF4-FFF2-40B4-BE49-F238E27FC236}">
                <a16:creationId xmlns:a16="http://schemas.microsoft.com/office/drawing/2014/main" id="{00000000-0008-0000-0B00-00004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77" name="Chart 76">
            <a:extLst>
              <a:ext uri="{FF2B5EF4-FFF2-40B4-BE49-F238E27FC236}">
                <a16:creationId xmlns:a16="http://schemas.microsoft.com/office/drawing/2014/main" id="{00000000-0008-0000-0B00-00004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6</xdr:col>
      <xdr:colOff>199159</xdr:colOff>
      <xdr:row>28</xdr:row>
      <xdr:rowOff>43295</xdr:rowOff>
    </xdr:from>
    <xdr:to>
      <xdr:col>7</xdr:col>
      <xdr:colOff>432954</xdr:colOff>
      <xdr:row>30</xdr:row>
      <xdr:rowOff>25977</xdr:rowOff>
    </xdr:to>
    <xdr:sp macro="" textlink="">
      <xdr:nvSpPr>
        <xdr:cNvPr id="54" name="TextBox 53">
          <a:extLst>
            <a:ext uri="{FF2B5EF4-FFF2-40B4-BE49-F238E27FC236}">
              <a16:creationId xmlns:a16="http://schemas.microsoft.com/office/drawing/2014/main" id="{00000000-0008-0000-0B00-000036000000}"/>
            </a:ext>
          </a:extLst>
        </xdr:cNvPr>
        <xdr:cNvSpPr txBox="1"/>
      </xdr:nvSpPr>
      <xdr:spPr>
        <a:xfrm>
          <a:off x="2606386" y="4476750"/>
          <a:ext cx="450273" cy="2251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Verdana" panose="020B0604030504040204" pitchFamily="34" charset="0"/>
              <a:ea typeface="Verdana" panose="020B0604030504040204" pitchFamily="34" charset="0"/>
              <a:cs typeface="Verdana" panose="020B0604030504040204" pitchFamily="34" charset="0"/>
            </a:rPr>
            <a:t>0%</a:t>
          </a:r>
        </a:p>
      </xdr:txBody>
    </xdr:sp>
    <xdr:clientData/>
  </xdr:twoCellAnchor>
  <xdr:twoCellAnchor>
    <xdr:from>
      <xdr:col>11</xdr:col>
      <xdr:colOff>178377</xdr:colOff>
      <xdr:row>28</xdr:row>
      <xdr:rowOff>57149</xdr:rowOff>
    </xdr:from>
    <xdr:to>
      <xdr:col>11</xdr:col>
      <xdr:colOff>701387</xdr:colOff>
      <xdr:row>30</xdr:row>
      <xdr:rowOff>34636</xdr:rowOff>
    </xdr:to>
    <xdr:sp macro="" textlink="">
      <xdr:nvSpPr>
        <xdr:cNvPr id="70" name="TextBox 69">
          <a:extLst>
            <a:ext uri="{FF2B5EF4-FFF2-40B4-BE49-F238E27FC236}">
              <a16:creationId xmlns:a16="http://schemas.microsoft.com/office/drawing/2014/main" id="{00000000-0008-0000-0B00-000046000000}"/>
            </a:ext>
          </a:extLst>
        </xdr:cNvPr>
        <xdr:cNvSpPr txBox="1"/>
      </xdr:nvSpPr>
      <xdr:spPr>
        <a:xfrm>
          <a:off x="4810991" y="4490604"/>
          <a:ext cx="523010" cy="2199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a:latin typeface="Verdana" panose="020B0604030504040204" pitchFamily="34" charset="0"/>
              <a:ea typeface="Verdana" panose="020B0604030504040204" pitchFamily="34" charset="0"/>
              <a:cs typeface="Verdana" panose="020B0604030504040204" pitchFamily="34" charset="0"/>
            </a:rPr>
            <a:t>30%</a:t>
          </a:r>
        </a:p>
      </xdr:txBody>
    </xdr:sp>
    <xdr:clientData/>
  </xdr:twoCellAnchor>
  <mc:AlternateContent xmlns:mc="http://schemas.openxmlformats.org/markup-compatibility/2006">
    <mc:Choice xmlns:a14="http://schemas.microsoft.com/office/drawing/2010/main" Requires="a14">
      <xdr:twoCellAnchor editAs="oneCell">
        <xdr:from>
          <xdr:col>6</xdr:col>
          <xdr:colOff>190500</xdr:colOff>
          <xdr:row>26</xdr:row>
          <xdr:rowOff>152400</xdr:rowOff>
        </xdr:from>
        <xdr:to>
          <xdr:col>11</xdr:col>
          <xdr:colOff>714375</xdr:colOff>
          <xdr:row>27</xdr:row>
          <xdr:rowOff>152400</xdr:rowOff>
        </xdr:to>
        <xdr:sp macro="" textlink="">
          <xdr:nvSpPr>
            <xdr:cNvPr id="21508" name="ScrollBar_JDCOffshorePrac2" hidden="1">
              <a:extLst>
                <a:ext uri="{63B3BB69-23CF-44E3-9099-C40C66FF867C}">
                  <a14:compatExt spid="_x0000_s21508"/>
                </a:ext>
                <a:ext uri="{FF2B5EF4-FFF2-40B4-BE49-F238E27FC236}">
                  <a16:creationId xmlns:a16="http://schemas.microsoft.com/office/drawing/2014/main" id="{00000000-0008-0000-0B00-000004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13</xdr:col>
      <xdr:colOff>249685</xdr:colOff>
      <xdr:row>10</xdr:row>
      <xdr:rowOff>73980</xdr:rowOff>
    </xdr:from>
    <xdr:to>
      <xdr:col>21</xdr:col>
      <xdr:colOff>405548</xdr:colOff>
      <xdr:row>30</xdr:row>
      <xdr:rowOff>78796</xdr:rowOff>
    </xdr:to>
    <xdr:graphicFrame macro="">
      <xdr:nvGraphicFramePr>
        <xdr:cNvPr id="53" name="Chart 52">
          <a:extLst>
            <a:ext uri="{FF2B5EF4-FFF2-40B4-BE49-F238E27FC236}">
              <a16:creationId xmlns:a16="http://schemas.microsoft.com/office/drawing/2014/main" id="{00000000-0008-0000-0B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165918</xdr:colOff>
      <xdr:row>1</xdr:row>
      <xdr:rowOff>61450</xdr:rowOff>
    </xdr:from>
    <xdr:to>
      <xdr:col>19</xdr:col>
      <xdr:colOff>513437</xdr:colOff>
      <xdr:row>1</xdr:row>
      <xdr:rowOff>264240</xdr:rowOff>
    </xdr:to>
    <xdr:grpSp>
      <xdr:nvGrpSpPr>
        <xdr:cNvPr id="52" name="Group 51">
          <a:extLst>
            <a:ext uri="{FF2B5EF4-FFF2-40B4-BE49-F238E27FC236}">
              <a16:creationId xmlns:a16="http://schemas.microsoft.com/office/drawing/2014/main" id="{00000000-0008-0000-0B00-000034000000}"/>
            </a:ext>
          </a:extLst>
        </xdr:cNvPr>
        <xdr:cNvGrpSpPr/>
      </xdr:nvGrpSpPr>
      <xdr:grpSpPr>
        <a:xfrm>
          <a:off x="7811895" y="122064"/>
          <a:ext cx="1351974" cy="202790"/>
          <a:chOff x="8019435" y="79888"/>
          <a:chExt cx="1361471" cy="202790"/>
        </a:xfrm>
      </xdr:grpSpPr>
      <xdr:sp macro="[0]!ToolNavMenu" textlink="">
        <xdr:nvSpPr>
          <xdr:cNvPr id="71" name="TextBox 70">
            <a:extLst>
              <a:ext uri="{FF2B5EF4-FFF2-40B4-BE49-F238E27FC236}">
                <a16:creationId xmlns:a16="http://schemas.microsoft.com/office/drawing/2014/main" id="{00000000-0008-0000-0B00-000047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78" name="Isosceles Triangle 77">
            <a:extLst>
              <a:ext uri="{FF2B5EF4-FFF2-40B4-BE49-F238E27FC236}">
                <a16:creationId xmlns:a16="http://schemas.microsoft.com/office/drawing/2014/main" id="{00000000-0008-0000-0B00-00004E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26734</xdr:colOff>
      <xdr:row>51</xdr:row>
      <xdr:rowOff>0</xdr:rowOff>
    </xdr:from>
    <xdr:to>
      <xdr:col>12</xdr:col>
      <xdr:colOff>215363</xdr:colOff>
      <xdr:row>51</xdr:row>
      <xdr:rowOff>78</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2663008" y="4799371"/>
          <a:ext cx="3009258" cy="0"/>
          <a:chOff x="2704113" y="1089314"/>
          <a:chExt cx="4635330" cy="1687107"/>
        </a:xfrm>
      </xdr:grpSpPr>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11</xdr:col>
      <xdr:colOff>13530</xdr:colOff>
      <xdr:row>51</xdr:row>
      <xdr:rowOff>0</xdr:rowOff>
    </xdr:from>
    <xdr:to>
      <xdr:col>16</xdr:col>
      <xdr:colOff>202159</xdr:colOff>
      <xdr:row>51</xdr:row>
      <xdr:rowOff>78</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4677707" y="4799371"/>
          <a:ext cx="3009258" cy="0"/>
          <a:chOff x="2704113" y="1089314"/>
          <a:chExt cx="4635330" cy="1687107"/>
        </a:xfrm>
      </xdr:grpSpPr>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0</xdr:colOff>
      <xdr:row>51</xdr:row>
      <xdr:rowOff>0</xdr:rowOff>
    </xdr:from>
    <xdr:to>
      <xdr:col>6</xdr:col>
      <xdr:colOff>6789</xdr:colOff>
      <xdr:row>51</xdr:row>
      <xdr:rowOff>78</xdr:rowOff>
    </xdr:to>
    <xdr:grpSp>
      <xdr:nvGrpSpPr>
        <xdr:cNvPr id="8" name="Group 7">
          <a:extLst>
            <a:ext uri="{FF2B5EF4-FFF2-40B4-BE49-F238E27FC236}">
              <a16:creationId xmlns:a16="http://schemas.microsoft.com/office/drawing/2014/main" id="{00000000-0008-0000-0C00-000008000000}"/>
            </a:ext>
          </a:extLst>
        </xdr:cNvPr>
        <xdr:cNvGrpSpPr/>
      </xdr:nvGrpSpPr>
      <xdr:grpSpPr>
        <a:xfrm>
          <a:off x="0" y="4799371"/>
          <a:ext cx="2421837" cy="0"/>
          <a:chOff x="2704113" y="1089314"/>
          <a:chExt cx="4635330" cy="1687107"/>
        </a:xfrm>
      </xdr:grpSpPr>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4</xdr:col>
      <xdr:colOff>9037</xdr:colOff>
      <xdr:row>51</xdr:row>
      <xdr:rowOff>0</xdr:rowOff>
    </xdr:from>
    <xdr:to>
      <xdr:col>9</xdr:col>
      <xdr:colOff>197666</xdr:colOff>
      <xdr:row>51</xdr:row>
      <xdr:rowOff>78</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410134" y="4799371"/>
          <a:ext cx="2437758" cy="0"/>
          <a:chOff x="2704113" y="1089314"/>
          <a:chExt cx="4635330" cy="1687107"/>
        </a:xfrm>
      </xdr:grpSpPr>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14</xdr:col>
      <xdr:colOff>642</xdr:colOff>
      <xdr:row>51</xdr:row>
      <xdr:rowOff>0</xdr:rowOff>
    </xdr:from>
    <xdr:to>
      <xdr:col>19</xdr:col>
      <xdr:colOff>153769</xdr:colOff>
      <xdr:row>51</xdr:row>
      <xdr:rowOff>78</xdr:rowOff>
    </xdr:to>
    <xdr:grpSp>
      <xdr:nvGrpSpPr>
        <xdr:cNvPr id="14" name="Group 13">
          <a:extLst>
            <a:ext uri="{FF2B5EF4-FFF2-40B4-BE49-F238E27FC236}">
              <a16:creationId xmlns:a16="http://schemas.microsoft.com/office/drawing/2014/main" id="{00000000-0008-0000-0C00-00000E000000}"/>
            </a:ext>
          </a:extLst>
        </xdr:cNvPr>
        <xdr:cNvGrpSpPr/>
      </xdr:nvGrpSpPr>
      <xdr:grpSpPr>
        <a:xfrm>
          <a:off x="6471497" y="4799371"/>
          <a:ext cx="2402256" cy="0"/>
          <a:chOff x="2704113" y="1089314"/>
          <a:chExt cx="4635330" cy="1687107"/>
        </a:xfrm>
      </xdr:grpSpPr>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17</xdr:col>
      <xdr:colOff>263110</xdr:colOff>
      <xdr:row>51</xdr:row>
      <xdr:rowOff>0</xdr:rowOff>
    </xdr:from>
    <xdr:to>
      <xdr:col>22</xdr:col>
      <xdr:colOff>1467</xdr:colOff>
      <xdr:row>51</xdr:row>
      <xdr:rowOff>78</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7969142" y="4799371"/>
          <a:ext cx="2558986" cy="0"/>
          <a:chOff x="2704113" y="1089314"/>
          <a:chExt cx="4635330" cy="1687107"/>
        </a:xfrm>
      </xdr:grpSpPr>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20</xdr:col>
      <xdr:colOff>4302</xdr:colOff>
      <xdr:row>51</xdr:row>
      <xdr:rowOff>0</xdr:rowOff>
    </xdr:from>
    <xdr:to>
      <xdr:col>25</xdr:col>
      <xdr:colOff>5030</xdr:colOff>
      <xdr:row>51</xdr:row>
      <xdr:rowOff>78</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9517012" y="4799371"/>
          <a:ext cx="2249857" cy="0"/>
          <a:chOff x="2704113" y="1089314"/>
          <a:chExt cx="4635330" cy="1687107"/>
        </a:xfrm>
      </xdr:grpSpPr>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oneCell">
    <xdr:from>
      <xdr:col>13</xdr:col>
      <xdr:colOff>207818</xdr:colOff>
      <xdr:row>11</xdr:row>
      <xdr:rowOff>1</xdr:rowOff>
    </xdr:from>
    <xdr:to>
      <xdr:col>21</xdr:col>
      <xdr:colOff>363681</xdr:colOff>
      <xdr:row>30</xdr:row>
      <xdr:rowOff>88323</xdr:rowOff>
    </xdr:to>
    <xdr:graphicFrame macro="">
      <xdr:nvGraphicFramePr>
        <xdr:cNvPr id="46" name="Chart 45">
          <a:extLst>
            <a:ext uri="{FF2B5EF4-FFF2-40B4-BE49-F238E27FC236}">
              <a16:creationId xmlns:a16="http://schemas.microsoft.com/office/drawing/2014/main" id="{00000000-0008-0000-0C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xdr:colOff>
      <xdr:row>3</xdr:row>
      <xdr:rowOff>38058</xdr:rowOff>
    </xdr:from>
    <xdr:to>
      <xdr:col>6</xdr:col>
      <xdr:colOff>4197</xdr:colOff>
      <xdr:row>6</xdr:row>
      <xdr:rowOff>163407</xdr:rowOff>
    </xdr:to>
    <xdr:grpSp>
      <xdr:nvGrpSpPr>
        <xdr:cNvPr id="47" name="Group 46">
          <a:extLst>
            <a:ext uri="{FF2B5EF4-FFF2-40B4-BE49-F238E27FC236}">
              <a16:creationId xmlns:a16="http://schemas.microsoft.com/office/drawing/2014/main" id="{00000000-0008-0000-0C00-00002F000000}"/>
            </a:ext>
          </a:extLst>
        </xdr:cNvPr>
        <xdr:cNvGrpSpPr/>
      </xdr:nvGrpSpPr>
      <xdr:grpSpPr>
        <a:xfrm>
          <a:off x="6" y="635535"/>
          <a:ext cx="2411418" cy="887349"/>
          <a:chOff x="2704113" y="1089314"/>
          <a:chExt cx="4635330" cy="1687107"/>
        </a:xfrm>
      </xdr:grpSpPr>
      <xdr:graphicFrame macro="">
        <xdr:nvGraphicFramePr>
          <xdr:cNvPr id="49" name="Chart 48">
            <a:extLst>
              <a:ext uri="{FF2B5EF4-FFF2-40B4-BE49-F238E27FC236}">
                <a16:creationId xmlns:a16="http://schemas.microsoft.com/office/drawing/2014/main" id="{00000000-0008-0000-0C00-000031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50" name="Chart 49">
            <a:extLst>
              <a:ext uri="{FF2B5EF4-FFF2-40B4-BE49-F238E27FC236}">
                <a16:creationId xmlns:a16="http://schemas.microsoft.com/office/drawing/2014/main" id="{00000000-0008-0000-0C00-000032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7"/>
          </a:graphicData>
        </a:graphic>
      </xdr:graphicFrame>
    </xdr:grpSp>
    <xdr:clientData/>
  </xdr:twoCellAnchor>
  <xdr:twoCellAnchor>
    <xdr:from>
      <xdr:col>9</xdr:col>
      <xdr:colOff>313892</xdr:colOff>
      <xdr:row>3</xdr:row>
      <xdr:rowOff>38058</xdr:rowOff>
    </xdr:from>
    <xdr:to>
      <xdr:col>13</xdr:col>
      <xdr:colOff>708608</xdr:colOff>
      <xdr:row>6</xdr:row>
      <xdr:rowOff>163407</xdr:rowOff>
    </xdr:to>
    <xdr:grpSp>
      <xdr:nvGrpSpPr>
        <xdr:cNvPr id="69" name="Group 68">
          <a:extLst>
            <a:ext uri="{FF2B5EF4-FFF2-40B4-BE49-F238E27FC236}">
              <a16:creationId xmlns:a16="http://schemas.microsoft.com/office/drawing/2014/main" id="{00000000-0008-0000-0C00-000045000000}"/>
            </a:ext>
          </a:extLst>
        </xdr:cNvPr>
        <xdr:cNvGrpSpPr/>
      </xdr:nvGrpSpPr>
      <xdr:grpSpPr>
        <a:xfrm>
          <a:off x="3942051" y="635535"/>
          <a:ext cx="2403625" cy="887349"/>
          <a:chOff x="2704113" y="1089314"/>
          <a:chExt cx="4635330" cy="1687107"/>
        </a:xfrm>
      </xdr:grpSpPr>
      <xdr:graphicFrame macro="">
        <xdr:nvGraphicFramePr>
          <xdr:cNvPr id="70" name="Chart 69">
            <a:extLst>
              <a:ext uri="{FF2B5EF4-FFF2-40B4-BE49-F238E27FC236}">
                <a16:creationId xmlns:a16="http://schemas.microsoft.com/office/drawing/2014/main" id="{00000000-0008-0000-0C00-000046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71" name="Chart 70">
            <a:extLst>
              <a:ext uri="{FF2B5EF4-FFF2-40B4-BE49-F238E27FC236}">
                <a16:creationId xmlns:a16="http://schemas.microsoft.com/office/drawing/2014/main" id="{00000000-0008-0000-0C00-000047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5</xdr:col>
      <xdr:colOff>322338</xdr:colOff>
      <xdr:row>3</xdr:row>
      <xdr:rowOff>38058</xdr:rowOff>
    </xdr:from>
    <xdr:to>
      <xdr:col>9</xdr:col>
      <xdr:colOff>714456</xdr:colOff>
      <xdr:row>6</xdr:row>
      <xdr:rowOff>163407</xdr:rowOff>
    </xdr:to>
    <xdr:grpSp>
      <xdr:nvGrpSpPr>
        <xdr:cNvPr id="72" name="Group 71">
          <a:extLst>
            <a:ext uri="{FF2B5EF4-FFF2-40B4-BE49-F238E27FC236}">
              <a16:creationId xmlns:a16="http://schemas.microsoft.com/office/drawing/2014/main" id="{00000000-0008-0000-0C00-000048000000}"/>
            </a:ext>
          </a:extLst>
        </xdr:cNvPr>
        <xdr:cNvGrpSpPr/>
      </xdr:nvGrpSpPr>
      <xdr:grpSpPr>
        <a:xfrm>
          <a:off x="1941588" y="635535"/>
          <a:ext cx="2401027" cy="887349"/>
          <a:chOff x="2704113" y="1089314"/>
          <a:chExt cx="4635330" cy="1687107"/>
        </a:xfrm>
      </xdr:grpSpPr>
      <xdr:graphicFrame macro="">
        <xdr:nvGraphicFramePr>
          <xdr:cNvPr id="73" name="Chart 72">
            <a:extLst>
              <a:ext uri="{FF2B5EF4-FFF2-40B4-BE49-F238E27FC236}">
                <a16:creationId xmlns:a16="http://schemas.microsoft.com/office/drawing/2014/main" id="{00000000-0008-0000-0C00-00004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74" name="Chart 73">
            <a:extLst>
              <a:ext uri="{FF2B5EF4-FFF2-40B4-BE49-F238E27FC236}">
                <a16:creationId xmlns:a16="http://schemas.microsoft.com/office/drawing/2014/main" id="{00000000-0008-0000-0C00-00004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13</xdr:col>
      <xdr:colOff>247411</xdr:colOff>
      <xdr:row>3</xdr:row>
      <xdr:rowOff>20740</xdr:rowOff>
    </xdr:from>
    <xdr:to>
      <xdr:col>17</xdr:col>
      <xdr:colOff>642127</xdr:colOff>
      <xdr:row>6</xdr:row>
      <xdr:rowOff>146089</xdr:rowOff>
    </xdr:to>
    <xdr:grpSp>
      <xdr:nvGrpSpPr>
        <xdr:cNvPr id="75" name="Group 74">
          <a:extLst>
            <a:ext uri="{FF2B5EF4-FFF2-40B4-BE49-F238E27FC236}">
              <a16:creationId xmlns:a16="http://schemas.microsoft.com/office/drawing/2014/main" id="{00000000-0008-0000-0C00-00004B000000}"/>
            </a:ext>
          </a:extLst>
        </xdr:cNvPr>
        <xdr:cNvGrpSpPr/>
      </xdr:nvGrpSpPr>
      <xdr:grpSpPr>
        <a:xfrm>
          <a:off x="5884479" y="618217"/>
          <a:ext cx="2403625" cy="887349"/>
          <a:chOff x="2704113" y="1089314"/>
          <a:chExt cx="4635330" cy="1687107"/>
        </a:xfrm>
      </xdr:grpSpPr>
      <xdr:graphicFrame macro="">
        <xdr:nvGraphicFramePr>
          <xdr:cNvPr id="76" name="Chart 75">
            <a:extLst>
              <a:ext uri="{FF2B5EF4-FFF2-40B4-BE49-F238E27FC236}">
                <a16:creationId xmlns:a16="http://schemas.microsoft.com/office/drawing/2014/main" id="{00000000-0008-0000-0C00-00004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77" name="Chart 76">
            <a:extLst>
              <a:ext uri="{FF2B5EF4-FFF2-40B4-BE49-F238E27FC236}">
                <a16:creationId xmlns:a16="http://schemas.microsoft.com/office/drawing/2014/main" id="{00000000-0008-0000-0C00-00004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6</xdr:col>
      <xdr:colOff>199159</xdr:colOff>
      <xdr:row>28</xdr:row>
      <xdr:rowOff>43295</xdr:rowOff>
    </xdr:from>
    <xdr:to>
      <xdr:col>7</xdr:col>
      <xdr:colOff>432954</xdr:colOff>
      <xdr:row>29</xdr:row>
      <xdr:rowOff>155864</xdr:rowOff>
    </xdr:to>
    <xdr:sp macro="" textlink="">
      <xdr:nvSpPr>
        <xdr:cNvPr id="45" name="TextBox 44">
          <a:extLst>
            <a:ext uri="{FF2B5EF4-FFF2-40B4-BE49-F238E27FC236}">
              <a16:creationId xmlns:a16="http://schemas.microsoft.com/office/drawing/2014/main" id="{00000000-0008-0000-0C00-00002D000000}"/>
            </a:ext>
          </a:extLst>
        </xdr:cNvPr>
        <xdr:cNvSpPr txBox="1"/>
      </xdr:nvSpPr>
      <xdr:spPr>
        <a:xfrm>
          <a:off x="2606386" y="4476750"/>
          <a:ext cx="450273"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Verdana" panose="020B0604030504040204" pitchFamily="34" charset="0"/>
              <a:ea typeface="Verdana" panose="020B0604030504040204" pitchFamily="34" charset="0"/>
              <a:cs typeface="Verdana" panose="020B0604030504040204" pitchFamily="34" charset="0"/>
            </a:rPr>
            <a:t>0%</a:t>
          </a:r>
        </a:p>
      </xdr:txBody>
    </xdr:sp>
    <xdr:clientData/>
  </xdr:twoCellAnchor>
  <xdr:twoCellAnchor>
    <xdr:from>
      <xdr:col>11</xdr:col>
      <xdr:colOff>178377</xdr:colOff>
      <xdr:row>28</xdr:row>
      <xdr:rowOff>57149</xdr:rowOff>
    </xdr:from>
    <xdr:to>
      <xdr:col>11</xdr:col>
      <xdr:colOff>701387</xdr:colOff>
      <xdr:row>30</xdr:row>
      <xdr:rowOff>43296</xdr:rowOff>
    </xdr:to>
    <xdr:sp macro="" textlink="">
      <xdr:nvSpPr>
        <xdr:cNvPr id="48" name="TextBox 47">
          <a:extLst>
            <a:ext uri="{FF2B5EF4-FFF2-40B4-BE49-F238E27FC236}">
              <a16:creationId xmlns:a16="http://schemas.microsoft.com/office/drawing/2014/main" id="{00000000-0008-0000-0C00-000030000000}"/>
            </a:ext>
          </a:extLst>
        </xdr:cNvPr>
        <xdr:cNvSpPr txBox="1"/>
      </xdr:nvSpPr>
      <xdr:spPr>
        <a:xfrm>
          <a:off x="4810991" y="4490604"/>
          <a:ext cx="523010"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a:latin typeface="Verdana" panose="020B0604030504040204" pitchFamily="34" charset="0"/>
              <a:ea typeface="Verdana" panose="020B0604030504040204" pitchFamily="34" charset="0"/>
              <a:cs typeface="Verdana" panose="020B0604030504040204" pitchFamily="34" charset="0"/>
            </a:rPr>
            <a:t>30%</a:t>
          </a:r>
        </a:p>
      </xdr:txBody>
    </xdr:sp>
    <xdr:clientData/>
  </xdr:twoCellAnchor>
  <mc:AlternateContent xmlns:mc="http://schemas.openxmlformats.org/markup-compatibility/2006">
    <mc:Choice xmlns:a14="http://schemas.microsoft.com/office/drawing/2010/main" Requires="a14">
      <xdr:twoCellAnchor editAs="oneCell">
        <xdr:from>
          <xdr:col>6</xdr:col>
          <xdr:colOff>190500</xdr:colOff>
          <xdr:row>26</xdr:row>
          <xdr:rowOff>152400</xdr:rowOff>
        </xdr:from>
        <xdr:to>
          <xdr:col>11</xdr:col>
          <xdr:colOff>714375</xdr:colOff>
          <xdr:row>27</xdr:row>
          <xdr:rowOff>152400</xdr:rowOff>
        </xdr:to>
        <xdr:sp macro="" textlink="">
          <xdr:nvSpPr>
            <xdr:cNvPr id="22532" name="ScrollBar_JDCOffshorePrac3"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159770</xdr:colOff>
      <xdr:row>1</xdr:row>
      <xdr:rowOff>67595</xdr:rowOff>
    </xdr:from>
    <xdr:to>
      <xdr:col>19</xdr:col>
      <xdr:colOff>507289</xdr:colOff>
      <xdr:row>1</xdr:row>
      <xdr:rowOff>270385</xdr:rowOff>
    </xdr:to>
    <xdr:grpSp>
      <xdr:nvGrpSpPr>
        <xdr:cNvPr id="52" name="Group 51">
          <a:extLst>
            <a:ext uri="{FF2B5EF4-FFF2-40B4-BE49-F238E27FC236}">
              <a16:creationId xmlns:a16="http://schemas.microsoft.com/office/drawing/2014/main" id="{00000000-0008-0000-0C00-000034000000}"/>
            </a:ext>
          </a:extLst>
        </xdr:cNvPr>
        <xdr:cNvGrpSpPr/>
      </xdr:nvGrpSpPr>
      <xdr:grpSpPr>
        <a:xfrm>
          <a:off x="7805747" y="128209"/>
          <a:ext cx="1351974" cy="202790"/>
          <a:chOff x="8019435" y="79888"/>
          <a:chExt cx="1361471" cy="202790"/>
        </a:xfrm>
      </xdr:grpSpPr>
      <xdr:sp macro="[0]!ToolNavMenu" textlink="">
        <xdr:nvSpPr>
          <xdr:cNvPr id="53" name="TextBox 52">
            <a:extLst>
              <a:ext uri="{FF2B5EF4-FFF2-40B4-BE49-F238E27FC236}">
                <a16:creationId xmlns:a16="http://schemas.microsoft.com/office/drawing/2014/main" id="{00000000-0008-0000-0C00-000035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54" name="Isosceles Triangle 53">
            <a:extLst>
              <a:ext uri="{FF2B5EF4-FFF2-40B4-BE49-F238E27FC236}">
                <a16:creationId xmlns:a16="http://schemas.microsoft.com/office/drawing/2014/main" id="{00000000-0008-0000-0C00-000036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28575</xdr:colOff>
          <xdr:row>348</xdr:row>
          <xdr:rowOff>0</xdr:rowOff>
        </xdr:from>
        <xdr:to>
          <xdr:col>31</xdr:col>
          <xdr:colOff>276225</xdr:colOff>
          <xdr:row>350</xdr:row>
          <xdr:rowOff>19050</xdr:rowOff>
        </xdr:to>
        <xdr:sp macro="" textlink="">
          <xdr:nvSpPr>
            <xdr:cNvPr id="57360" name="CommandButton1" hidden="1">
              <a:extLst>
                <a:ext uri="{63B3BB69-23CF-44E3-9099-C40C66FF867C}">
                  <a14:compatExt spid="_x0000_s57360"/>
                </a:ext>
                <a:ext uri="{FF2B5EF4-FFF2-40B4-BE49-F238E27FC236}">
                  <a16:creationId xmlns:a16="http://schemas.microsoft.com/office/drawing/2014/main" id="{00000000-0008-0000-0D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193963</xdr:colOff>
      <xdr:row>52</xdr:row>
      <xdr:rowOff>63500</xdr:rowOff>
    </xdr:from>
    <xdr:to>
      <xdr:col>24</xdr:col>
      <xdr:colOff>179624</xdr:colOff>
      <xdr:row>74</xdr:row>
      <xdr:rowOff>60615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278824</xdr:colOff>
      <xdr:row>10</xdr:row>
      <xdr:rowOff>121227</xdr:rowOff>
    </xdr:from>
    <xdr:to>
      <xdr:col>25</xdr:col>
      <xdr:colOff>51956</xdr:colOff>
      <xdr:row>41</xdr:row>
      <xdr:rowOff>121227</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700520</xdr:colOff>
      <xdr:row>74</xdr:row>
      <xdr:rowOff>71005</xdr:rowOff>
    </xdr:from>
    <xdr:to>
      <xdr:col>31</xdr:col>
      <xdr:colOff>62346</xdr:colOff>
      <xdr:row>311</xdr:row>
      <xdr:rowOff>0</xdr:rowOff>
    </xdr:to>
    <xdr:sp macro="" textlink="">
      <xdr:nvSpPr>
        <xdr:cNvPr id="2" name="Rectangle 1">
          <a:extLst>
            <a:ext uri="{FF2B5EF4-FFF2-40B4-BE49-F238E27FC236}">
              <a16:creationId xmlns:a16="http://schemas.microsoft.com/office/drawing/2014/main" id="{00000000-0008-0000-0D00-000002000000}"/>
            </a:ext>
          </a:extLst>
        </xdr:cNvPr>
        <xdr:cNvSpPr/>
      </xdr:nvSpPr>
      <xdr:spPr bwMode="auto">
        <a:xfrm>
          <a:off x="11381467" y="7848214"/>
          <a:ext cx="3292044" cy="594820"/>
        </a:xfrm>
        <a:prstGeom prst="rect">
          <a:avLst/>
        </a:prstGeom>
        <a:solidFill>
          <a:srgbClr val="CBE4EB"/>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clientData/>
  </xdr:twoCellAnchor>
  <xdr:twoCellAnchor>
    <xdr:from>
      <xdr:col>0</xdr:col>
      <xdr:colOff>3</xdr:colOff>
      <xdr:row>4</xdr:row>
      <xdr:rowOff>34636</xdr:rowOff>
    </xdr:from>
    <xdr:to>
      <xdr:col>6</xdr:col>
      <xdr:colOff>4194</xdr:colOff>
      <xdr:row>7</xdr:row>
      <xdr:rowOff>159985</xdr:rowOff>
    </xdr:to>
    <xdr:grpSp>
      <xdr:nvGrpSpPr>
        <xdr:cNvPr id="13" name="Group 12">
          <a:extLst>
            <a:ext uri="{FF2B5EF4-FFF2-40B4-BE49-F238E27FC236}">
              <a16:creationId xmlns:a16="http://schemas.microsoft.com/office/drawing/2014/main" id="{00000000-0008-0000-0D00-00000D000000}"/>
            </a:ext>
          </a:extLst>
        </xdr:cNvPr>
        <xdr:cNvGrpSpPr/>
      </xdr:nvGrpSpPr>
      <xdr:grpSpPr>
        <a:xfrm>
          <a:off x="3" y="632113"/>
          <a:ext cx="2506668" cy="887349"/>
          <a:chOff x="2704113" y="1089314"/>
          <a:chExt cx="4635330" cy="1687107"/>
        </a:xfrm>
      </xdr:grpSpPr>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9</xdr:col>
      <xdr:colOff>279252</xdr:colOff>
      <xdr:row>4</xdr:row>
      <xdr:rowOff>34636</xdr:rowOff>
    </xdr:from>
    <xdr:to>
      <xdr:col>13</xdr:col>
      <xdr:colOff>673968</xdr:colOff>
      <xdr:row>7</xdr:row>
      <xdr:rowOff>159985</xdr:rowOff>
    </xdr:to>
    <xdr:grpSp>
      <xdr:nvGrpSpPr>
        <xdr:cNvPr id="19" name="Group 18">
          <a:extLst>
            <a:ext uri="{FF2B5EF4-FFF2-40B4-BE49-F238E27FC236}">
              <a16:creationId xmlns:a16="http://schemas.microsoft.com/office/drawing/2014/main" id="{00000000-0008-0000-0D00-000013000000}"/>
            </a:ext>
          </a:extLst>
        </xdr:cNvPr>
        <xdr:cNvGrpSpPr/>
      </xdr:nvGrpSpPr>
      <xdr:grpSpPr>
        <a:xfrm>
          <a:off x="4002661" y="632113"/>
          <a:ext cx="2403625" cy="887349"/>
          <a:chOff x="2704113" y="1089314"/>
          <a:chExt cx="4635330" cy="1687107"/>
        </a:xfrm>
      </xdr:grpSpPr>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5</xdr:col>
      <xdr:colOff>322335</xdr:colOff>
      <xdr:row>4</xdr:row>
      <xdr:rowOff>34636</xdr:rowOff>
    </xdr:from>
    <xdr:to>
      <xdr:col>9</xdr:col>
      <xdr:colOff>714453</xdr:colOff>
      <xdr:row>7</xdr:row>
      <xdr:rowOff>159985</xdr:rowOff>
    </xdr:to>
    <xdr:grpSp>
      <xdr:nvGrpSpPr>
        <xdr:cNvPr id="22" name="Group 21">
          <a:extLst>
            <a:ext uri="{FF2B5EF4-FFF2-40B4-BE49-F238E27FC236}">
              <a16:creationId xmlns:a16="http://schemas.microsoft.com/office/drawing/2014/main" id="{00000000-0008-0000-0D00-000016000000}"/>
            </a:ext>
          </a:extLst>
        </xdr:cNvPr>
        <xdr:cNvGrpSpPr/>
      </xdr:nvGrpSpPr>
      <xdr:grpSpPr>
        <a:xfrm>
          <a:off x="1941585" y="632113"/>
          <a:ext cx="2496277" cy="887349"/>
          <a:chOff x="2704113" y="1089314"/>
          <a:chExt cx="4635330" cy="1687107"/>
        </a:xfrm>
      </xdr:grpSpPr>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13</xdr:col>
      <xdr:colOff>147530</xdr:colOff>
      <xdr:row>3</xdr:row>
      <xdr:rowOff>190649</xdr:rowOff>
    </xdr:from>
    <xdr:to>
      <xdr:col>17</xdr:col>
      <xdr:colOff>542246</xdr:colOff>
      <xdr:row>7</xdr:row>
      <xdr:rowOff>118929</xdr:rowOff>
    </xdr:to>
    <xdr:grpSp>
      <xdr:nvGrpSpPr>
        <xdr:cNvPr id="25" name="Group 24">
          <a:extLst>
            <a:ext uri="{FF2B5EF4-FFF2-40B4-BE49-F238E27FC236}">
              <a16:creationId xmlns:a16="http://schemas.microsoft.com/office/drawing/2014/main" id="{00000000-0008-0000-0D00-000019000000}"/>
            </a:ext>
          </a:extLst>
        </xdr:cNvPr>
        <xdr:cNvGrpSpPr/>
      </xdr:nvGrpSpPr>
      <xdr:grpSpPr>
        <a:xfrm>
          <a:off x="5879848" y="588967"/>
          <a:ext cx="2403625" cy="889439"/>
          <a:chOff x="-1315362" y="1010672"/>
          <a:chExt cx="4635330" cy="1687108"/>
        </a:xfrm>
      </xdr:grpSpPr>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1315362" y="1010672"/>
          <a:ext cx="4635330" cy="1664903"/>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1314581" y="1069326"/>
          <a:ext cx="4540209"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2</xdr:col>
      <xdr:colOff>8660</xdr:colOff>
      <xdr:row>42</xdr:row>
      <xdr:rowOff>0</xdr:rowOff>
    </xdr:from>
    <xdr:to>
      <xdr:col>15</xdr:col>
      <xdr:colOff>0</xdr:colOff>
      <xdr:row>42</xdr:row>
      <xdr:rowOff>69273</xdr:rowOff>
    </xdr:to>
    <xdr:sp macro="" textlink="">
      <xdr:nvSpPr>
        <xdr:cNvPr id="28" name="Rectangle 27">
          <a:extLst>
            <a:ext uri="{FF2B5EF4-FFF2-40B4-BE49-F238E27FC236}">
              <a16:creationId xmlns:a16="http://schemas.microsoft.com/office/drawing/2014/main" id="{00000000-0008-0000-0D00-00001C000000}"/>
            </a:ext>
          </a:extLst>
        </xdr:cNvPr>
        <xdr:cNvSpPr/>
      </xdr:nvSpPr>
      <xdr:spPr bwMode="auto">
        <a:xfrm>
          <a:off x="285751" y="5801591"/>
          <a:ext cx="6451022" cy="69273"/>
        </a:xfrm>
        <a:prstGeom prst="rect">
          <a:avLst/>
        </a:prstGeom>
        <a:solidFill>
          <a:schemeClr val="bg1"/>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clientData/>
  </xdr:twoCellAnchor>
  <xdr:twoCellAnchor>
    <xdr:from>
      <xdr:col>17</xdr:col>
      <xdr:colOff>184355</xdr:colOff>
      <xdr:row>2</xdr:row>
      <xdr:rowOff>61450</xdr:rowOff>
    </xdr:from>
    <xdr:to>
      <xdr:col>19</xdr:col>
      <xdr:colOff>531875</xdr:colOff>
      <xdr:row>2</xdr:row>
      <xdr:rowOff>264240</xdr:rowOff>
    </xdr:to>
    <xdr:grpSp>
      <xdr:nvGrpSpPr>
        <xdr:cNvPr id="27" name="Group 26">
          <a:extLst>
            <a:ext uri="{FF2B5EF4-FFF2-40B4-BE49-F238E27FC236}">
              <a16:creationId xmlns:a16="http://schemas.microsoft.com/office/drawing/2014/main" id="{00000000-0008-0000-0D00-00001B000000}"/>
            </a:ext>
          </a:extLst>
        </xdr:cNvPr>
        <xdr:cNvGrpSpPr/>
      </xdr:nvGrpSpPr>
      <xdr:grpSpPr>
        <a:xfrm>
          <a:off x="7925582" y="122064"/>
          <a:ext cx="1351975" cy="202790"/>
          <a:chOff x="8019435" y="79888"/>
          <a:chExt cx="1361471" cy="202790"/>
        </a:xfrm>
      </xdr:grpSpPr>
      <xdr:sp macro="[0]!ToolNavMenu" textlink="">
        <xdr:nvSpPr>
          <xdr:cNvPr id="29" name="TextBox 28">
            <a:extLst>
              <a:ext uri="{FF2B5EF4-FFF2-40B4-BE49-F238E27FC236}">
                <a16:creationId xmlns:a16="http://schemas.microsoft.com/office/drawing/2014/main" id="{00000000-0008-0000-0D00-00001D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31" name="Isosceles Triangle 30">
            <a:extLst>
              <a:ext uri="{FF2B5EF4-FFF2-40B4-BE49-F238E27FC236}">
                <a16:creationId xmlns:a16="http://schemas.microsoft.com/office/drawing/2014/main" id="{00000000-0008-0000-0D00-00001F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4</xdr:row>
      <xdr:rowOff>29399</xdr:rowOff>
    </xdr:from>
    <xdr:to>
      <xdr:col>6</xdr:col>
      <xdr:colOff>4191</xdr:colOff>
      <xdr:row>7</xdr:row>
      <xdr:rowOff>154748</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0" y="800924"/>
          <a:ext cx="2414016" cy="877824"/>
          <a:chOff x="2704113" y="1089314"/>
          <a:chExt cx="4635330" cy="1687107"/>
        </a:xfrm>
      </xdr:grpSpPr>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0" name="Chart 9">
            <a:extLst>
              <a:ext uri="{FF2B5EF4-FFF2-40B4-BE49-F238E27FC236}">
                <a16:creationId xmlns:a16="http://schemas.microsoft.com/office/drawing/2014/main" id="{00000000-0008-0000-0E00-00000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13</xdr:col>
      <xdr:colOff>280586</xdr:colOff>
      <xdr:row>4</xdr:row>
      <xdr:rowOff>29399</xdr:rowOff>
    </xdr:from>
    <xdr:to>
      <xdr:col>17</xdr:col>
      <xdr:colOff>675302</xdr:colOff>
      <xdr:row>7</xdr:row>
      <xdr:rowOff>154748</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7519586" y="800924"/>
          <a:ext cx="2414016" cy="877824"/>
          <a:chOff x="2704112" y="1089314"/>
          <a:chExt cx="4635330" cy="1687107"/>
        </a:xfrm>
      </xdr:grpSpPr>
      <xdr:graphicFrame macro="">
        <xdr:nvGraphicFramePr>
          <xdr:cNvPr id="15" name="Chart 14">
            <a:extLst>
              <a:ext uri="{FF2B5EF4-FFF2-40B4-BE49-F238E27FC236}">
                <a16:creationId xmlns:a16="http://schemas.microsoft.com/office/drawing/2014/main" id="{00000000-0008-0000-0E00-00000F000000}"/>
              </a:ext>
            </a:extLst>
          </xdr:cNvPr>
          <xdr:cNvGraphicFramePr>
            <a:graphicFrameLocks/>
          </xdr:cNvGraphicFramePr>
        </xdr:nvGraphicFramePr>
        <xdr:xfrm>
          <a:off x="2704112" y="1089314"/>
          <a:ext cx="4635330" cy="16649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E00-000010000000}"/>
              </a:ext>
            </a:extLst>
          </xdr:cNvPr>
          <xdr:cNvGraphicFramePr>
            <a:graphicFrameLocks/>
          </xdr:cNvGraphicFramePr>
        </xdr:nvGraphicFramePr>
        <xdr:xfrm>
          <a:off x="2704894" y="1147965"/>
          <a:ext cx="4540209" cy="1628456"/>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oneCell">
    <xdr:from>
      <xdr:col>5</xdr:col>
      <xdr:colOff>318898</xdr:colOff>
      <xdr:row>4</xdr:row>
      <xdr:rowOff>29399</xdr:rowOff>
    </xdr:from>
    <xdr:to>
      <xdr:col>8</xdr:col>
      <xdr:colOff>935256</xdr:colOff>
      <xdr:row>7</xdr:row>
      <xdr:rowOff>154748</xdr:rowOff>
    </xdr:to>
    <xdr:grpSp>
      <xdr:nvGrpSpPr>
        <xdr:cNvPr id="17" name="Group 16">
          <a:extLst>
            <a:ext uri="{FF2B5EF4-FFF2-40B4-BE49-F238E27FC236}">
              <a16:creationId xmlns:a16="http://schemas.microsoft.com/office/drawing/2014/main" id="{00000000-0008-0000-0E00-000011000000}"/>
            </a:ext>
          </a:extLst>
        </xdr:cNvPr>
        <xdr:cNvGrpSpPr/>
      </xdr:nvGrpSpPr>
      <xdr:grpSpPr>
        <a:xfrm>
          <a:off x="1938148" y="800924"/>
          <a:ext cx="2416583" cy="877824"/>
          <a:chOff x="2704113" y="1089314"/>
          <a:chExt cx="4635330" cy="1687107"/>
        </a:xfrm>
      </xdr:grpSpPr>
      <xdr:graphicFrame macro="">
        <xdr:nvGraphicFramePr>
          <xdr:cNvPr id="18" name="Chart 17">
            <a:extLst>
              <a:ext uri="{FF2B5EF4-FFF2-40B4-BE49-F238E27FC236}">
                <a16:creationId xmlns:a16="http://schemas.microsoft.com/office/drawing/2014/main" id="{00000000-0008-0000-0E00-000012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 name="Chart 18">
            <a:extLst>
              <a:ext uri="{FF2B5EF4-FFF2-40B4-BE49-F238E27FC236}">
                <a16:creationId xmlns:a16="http://schemas.microsoft.com/office/drawing/2014/main" id="{00000000-0008-0000-0E00-000013000000}"/>
              </a:ext>
            </a:extLst>
          </xdr:cNvPr>
          <xdr:cNvGraphicFramePr>
            <a:graphicFrameLocks/>
          </xdr:cNvGraphicFramePr>
        </xdr:nvGraphicFramePr>
        <xdr:xfrm>
          <a:off x="2704892" y="1147967"/>
          <a:ext cx="4540209"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17</xdr:col>
      <xdr:colOff>130649</xdr:colOff>
      <xdr:row>4</xdr:row>
      <xdr:rowOff>4766</xdr:rowOff>
    </xdr:from>
    <xdr:to>
      <xdr:col>21</xdr:col>
      <xdr:colOff>528829</xdr:colOff>
      <xdr:row>7</xdr:row>
      <xdr:rowOff>130115</xdr:rowOff>
    </xdr:to>
    <xdr:grpSp>
      <xdr:nvGrpSpPr>
        <xdr:cNvPr id="20" name="Group 19">
          <a:extLst>
            <a:ext uri="{FF2B5EF4-FFF2-40B4-BE49-F238E27FC236}">
              <a16:creationId xmlns:a16="http://schemas.microsoft.com/office/drawing/2014/main" id="{00000000-0008-0000-0E00-000014000000}"/>
            </a:ext>
          </a:extLst>
        </xdr:cNvPr>
        <xdr:cNvGrpSpPr/>
      </xdr:nvGrpSpPr>
      <xdr:grpSpPr>
        <a:xfrm>
          <a:off x="9388949" y="776291"/>
          <a:ext cx="2417480" cy="877824"/>
          <a:chOff x="2704113" y="1089314"/>
          <a:chExt cx="4635330" cy="1687107"/>
        </a:xfrm>
      </xdr:grpSpPr>
      <xdr:graphicFrame macro="">
        <xdr:nvGraphicFramePr>
          <xdr:cNvPr id="21" name="Chart 20">
            <a:extLst>
              <a:ext uri="{FF2B5EF4-FFF2-40B4-BE49-F238E27FC236}">
                <a16:creationId xmlns:a16="http://schemas.microsoft.com/office/drawing/2014/main" id="{00000000-0008-0000-0E00-00001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2" name="Chart 21">
            <a:extLst>
              <a:ext uri="{FF2B5EF4-FFF2-40B4-BE49-F238E27FC236}">
                <a16:creationId xmlns:a16="http://schemas.microsoft.com/office/drawing/2014/main" id="{00000000-0008-0000-0E00-00001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23</xdr:col>
      <xdr:colOff>184351</xdr:colOff>
      <xdr:row>2</xdr:row>
      <xdr:rowOff>61450</xdr:rowOff>
    </xdr:from>
    <xdr:to>
      <xdr:col>25</xdr:col>
      <xdr:colOff>531871</xdr:colOff>
      <xdr:row>2</xdr:row>
      <xdr:rowOff>264240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471601" y="299575"/>
          <a:ext cx="1357170" cy="202790"/>
          <a:chOff x="8019435" y="79888"/>
          <a:chExt cx="1361471" cy="202790"/>
        </a:xfrm>
      </xdr:grpSpPr>
      <xdr:sp macro="[0]!ToolNavMenu" textlink="">
        <xdr:nvSpPr>
          <xdr:cNvPr id="24" name="TextBox 23">
            <a:extLst>
              <a:ext uri="{FF2B5EF4-FFF2-40B4-BE49-F238E27FC236}">
                <a16:creationId xmlns:a16="http://schemas.microsoft.com/office/drawing/2014/main" id="{00000000-0008-0000-0E00-000018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25" name="Isosceles Triangle 24">
            <a:extLst>
              <a:ext uri="{FF2B5EF4-FFF2-40B4-BE49-F238E27FC236}">
                <a16:creationId xmlns:a16="http://schemas.microsoft.com/office/drawing/2014/main" id="{00000000-0008-0000-0E00-000019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860316</xdr:colOff>
      <xdr:row>0</xdr:row>
      <xdr:rowOff>147486</xdr:rowOff>
    </xdr:from>
    <xdr:to>
      <xdr:col>18</xdr:col>
      <xdr:colOff>46400</xdr:colOff>
      <xdr:row>1</xdr:row>
      <xdr:rowOff>122905</xdr:rowOff>
    </xdr:to>
    <xdr:grpSp>
      <xdr:nvGrpSpPr>
        <xdr:cNvPr id="5" name="Group 4">
          <a:extLst>
            <a:ext uri="{FF2B5EF4-FFF2-40B4-BE49-F238E27FC236}">
              <a16:creationId xmlns:a16="http://schemas.microsoft.com/office/drawing/2014/main" id="{00000000-0008-0000-0F00-000005000000}"/>
            </a:ext>
          </a:extLst>
        </xdr:cNvPr>
        <xdr:cNvGrpSpPr/>
      </xdr:nvGrpSpPr>
      <xdr:grpSpPr>
        <a:xfrm>
          <a:off x="9070866" y="147486"/>
          <a:ext cx="1357784" cy="204019"/>
          <a:chOff x="8019435" y="79888"/>
          <a:chExt cx="1361471" cy="202790"/>
        </a:xfrm>
      </xdr:grpSpPr>
      <xdr:sp macro="[0]!ToolNavMenu" textlink="">
        <xdr:nvSpPr>
          <xdr:cNvPr id="6" name="TextBox 5">
            <a:extLst>
              <a:ext uri="{FF2B5EF4-FFF2-40B4-BE49-F238E27FC236}">
                <a16:creationId xmlns:a16="http://schemas.microsoft.com/office/drawing/2014/main" id="{00000000-0008-0000-0F00-000006000000}"/>
              </a:ext>
            </a:extLst>
          </xdr:cNvPr>
          <xdr:cNvSpPr txBox="1"/>
        </xdr:nvSpPr>
        <xdr:spPr>
          <a:xfrm>
            <a:off x="8019435" y="79888"/>
            <a:ext cx="1290484" cy="202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7" name="Isosceles Triangle 6">
            <a:extLst>
              <a:ext uri="{FF2B5EF4-FFF2-40B4-BE49-F238E27FC236}">
                <a16:creationId xmlns:a16="http://schemas.microsoft.com/office/drawing/2014/main" id="{00000000-0008-0000-0F00-000007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276225</xdr:colOff>
      <xdr:row>35</xdr:row>
      <xdr:rowOff>76200</xdr:rowOff>
    </xdr:from>
    <xdr:to>
      <xdr:col>9</xdr:col>
      <xdr:colOff>390525</xdr:colOff>
      <xdr:row>54</xdr:row>
      <xdr:rowOff>66675</xdr:rowOff>
    </xdr:to>
    <xdr:pic>
      <xdr:nvPicPr>
        <xdr:cNvPr id="26709" name="Picture 2" descr="ProcInst Macros">
          <a:extLst>
            <a:ext uri="{FF2B5EF4-FFF2-40B4-BE49-F238E27FC236}">
              <a16:creationId xmlns:a16="http://schemas.microsoft.com/office/drawing/2014/main" id="{00000000-0008-0000-1000-0000556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6324600"/>
          <a:ext cx="4914900" cy="3676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171450</xdr:colOff>
      <xdr:row>35</xdr:row>
      <xdr:rowOff>200025</xdr:rowOff>
    </xdr:from>
    <xdr:to>
      <xdr:col>8</xdr:col>
      <xdr:colOff>476250</xdr:colOff>
      <xdr:row>52</xdr:row>
      <xdr:rowOff>0</xdr:rowOff>
    </xdr:to>
    <xdr:pic>
      <xdr:nvPicPr>
        <xdr:cNvPr id="26710" name="Picture 1" descr="ProcInst NewYear">
          <a:extLst>
            <a:ext uri="{FF2B5EF4-FFF2-40B4-BE49-F238E27FC236}">
              <a16:creationId xmlns:a16="http://schemas.microsoft.com/office/drawing/2014/main" id="{00000000-0008-0000-1000-0000566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4850" y="6448425"/>
          <a:ext cx="4038600" cy="302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62</xdr:row>
      <xdr:rowOff>0</xdr:rowOff>
    </xdr:from>
    <xdr:to>
      <xdr:col>9</xdr:col>
      <xdr:colOff>381000</xdr:colOff>
      <xdr:row>83</xdr:row>
      <xdr:rowOff>85725</xdr:rowOff>
    </xdr:to>
    <xdr:pic>
      <xdr:nvPicPr>
        <xdr:cNvPr id="26711" name="Picture 3" descr="ProcInst IntroPage">
          <a:extLst>
            <a:ext uri="{FF2B5EF4-FFF2-40B4-BE49-F238E27FC236}">
              <a16:creationId xmlns:a16="http://schemas.microsoft.com/office/drawing/2014/main" id="{00000000-0008-0000-1000-00005768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66800" y="11782425"/>
          <a:ext cx="4114800" cy="308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96</xdr:row>
      <xdr:rowOff>0</xdr:rowOff>
    </xdr:from>
    <xdr:to>
      <xdr:col>11</xdr:col>
      <xdr:colOff>0</xdr:colOff>
      <xdr:row>121</xdr:row>
      <xdr:rowOff>28575</xdr:rowOff>
    </xdr:to>
    <xdr:pic>
      <xdr:nvPicPr>
        <xdr:cNvPr id="26712" name="Picture 4" descr="ProcInst Export Dec">
          <a:extLst>
            <a:ext uri="{FF2B5EF4-FFF2-40B4-BE49-F238E27FC236}">
              <a16:creationId xmlns:a16="http://schemas.microsoft.com/office/drawing/2014/main" id="{00000000-0008-0000-1000-00005868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 y="17154525"/>
          <a:ext cx="4800600" cy="3600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156</xdr:row>
      <xdr:rowOff>0</xdr:rowOff>
    </xdr:from>
    <xdr:to>
      <xdr:col>11</xdr:col>
      <xdr:colOff>457200</xdr:colOff>
      <xdr:row>183</xdr:row>
      <xdr:rowOff>85725</xdr:rowOff>
    </xdr:to>
    <xdr:pic>
      <xdr:nvPicPr>
        <xdr:cNvPr id="26713" name="Picture 5" descr="ProcInst ManAdj">
          <a:extLst>
            <a:ext uri="{FF2B5EF4-FFF2-40B4-BE49-F238E27FC236}">
              <a16:creationId xmlns:a16="http://schemas.microsoft.com/office/drawing/2014/main" id="{00000000-0008-0000-1000-00005968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6800" y="27870150"/>
          <a:ext cx="5257800" cy="394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196</xdr:row>
      <xdr:rowOff>0</xdr:rowOff>
    </xdr:from>
    <xdr:to>
      <xdr:col>12</xdr:col>
      <xdr:colOff>381000</xdr:colOff>
      <xdr:row>226</xdr:row>
      <xdr:rowOff>0</xdr:rowOff>
    </xdr:to>
    <xdr:pic>
      <xdr:nvPicPr>
        <xdr:cNvPr id="26714" name="Picture 6" descr="ProcInst UpdateLink">
          <a:extLst>
            <a:ext uri="{FF2B5EF4-FFF2-40B4-BE49-F238E27FC236}">
              <a16:creationId xmlns:a16="http://schemas.microsoft.com/office/drawing/2014/main" id="{00000000-0008-0000-1000-00005A68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66800" y="34194750"/>
          <a:ext cx="5715000" cy="428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66675</xdr:rowOff>
        </xdr:from>
        <xdr:to>
          <xdr:col>3</xdr:col>
          <xdr:colOff>571500</xdr:colOff>
          <xdr:row>5</xdr:row>
          <xdr:rowOff>9525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1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Arial"/>
                  <a:cs typeface="Arial"/>
                </a:rPr>
                <a:t>Clear All Adjustments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10</xdr:col>
      <xdr:colOff>380155</xdr:colOff>
      <xdr:row>6</xdr:row>
      <xdr:rowOff>51954</xdr:rowOff>
    </xdr:from>
    <xdr:to>
      <xdr:col>15</xdr:col>
      <xdr:colOff>109852</xdr:colOff>
      <xdr:row>12</xdr:row>
      <xdr:rowOff>46551</xdr:rowOff>
    </xdr:to>
    <xdr:grpSp>
      <xdr:nvGrpSpPr>
        <xdr:cNvPr id="4" name="Group 3">
          <a:extLst>
            <a:ext uri="{FF2B5EF4-FFF2-40B4-BE49-F238E27FC236}">
              <a16:creationId xmlns:a16="http://schemas.microsoft.com/office/drawing/2014/main" id="{00000000-0008-0000-1700-000004000000}"/>
            </a:ext>
          </a:extLst>
        </xdr:cNvPr>
        <xdr:cNvGrpSpPr/>
      </xdr:nvGrpSpPr>
      <xdr:grpSpPr>
        <a:xfrm>
          <a:off x="6207723" y="1091045"/>
          <a:ext cx="2414015" cy="877824"/>
          <a:chOff x="2704113" y="1089314"/>
          <a:chExt cx="4635330" cy="1687107"/>
        </a:xfrm>
      </xdr:grpSpPr>
      <xdr:graphicFrame macro="">
        <xdr:nvGraphicFramePr>
          <xdr:cNvPr id="5" name="Chart 4">
            <a:extLst>
              <a:ext uri="{FF2B5EF4-FFF2-40B4-BE49-F238E27FC236}">
                <a16:creationId xmlns:a16="http://schemas.microsoft.com/office/drawing/2014/main" id="{00000000-0008-0000-1700-00000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 name="Chart 5">
            <a:extLst>
              <a:ext uri="{FF2B5EF4-FFF2-40B4-BE49-F238E27FC236}">
                <a16:creationId xmlns:a16="http://schemas.microsoft.com/office/drawing/2014/main" id="{00000000-0008-0000-1700-00000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6</xdr:col>
      <xdr:colOff>372340</xdr:colOff>
      <xdr:row>6</xdr:row>
      <xdr:rowOff>34636</xdr:rowOff>
    </xdr:from>
    <xdr:to>
      <xdr:col>11</xdr:col>
      <xdr:colOff>102038</xdr:colOff>
      <xdr:row>12</xdr:row>
      <xdr:rowOff>29233</xdr:rowOff>
    </xdr:to>
    <xdr:grpSp>
      <xdr:nvGrpSpPr>
        <xdr:cNvPr id="7" name="Group 6">
          <a:extLst>
            <a:ext uri="{FF2B5EF4-FFF2-40B4-BE49-F238E27FC236}">
              <a16:creationId xmlns:a16="http://schemas.microsoft.com/office/drawing/2014/main" id="{00000000-0008-0000-1700-000007000000}"/>
            </a:ext>
          </a:extLst>
        </xdr:cNvPr>
        <xdr:cNvGrpSpPr/>
      </xdr:nvGrpSpPr>
      <xdr:grpSpPr>
        <a:xfrm>
          <a:off x="4052454" y="1073727"/>
          <a:ext cx="2414016" cy="877824"/>
          <a:chOff x="2704113" y="1089314"/>
          <a:chExt cx="4635330" cy="1687107"/>
        </a:xfrm>
      </xdr:grpSpPr>
      <xdr:graphicFrame macro="">
        <xdr:nvGraphicFramePr>
          <xdr:cNvPr id="8" name="Chart 7">
            <a:extLst>
              <a:ext uri="{FF2B5EF4-FFF2-40B4-BE49-F238E27FC236}">
                <a16:creationId xmlns:a16="http://schemas.microsoft.com/office/drawing/2014/main" id="{00000000-0008-0000-1700-000008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Chart 8">
            <a:extLst>
              <a:ext uri="{FF2B5EF4-FFF2-40B4-BE49-F238E27FC236}">
                <a16:creationId xmlns:a16="http://schemas.microsoft.com/office/drawing/2014/main" id="{00000000-0008-0000-1700-000009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xdr:col>
      <xdr:colOff>285751</xdr:colOff>
      <xdr:row>6</xdr:row>
      <xdr:rowOff>0</xdr:rowOff>
    </xdr:from>
    <xdr:to>
      <xdr:col>7</xdr:col>
      <xdr:colOff>15449</xdr:colOff>
      <xdr:row>11</xdr:row>
      <xdr:rowOff>141801</xdr:rowOff>
    </xdr:to>
    <xdr:grpSp>
      <xdr:nvGrpSpPr>
        <xdr:cNvPr id="10" name="Group 9">
          <a:extLst>
            <a:ext uri="{FF2B5EF4-FFF2-40B4-BE49-F238E27FC236}">
              <a16:creationId xmlns:a16="http://schemas.microsoft.com/office/drawing/2014/main" id="{00000000-0008-0000-1700-00000A000000}"/>
            </a:ext>
          </a:extLst>
        </xdr:cNvPr>
        <xdr:cNvGrpSpPr/>
      </xdr:nvGrpSpPr>
      <xdr:grpSpPr>
        <a:xfrm>
          <a:off x="1359478" y="1039091"/>
          <a:ext cx="2872948" cy="877824"/>
          <a:chOff x="2704113" y="1089314"/>
          <a:chExt cx="4635330" cy="1687107"/>
        </a:xfrm>
      </xdr:grpSpPr>
      <xdr:graphicFrame macro="">
        <xdr:nvGraphicFramePr>
          <xdr:cNvPr id="11" name="Chart 10">
            <a:extLst>
              <a:ext uri="{FF2B5EF4-FFF2-40B4-BE49-F238E27FC236}">
                <a16:creationId xmlns:a16="http://schemas.microsoft.com/office/drawing/2014/main" id="{00000000-0008-0000-1700-00000B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2" name="Chart 11">
            <a:extLst>
              <a:ext uri="{FF2B5EF4-FFF2-40B4-BE49-F238E27FC236}">
                <a16:creationId xmlns:a16="http://schemas.microsoft.com/office/drawing/2014/main" id="{00000000-0008-0000-1700-00000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xdr:col>
      <xdr:colOff>424295</xdr:colOff>
      <xdr:row>54</xdr:row>
      <xdr:rowOff>121227</xdr:rowOff>
    </xdr:from>
    <xdr:to>
      <xdr:col>7</xdr:col>
      <xdr:colOff>153993</xdr:colOff>
      <xdr:row>60</xdr:row>
      <xdr:rowOff>115824</xdr:rowOff>
    </xdr:to>
    <xdr:grpSp>
      <xdr:nvGrpSpPr>
        <xdr:cNvPr id="13" name="Group 12">
          <a:extLst>
            <a:ext uri="{FF2B5EF4-FFF2-40B4-BE49-F238E27FC236}">
              <a16:creationId xmlns:a16="http://schemas.microsoft.com/office/drawing/2014/main" id="{00000000-0008-0000-1700-00000D000000}"/>
            </a:ext>
          </a:extLst>
        </xdr:cNvPr>
        <xdr:cNvGrpSpPr/>
      </xdr:nvGrpSpPr>
      <xdr:grpSpPr>
        <a:xfrm>
          <a:off x="1498022" y="8286750"/>
          <a:ext cx="2872948" cy="877824"/>
          <a:chOff x="2704113" y="1089314"/>
          <a:chExt cx="4635330" cy="1687107"/>
        </a:xfrm>
      </xdr:grpSpPr>
      <xdr:graphicFrame macro="">
        <xdr:nvGraphicFramePr>
          <xdr:cNvPr id="14" name="Chart 13">
            <a:extLst>
              <a:ext uri="{FF2B5EF4-FFF2-40B4-BE49-F238E27FC236}">
                <a16:creationId xmlns:a16="http://schemas.microsoft.com/office/drawing/2014/main" id="{00000000-0008-0000-1700-00000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5" name="Chart 14">
            <a:extLst>
              <a:ext uri="{FF2B5EF4-FFF2-40B4-BE49-F238E27FC236}">
                <a16:creationId xmlns:a16="http://schemas.microsoft.com/office/drawing/2014/main" id="{00000000-0008-0000-1700-00000F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6</xdr:col>
      <xdr:colOff>380999</xdr:colOff>
      <xdr:row>54</xdr:row>
      <xdr:rowOff>121227</xdr:rowOff>
    </xdr:from>
    <xdr:to>
      <xdr:col>11</xdr:col>
      <xdr:colOff>110697</xdr:colOff>
      <xdr:row>60</xdr:row>
      <xdr:rowOff>115824</xdr:rowOff>
    </xdr:to>
    <xdr:grpSp>
      <xdr:nvGrpSpPr>
        <xdr:cNvPr id="16" name="Group 15">
          <a:extLst>
            <a:ext uri="{FF2B5EF4-FFF2-40B4-BE49-F238E27FC236}">
              <a16:creationId xmlns:a16="http://schemas.microsoft.com/office/drawing/2014/main" id="{00000000-0008-0000-1700-000010000000}"/>
            </a:ext>
          </a:extLst>
        </xdr:cNvPr>
        <xdr:cNvGrpSpPr/>
      </xdr:nvGrpSpPr>
      <xdr:grpSpPr>
        <a:xfrm>
          <a:off x="4061113" y="8286750"/>
          <a:ext cx="2414016" cy="877824"/>
          <a:chOff x="2704113" y="1089314"/>
          <a:chExt cx="4635330" cy="1687107"/>
        </a:xfrm>
      </xdr:grpSpPr>
      <xdr:graphicFrame macro="">
        <xdr:nvGraphicFramePr>
          <xdr:cNvPr id="17" name="Chart 16">
            <a:extLst>
              <a:ext uri="{FF2B5EF4-FFF2-40B4-BE49-F238E27FC236}">
                <a16:creationId xmlns:a16="http://schemas.microsoft.com/office/drawing/2014/main" id="{00000000-0008-0000-1700-000011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8" name="Chart 17">
            <a:extLst>
              <a:ext uri="{FF2B5EF4-FFF2-40B4-BE49-F238E27FC236}">
                <a16:creationId xmlns:a16="http://schemas.microsoft.com/office/drawing/2014/main" id="{00000000-0008-0000-1700-000012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10</xdr:col>
      <xdr:colOff>467591</xdr:colOff>
      <xdr:row>54</xdr:row>
      <xdr:rowOff>121227</xdr:rowOff>
    </xdr:from>
    <xdr:to>
      <xdr:col>15</xdr:col>
      <xdr:colOff>197288</xdr:colOff>
      <xdr:row>60</xdr:row>
      <xdr:rowOff>115824</xdr:rowOff>
    </xdr:to>
    <xdr:grpSp>
      <xdr:nvGrpSpPr>
        <xdr:cNvPr id="19" name="Group 18">
          <a:extLst>
            <a:ext uri="{FF2B5EF4-FFF2-40B4-BE49-F238E27FC236}">
              <a16:creationId xmlns:a16="http://schemas.microsoft.com/office/drawing/2014/main" id="{00000000-0008-0000-1700-000013000000}"/>
            </a:ext>
          </a:extLst>
        </xdr:cNvPr>
        <xdr:cNvGrpSpPr/>
      </xdr:nvGrpSpPr>
      <xdr:grpSpPr>
        <a:xfrm>
          <a:off x="6295159" y="8286750"/>
          <a:ext cx="2414015" cy="877824"/>
          <a:chOff x="2704113" y="1089314"/>
          <a:chExt cx="4635330" cy="1687107"/>
        </a:xfrm>
      </xdr:grpSpPr>
      <xdr:graphicFrame macro="">
        <xdr:nvGraphicFramePr>
          <xdr:cNvPr id="20" name="Chart 19">
            <a:extLst>
              <a:ext uri="{FF2B5EF4-FFF2-40B4-BE49-F238E27FC236}">
                <a16:creationId xmlns:a16="http://schemas.microsoft.com/office/drawing/2014/main" id="{00000000-0008-0000-1700-00001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1" name="Chart 20">
            <a:extLst>
              <a:ext uri="{FF2B5EF4-FFF2-40B4-BE49-F238E27FC236}">
                <a16:creationId xmlns:a16="http://schemas.microsoft.com/office/drawing/2014/main" id="{00000000-0008-0000-1700-00001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415636</xdr:colOff>
      <xdr:row>54</xdr:row>
      <xdr:rowOff>121227</xdr:rowOff>
    </xdr:from>
    <xdr:to>
      <xdr:col>19</xdr:col>
      <xdr:colOff>145334</xdr:colOff>
      <xdr:row>60</xdr:row>
      <xdr:rowOff>115824</xdr:rowOff>
    </xdr:to>
    <xdr:grpSp>
      <xdr:nvGrpSpPr>
        <xdr:cNvPr id="22" name="Group 21">
          <a:extLst>
            <a:ext uri="{FF2B5EF4-FFF2-40B4-BE49-F238E27FC236}">
              <a16:creationId xmlns:a16="http://schemas.microsoft.com/office/drawing/2014/main" id="{00000000-0008-0000-1700-000016000000}"/>
            </a:ext>
          </a:extLst>
        </xdr:cNvPr>
        <xdr:cNvGrpSpPr/>
      </xdr:nvGrpSpPr>
      <xdr:grpSpPr>
        <a:xfrm>
          <a:off x="8390659" y="8286750"/>
          <a:ext cx="2414016" cy="877824"/>
          <a:chOff x="2704113" y="1089314"/>
          <a:chExt cx="4635330" cy="1687107"/>
        </a:xfrm>
      </xdr:grpSpPr>
      <xdr:graphicFrame macro="">
        <xdr:nvGraphicFramePr>
          <xdr:cNvPr id="23" name="Chart 22">
            <a:extLst>
              <a:ext uri="{FF2B5EF4-FFF2-40B4-BE49-F238E27FC236}">
                <a16:creationId xmlns:a16="http://schemas.microsoft.com/office/drawing/2014/main" id="{00000000-0008-0000-1700-00001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4" name="Chart 23">
            <a:extLst>
              <a:ext uri="{FF2B5EF4-FFF2-40B4-BE49-F238E27FC236}">
                <a16:creationId xmlns:a16="http://schemas.microsoft.com/office/drawing/2014/main" id="{00000000-0008-0000-1700-000018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8</xdr:col>
      <xdr:colOff>259773</xdr:colOff>
      <xdr:row>242</xdr:row>
      <xdr:rowOff>129886</xdr:rowOff>
    </xdr:from>
    <xdr:to>
      <xdr:col>16</xdr:col>
      <xdr:colOff>138545</xdr:colOff>
      <xdr:row>256</xdr:row>
      <xdr:rowOff>43295</xdr:rowOff>
    </xdr:to>
    <xdr:graphicFrame macro="">
      <xdr:nvGraphicFramePr>
        <xdr:cNvPr id="25" name="Chart 24">
          <a:extLst>
            <a:ext uri="{FF2B5EF4-FFF2-40B4-BE49-F238E27FC236}">
              <a16:creationId xmlns:a16="http://schemas.microsoft.com/office/drawing/2014/main" id="{00000000-0008-0000-1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320386</xdr:colOff>
      <xdr:row>257</xdr:row>
      <xdr:rowOff>147204</xdr:rowOff>
    </xdr:from>
    <xdr:to>
      <xdr:col>16</xdr:col>
      <xdr:colOff>199158</xdr:colOff>
      <xdr:row>271</xdr:row>
      <xdr:rowOff>25975</xdr:rowOff>
    </xdr:to>
    <xdr:graphicFrame macro="">
      <xdr:nvGraphicFramePr>
        <xdr:cNvPr id="26" name="Chart 25">
          <a:extLst>
            <a:ext uri="{FF2B5EF4-FFF2-40B4-BE49-F238E27FC236}">
              <a16:creationId xmlns:a16="http://schemas.microsoft.com/office/drawing/2014/main" id="{00000000-0008-0000-1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406977</xdr:colOff>
      <xdr:row>275</xdr:row>
      <xdr:rowOff>69273</xdr:rowOff>
    </xdr:from>
    <xdr:to>
      <xdr:col>14</xdr:col>
      <xdr:colOff>306531</xdr:colOff>
      <xdr:row>288</xdr:row>
      <xdr:rowOff>96115</xdr:rowOff>
    </xdr:to>
    <xdr:graphicFrame macro="">
      <xdr:nvGraphicFramePr>
        <xdr:cNvPr id="27" name="Chart 26">
          <a:extLst>
            <a:ext uri="{FF2B5EF4-FFF2-40B4-BE49-F238E27FC236}">
              <a16:creationId xmlns:a16="http://schemas.microsoft.com/office/drawing/2014/main" id="{00000000-0008-0000-1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493568</xdr:colOff>
      <xdr:row>288</xdr:row>
      <xdr:rowOff>86591</xdr:rowOff>
    </xdr:from>
    <xdr:to>
      <xdr:col>14</xdr:col>
      <xdr:colOff>393122</xdr:colOff>
      <xdr:row>301</xdr:row>
      <xdr:rowOff>96114</xdr:rowOff>
    </xdr:to>
    <xdr:graphicFrame macro="">
      <xdr:nvGraphicFramePr>
        <xdr:cNvPr id="28" name="Chart 27">
          <a:extLst>
            <a:ext uri="{FF2B5EF4-FFF2-40B4-BE49-F238E27FC236}">
              <a16:creationId xmlns:a16="http://schemas.microsoft.com/office/drawing/2014/main" id="{00000000-0008-0000-1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251114</xdr:colOff>
      <xdr:row>304</xdr:row>
      <xdr:rowOff>69272</xdr:rowOff>
    </xdr:from>
    <xdr:to>
      <xdr:col>15</xdr:col>
      <xdr:colOff>150667</xdr:colOff>
      <xdr:row>317</xdr:row>
      <xdr:rowOff>96114</xdr:rowOff>
    </xdr:to>
    <xdr:graphicFrame macro="">
      <xdr:nvGraphicFramePr>
        <xdr:cNvPr id="29" name="Chart 28">
          <a:extLst>
            <a:ext uri="{FF2B5EF4-FFF2-40B4-BE49-F238E27FC236}">
              <a16:creationId xmlns:a16="http://schemas.microsoft.com/office/drawing/2014/main" id="{00000000-0008-0000-1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225137</xdr:colOff>
      <xdr:row>318</xdr:row>
      <xdr:rowOff>121228</xdr:rowOff>
    </xdr:from>
    <xdr:to>
      <xdr:col>15</xdr:col>
      <xdr:colOff>124690</xdr:colOff>
      <xdr:row>331</xdr:row>
      <xdr:rowOff>130752</xdr:rowOff>
    </xdr:to>
    <xdr:graphicFrame macro="">
      <xdr:nvGraphicFramePr>
        <xdr:cNvPr id="30" name="Chart 29">
          <a:extLst>
            <a:ext uri="{FF2B5EF4-FFF2-40B4-BE49-F238E27FC236}">
              <a16:creationId xmlns:a16="http://schemas.microsoft.com/office/drawing/2014/main" id="{00000000-0008-0000-1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380999</xdr:colOff>
      <xdr:row>196</xdr:row>
      <xdr:rowOff>78797</xdr:rowOff>
    </xdr:from>
    <xdr:to>
      <xdr:col>13</xdr:col>
      <xdr:colOff>424296</xdr:colOff>
      <xdr:row>212</xdr:row>
      <xdr:rowOff>103909</xdr:rowOff>
    </xdr:to>
    <xdr:graphicFrame macro="">
      <xdr:nvGraphicFramePr>
        <xdr:cNvPr id="31" name="Chart 30">
          <a:extLst>
            <a:ext uri="{FF2B5EF4-FFF2-40B4-BE49-F238E27FC236}">
              <a16:creationId xmlns:a16="http://schemas.microsoft.com/office/drawing/2014/main" id="{00000000-0008-0000-17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121228</xdr:colOff>
      <xdr:row>210</xdr:row>
      <xdr:rowOff>112568</xdr:rowOff>
    </xdr:from>
    <xdr:to>
      <xdr:col>21</xdr:col>
      <xdr:colOff>207820</xdr:colOff>
      <xdr:row>226</xdr:row>
      <xdr:rowOff>137680</xdr:rowOff>
    </xdr:to>
    <xdr:graphicFrame macro="">
      <xdr:nvGraphicFramePr>
        <xdr:cNvPr id="32" name="Chart 31">
          <a:extLst>
            <a:ext uri="{FF2B5EF4-FFF2-40B4-BE49-F238E27FC236}">
              <a16:creationId xmlns:a16="http://schemas.microsoft.com/office/drawing/2014/main" id="{00000000-0008-0000-1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10</xdr:col>
      <xdr:colOff>380155</xdr:colOff>
      <xdr:row>102</xdr:row>
      <xdr:rowOff>51954</xdr:rowOff>
    </xdr:from>
    <xdr:to>
      <xdr:col>15</xdr:col>
      <xdr:colOff>109852</xdr:colOff>
      <xdr:row>108</xdr:row>
      <xdr:rowOff>46551</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207723" y="15343909"/>
          <a:ext cx="2414015" cy="877824"/>
          <a:chOff x="2704113" y="1089314"/>
          <a:chExt cx="4635330" cy="1687107"/>
        </a:xfrm>
      </xdr:grpSpPr>
      <xdr:graphicFrame macro="">
        <xdr:nvGraphicFramePr>
          <xdr:cNvPr id="34" name="Chart 33">
            <a:extLst>
              <a:ext uri="{FF2B5EF4-FFF2-40B4-BE49-F238E27FC236}">
                <a16:creationId xmlns:a16="http://schemas.microsoft.com/office/drawing/2014/main" id="{00000000-0008-0000-1700-00002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5" name="Chart 34">
            <a:extLst>
              <a:ext uri="{FF2B5EF4-FFF2-40B4-BE49-F238E27FC236}">
                <a16:creationId xmlns:a16="http://schemas.microsoft.com/office/drawing/2014/main" id="{00000000-0008-0000-1700-000023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6</xdr:col>
      <xdr:colOff>372340</xdr:colOff>
      <xdr:row>102</xdr:row>
      <xdr:rowOff>34636</xdr:rowOff>
    </xdr:from>
    <xdr:to>
      <xdr:col>11</xdr:col>
      <xdr:colOff>102038</xdr:colOff>
      <xdr:row>108</xdr:row>
      <xdr:rowOff>29233</xdr:rowOff>
    </xdr:to>
    <xdr:grpSp>
      <xdr:nvGrpSpPr>
        <xdr:cNvPr id="36" name="Group 35">
          <a:extLst>
            <a:ext uri="{FF2B5EF4-FFF2-40B4-BE49-F238E27FC236}">
              <a16:creationId xmlns:a16="http://schemas.microsoft.com/office/drawing/2014/main" id="{00000000-0008-0000-1700-000024000000}"/>
            </a:ext>
          </a:extLst>
        </xdr:cNvPr>
        <xdr:cNvGrpSpPr/>
      </xdr:nvGrpSpPr>
      <xdr:grpSpPr>
        <a:xfrm>
          <a:off x="4052454" y="15326591"/>
          <a:ext cx="2414016" cy="877824"/>
          <a:chOff x="2704113" y="1089314"/>
          <a:chExt cx="4635330" cy="1687107"/>
        </a:xfrm>
      </xdr:grpSpPr>
      <xdr:graphicFrame macro="">
        <xdr:nvGraphicFramePr>
          <xdr:cNvPr id="37" name="Chart 36">
            <a:extLst>
              <a:ext uri="{FF2B5EF4-FFF2-40B4-BE49-F238E27FC236}">
                <a16:creationId xmlns:a16="http://schemas.microsoft.com/office/drawing/2014/main" id="{00000000-0008-0000-1700-00002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38" name="Chart 37">
            <a:extLst>
              <a:ext uri="{FF2B5EF4-FFF2-40B4-BE49-F238E27FC236}">
                <a16:creationId xmlns:a16="http://schemas.microsoft.com/office/drawing/2014/main" id="{00000000-0008-0000-1700-00002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2</xdr:col>
      <xdr:colOff>285751</xdr:colOff>
      <xdr:row>102</xdr:row>
      <xdr:rowOff>0</xdr:rowOff>
    </xdr:from>
    <xdr:to>
      <xdr:col>7</xdr:col>
      <xdr:colOff>15449</xdr:colOff>
      <xdr:row>107</xdr:row>
      <xdr:rowOff>141801</xdr:rowOff>
    </xdr:to>
    <xdr:grpSp>
      <xdr:nvGrpSpPr>
        <xdr:cNvPr id="39" name="Group 38">
          <a:extLst>
            <a:ext uri="{FF2B5EF4-FFF2-40B4-BE49-F238E27FC236}">
              <a16:creationId xmlns:a16="http://schemas.microsoft.com/office/drawing/2014/main" id="{00000000-0008-0000-1700-000027000000}"/>
            </a:ext>
          </a:extLst>
        </xdr:cNvPr>
        <xdr:cNvGrpSpPr/>
      </xdr:nvGrpSpPr>
      <xdr:grpSpPr>
        <a:xfrm>
          <a:off x="1359478" y="15291955"/>
          <a:ext cx="2872948" cy="877823"/>
          <a:chOff x="2704113" y="1089314"/>
          <a:chExt cx="4635330" cy="1687107"/>
        </a:xfrm>
      </xdr:grpSpPr>
      <xdr:graphicFrame macro="">
        <xdr:nvGraphicFramePr>
          <xdr:cNvPr id="40" name="Chart 39">
            <a:extLst>
              <a:ext uri="{FF2B5EF4-FFF2-40B4-BE49-F238E27FC236}">
                <a16:creationId xmlns:a16="http://schemas.microsoft.com/office/drawing/2014/main" id="{00000000-0008-0000-1700-000028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1" name="Chart 40">
            <a:extLst>
              <a:ext uri="{FF2B5EF4-FFF2-40B4-BE49-F238E27FC236}">
                <a16:creationId xmlns:a16="http://schemas.microsoft.com/office/drawing/2014/main" id="{00000000-0008-0000-1700-000029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xdr:from>
      <xdr:col>14</xdr:col>
      <xdr:colOff>502227</xdr:colOff>
      <xdr:row>102</xdr:row>
      <xdr:rowOff>77932</xdr:rowOff>
    </xdr:from>
    <xdr:to>
      <xdr:col>19</xdr:col>
      <xdr:colOff>231925</xdr:colOff>
      <xdr:row>108</xdr:row>
      <xdr:rowOff>72529</xdr:rowOff>
    </xdr:to>
    <xdr:grpSp>
      <xdr:nvGrpSpPr>
        <xdr:cNvPr id="42" name="Group 41">
          <a:extLst>
            <a:ext uri="{FF2B5EF4-FFF2-40B4-BE49-F238E27FC236}">
              <a16:creationId xmlns:a16="http://schemas.microsoft.com/office/drawing/2014/main" id="{00000000-0008-0000-1700-00002A000000}"/>
            </a:ext>
          </a:extLst>
        </xdr:cNvPr>
        <xdr:cNvGrpSpPr/>
      </xdr:nvGrpSpPr>
      <xdr:grpSpPr>
        <a:xfrm>
          <a:off x="8477250" y="15369887"/>
          <a:ext cx="2414016" cy="877824"/>
          <a:chOff x="2704113" y="1089314"/>
          <a:chExt cx="4635330" cy="1687107"/>
        </a:xfrm>
      </xdr:grpSpPr>
      <xdr:graphicFrame macro="">
        <xdr:nvGraphicFramePr>
          <xdr:cNvPr id="43" name="Chart 42">
            <a:extLst>
              <a:ext uri="{FF2B5EF4-FFF2-40B4-BE49-F238E27FC236}">
                <a16:creationId xmlns:a16="http://schemas.microsoft.com/office/drawing/2014/main" id="{00000000-0008-0000-1700-00002B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4" name="Chart 43">
            <a:extLst>
              <a:ext uri="{FF2B5EF4-FFF2-40B4-BE49-F238E27FC236}">
                <a16:creationId xmlns:a16="http://schemas.microsoft.com/office/drawing/2014/main" id="{00000000-0008-0000-1700-00002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0"/>
          </a:graphicData>
        </a:graphic>
      </xdr:graphicFrame>
    </xdr:grpSp>
    <xdr:clientData/>
  </xdr:twoCellAnchor>
  <xdr:twoCellAnchor>
    <xdr:from>
      <xdr:col>2</xdr:col>
      <xdr:colOff>285751</xdr:colOff>
      <xdr:row>149</xdr:row>
      <xdr:rowOff>0</xdr:rowOff>
    </xdr:from>
    <xdr:to>
      <xdr:col>7</xdr:col>
      <xdr:colOff>15449</xdr:colOff>
      <xdr:row>154</xdr:row>
      <xdr:rowOff>141801</xdr:rowOff>
    </xdr:to>
    <xdr:grpSp>
      <xdr:nvGrpSpPr>
        <xdr:cNvPr id="51" name="Group 50">
          <a:extLst>
            <a:ext uri="{FF2B5EF4-FFF2-40B4-BE49-F238E27FC236}">
              <a16:creationId xmlns:a16="http://schemas.microsoft.com/office/drawing/2014/main" id="{00000000-0008-0000-1700-000033000000}"/>
            </a:ext>
          </a:extLst>
        </xdr:cNvPr>
        <xdr:cNvGrpSpPr/>
      </xdr:nvGrpSpPr>
      <xdr:grpSpPr>
        <a:xfrm>
          <a:off x="1359478" y="22271182"/>
          <a:ext cx="2872948" cy="877824"/>
          <a:chOff x="2704113" y="1089314"/>
          <a:chExt cx="4635330" cy="1687107"/>
        </a:xfrm>
      </xdr:grpSpPr>
      <xdr:graphicFrame macro="">
        <xdr:nvGraphicFramePr>
          <xdr:cNvPr id="52" name="Chart 51">
            <a:extLst>
              <a:ext uri="{FF2B5EF4-FFF2-40B4-BE49-F238E27FC236}">
                <a16:creationId xmlns:a16="http://schemas.microsoft.com/office/drawing/2014/main" id="{00000000-0008-0000-1700-00003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1"/>
          </a:graphicData>
        </a:graphic>
      </xdr:graphicFrame>
      <xdr:graphicFrame macro="">
        <xdr:nvGraphicFramePr>
          <xdr:cNvPr id="53" name="Chart 52">
            <a:extLst>
              <a:ext uri="{FF2B5EF4-FFF2-40B4-BE49-F238E27FC236}">
                <a16:creationId xmlns:a16="http://schemas.microsoft.com/office/drawing/2014/main" id="{00000000-0008-0000-1700-00003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2"/>
          </a:graphicData>
        </a:graphic>
      </xdr:graphicFrame>
    </xdr:grpSp>
    <xdr:clientData/>
  </xdr:twoCellAnchor>
  <xdr:twoCellAnchor>
    <xdr:from>
      <xdr:col>6</xdr:col>
      <xdr:colOff>34636</xdr:colOff>
      <xdr:row>336</xdr:row>
      <xdr:rowOff>865</xdr:rowOff>
    </xdr:from>
    <xdr:to>
      <xdr:col>14</xdr:col>
      <xdr:colOff>311727</xdr:colOff>
      <xdr:row>354</xdr:row>
      <xdr:rowOff>94383</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xdr:col>
      <xdr:colOff>0</xdr:colOff>
      <xdr:row>359</xdr:row>
      <xdr:rowOff>0</xdr:rowOff>
    </xdr:from>
    <xdr:to>
      <xdr:col>13</xdr:col>
      <xdr:colOff>158462</xdr:colOff>
      <xdr:row>374</xdr:row>
      <xdr:rowOff>68405</xdr:rowOff>
    </xdr:to>
    <xdr:graphicFrame macro="">
      <xdr:nvGraphicFramePr>
        <xdr:cNvPr id="47" name="Chart 46">
          <a:extLst>
            <a:ext uri="{FF2B5EF4-FFF2-40B4-BE49-F238E27FC236}">
              <a16:creationId xmlns:a16="http://schemas.microsoft.com/office/drawing/2014/main" id="{00000000-0008-0000-17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oneCell">
    <xdr:from>
      <xdr:col>7</xdr:col>
      <xdr:colOff>103910</xdr:colOff>
      <xdr:row>226</xdr:row>
      <xdr:rowOff>17318</xdr:rowOff>
    </xdr:from>
    <xdr:to>
      <xdr:col>15</xdr:col>
      <xdr:colOff>3464</xdr:colOff>
      <xdr:row>239</xdr:row>
      <xdr:rowOff>44160</xdr:rowOff>
    </xdr:to>
    <xdr:graphicFrame macro="">
      <xdr:nvGraphicFramePr>
        <xdr:cNvPr id="48" name="Chart 47">
          <a:extLst>
            <a:ext uri="{FF2B5EF4-FFF2-40B4-BE49-F238E27FC236}">
              <a16:creationId xmlns:a16="http://schemas.microsoft.com/office/drawing/2014/main" id="{00000000-0008-0000-17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438150</xdr:colOff>
          <xdr:row>1</xdr:row>
          <xdr:rowOff>19050</xdr:rowOff>
        </xdr:from>
        <xdr:to>
          <xdr:col>7</xdr:col>
          <xdr:colOff>657225</xdr:colOff>
          <xdr:row>2</xdr:row>
          <xdr:rowOff>85725</xdr:rowOff>
        </xdr:to>
        <xdr:sp macro="" textlink="">
          <xdr:nvSpPr>
            <xdr:cNvPr id="83969" name="Drop Down 1" hidden="1">
              <a:extLst>
                <a:ext uri="{63B3BB69-23CF-44E3-9099-C40C66FF867C}">
                  <a14:compatExt spid="_x0000_s83969"/>
                </a:ext>
                <a:ext uri="{FF2B5EF4-FFF2-40B4-BE49-F238E27FC236}">
                  <a16:creationId xmlns:a16="http://schemas.microsoft.com/office/drawing/2014/main" id="{00000000-0008-0000-2200-000001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590550</xdr:colOff>
          <xdr:row>1</xdr:row>
          <xdr:rowOff>19050</xdr:rowOff>
        </xdr:from>
        <xdr:to>
          <xdr:col>11</xdr:col>
          <xdr:colOff>857250</xdr:colOff>
          <xdr:row>2</xdr:row>
          <xdr:rowOff>85725</xdr:rowOff>
        </xdr:to>
        <xdr:sp macro="" textlink="">
          <xdr:nvSpPr>
            <xdr:cNvPr id="83970" name="Drop Down 2" hidden="1">
              <a:extLst>
                <a:ext uri="{63B3BB69-23CF-44E3-9099-C40C66FF867C}">
                  <a14:compatExt spid="_x0000_s83970"/>
                </a:ext>
                <a:ext uri="{FF2B5EF4-FFF2-40B4-BE49-F238E27FC236}">
                  <a16:creationId xmlns:a16="http://schemas.microsoft.com/office/drawing/2014/main" id="{00000000-0008-0000-2200-000002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1</xdr:row>
          <xdr:rowOff>19050</xdr:rowOff>
        </xdr:from>
        <xdr:to>
          <xdr:col>15</xdr:col>
          <xdr:colOff>600075</xdr:colOff>
          <xdr:row>2</xdr:row>
          <xdr:rowOff>85725</xdr:rowOff>
        </xdr:to>
        <xdr:sp macro="" textlink="">
          <xdr:nvSpPr>
            <xdr:cNvPr id="83971" name="Drop Down 3" hidden="1">
              <a:extLst>
                <a:ext uri="{63B3BB69-23CF-44E3-9099-C40C66FF867C}">
                  <a14:compatExt spid="_x0000_s83971"/>
                </a:ext>
                <a:ext uri="{FF2B5EF4-FFF2-40B4-BE49-F238E27FC236}">
                  <a16:creationId xmlns:a16="http://schemas.microsoft.com/office/drawing/2014/main" id="{00000000-0008-0000-2200-000003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1123950</xdr:colOff>
          <xdr:row>1</xdr:row>
          <xdr:rowOff>19050</xdr:rowOff>
        </xdr:from>
        <xdr:to>
          <xdr:col>8</xdr:col>
          <xdr:colOff>47625</xdr:colOff>
          <xdr:row>1</xdr:row>
          <xdr:rowOff>247650</xdr:rowOff>
        </xdr:to>
        <xdr:sp macro="" textlink="">
          <xdr:nvSpPr>
            <xdr:cNvPr id="100356" name="Drop Down 4" hidden="1">
              <a:extLst>
                <a:ext uri="{63B3BB69-23CF-44E3-9099-C40C66FF867C}">
                  <a14:compatExt spid="_x0000_s100356"/>
                </a:ext>
                <a:ext uri="{FF2B5EF4-FFF2-40B4-BE49-F238E27FC236}">
                  <a16:creationId xmlns:a16="http://schemas.microsoft.com/office/drawing/2014/main" id="{00000000-0008-0000-2300-000004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1</xdr:row>
          <xdr:rowOff>19050</xdr:rowOff>
        </xdr:from>
        <xdr:to>
          <xdr:col>16</xdr:col>
          <xdr:colOff>676275</xdr:colOff>
          <xdr:row>1</xdr:row>
          <xdr:rowOff>247650</xdr:rowOff>
        </xdr:to>
        <xdr:sp macro="" textlink="">
          <xdr:nvSpPr>
            <xdr:cNvPr id="100357" name="Drop Down 5" hidden="1">
              <a:extLst>
                <a:ext uri="{63B3BB69-23CF-44E3-9099-C40C66FF867C}">
                  <a14:compatExt spid="_x0000_s100357"/>
                </a:ext>
                <a:ext uri="{FF2B5EF4-FFF2-40B4-BE49-F238E27FC236}">
                  <a16:creationId xmlns:a16="http://schemas.microsoft.com/office/drawing/2014/main" id="{00000000-0008-0000-2300-000005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1533525</xdr:colOff>
          <xdr:row>1</xdr:row>
          <xdr:rowOff>19050</xdr:rowOff>
        </xdr:from>
        <xdr:to>
          <xdr:col>20</xdr:col>
          <xdr:colOff>295275</xdr:colOff>
          <xdr:row>1</xdr:row>
          <xdr:rowOff>247650</xdr:rowOff>
        </xdr:to>
        <xdr:sp macro="" textlink="">
          <xdr:nvSpPr>
            <xdr:cNvPr id="100358" name="Drop Down 6" hidden="1">
              <a:extLst>
                <a:ext uri="{63B3BB69-23CF-44E3-9099-C40C66FF867C}">
                  <a14:compatExt spid="_x0000_s100358"/>
                </a:ext>
                <a:ext uri="{FF2B5EF4-FFF2-40B4-BE49-F238E27FC236}">
                  <a16:creationId xmlns:a16="http://schemas.microsoft.com/office/drawing/2014/main" id="{00000000-0008-0000-2300-000006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323850</xdr:colOff>
          <xdr:row>1</xdr:row>
          <xdr:rowOff>19050</xdr:rowOff>
        </xdr:from>
        <xdr:to>
          <xdr:col>5</xdr:col>
          <xdr:colOff>1971675</xdr:colOff>
          <xdr:row>1</xdr:row>
          <xdr:rowOff>247650</xdr:rowOff>
        </xdr:to>
        <xdr:sp macro="" textlink="">
          <xdr:nvSpPr>
            <xdr:cNvPr id="101377" name="Drop Down 1" hidden="1">
              <a:extLst>
                <a:ext uri="{63B3BB69-23CF-44E3-9099-C40C66FF867C}">
                  <a14:compatExt spid="_x0000_s101377"/>
                </a:ext>
                <a:ext uri="{FF2B5EF4-FFF2-40B4-BE49-F238E27FC236}">
                  <a16:creationId xmlns:a16="http://schemas.microsoft.com/office/drawing/2014/main" id="{00000000-0008-0000-24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2828925</xdr:colOff>
          <xdr:row>1</xdr:row>
          <xdr:rowOff>19050</xdr:rowOff>
        </xdr:from>
        <xdr:to>
          <xdr:col>7</xdr:col>
          <xdr:colOff>1047750</xdr:colOff>
          <xdr:row>1</xdr:row>
          <xdr:rowOff>247650</xdr:rowOff>
        </xdr:to>
        <xdr:sp macro="" textlink="">
          <xdr:nvSpPr>
            <xdr:cNvPr id="101378" name="Drop Down 2" hidden="1">
              <a:extLst>
                <a:ext uri="{63B3BB69-23CF-44E3-9099-C40C66FF867C}">
                  <a14:compatExt spid="_x0000_s101378"/>
                </a:ext>
                <a:ext uri="{FF2B5EF4-FFF2-40B4-BE49-F238E27FC236}">
                  <a16:creationId xmlns:a16="http://schemas.microsoft.com/office/drawing/2014/main" id="{00000000-0008-0000-24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xdr:row>
          <xdr:rowOff>19050</xdr:rowOff>
        </xdr:from>
        <xdr:to>
          <xdr:col>10</xdr:col>
          <xdr:colOff>657225</xdr:colOff>
          <xdr:row>1</xdr:row>
          <xdr:rowOff>247650</xdr:rowOff>
        </xdr:to>
        <xdr:sp macro="" textlink="">
          <xdr:nvSpPr>
            <xdr:cNvPr id="101379" name="Drop Down 3" hidden="1">
              <a:extLst>
                <a:ext uri="{63B3BB69-23CF-44E3-9099-C40C66FF867C}">
                  <a14:compatExt spid="_x0000_s101379"/>
                </a:ext>
                <a:ext uri="{FF2B5EF4-FFF2-40B4-BE49-F238E27FC236}">
                  <a16:creationId xmlns:a16="http://schemas.microsoft.com/office/drawing/2014/main" id="{00000000-0008-0000-24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4</xdr:col>
      <xdr:colOff>123825</xdr:colOff>
      <xdr:row>16</xdr:row>
      <xdr:rowOff>19050</xdr:rowOff>
    </xdr:from>
    <xdr:to>
      <xdr:col>4</xdr:col>
      <xdr:colOff>209550</xdr:colOff>
      <xdr:row>17</xdr:row>
      <xdr:rowOff>2581</xdr:rowOff>
    </xdr:to>
    <xdr:pic macro="[0]!GoTotoolBusinessA">
      <xdr:nvPicPr>
        <xdr:cNvPr id="30938" name="Picture 5" descr="rightnav_arrow">
          <a:extLst>
            <a:ext uri="{FF2B5EF4-FFF2-40B4-BE49-F238E27FC236}">
              <a16:creationId xmlns:a16="http://schemas.microsoft.com/office/drawing/2014/main" id="{00000000-0008-0000-2500-0000DA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28098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17</xdr:row>
      <xdr:rowOff>19050</xdr:rowOff>
    </xdr:from>
    <xdr:to>
      <xdr:col>4</xdr:col>
      <xdr:colOff>209550</xdr:colOff>
      <xdr:row>18</xdr:row>
      <xdr:rowOff>1797</xdr:rowOff>
    </xdr:to>
    <xdr:pic macro="[0]!GoTotoolBusinessA">
      <xdr:nvPicPr>
        <xdr:cNvPr id="30939" name="Picture 6" descr="rightnav_arrow">
          <a:extLst>
            <a:ext uri="{FF2B5EF4-FFF2-40B4-BE49-F238E27FC236}">
              <a16:creationId xmlns:a16="http://schemas.microsoft.com/office/drawing/2014/main" id="{00000000-0008-0000-2500-0000DB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0003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18</xdr:row>
      <xdr:rowOff>19050</xdr:rowOff>
    </xdr:from>
    <xdr:to>
      <xdr:col>4</xdr:col>
      <xdr:colOff>209550</xdr:colOff>
      <xdr:row>19</xdr:row>
      <xdr:rowOff>0</xdr:rowOff>
    </xdr:to>
    <xdr:pic macro="[0]!GoTotoolCompDev">
      <xdr:nvPicPr>
        <xdr:cNvPr id="30940" name="Picture 7" descr="rightnav_arrow">
          <a:extLst>
            <a:ext uri="{FF2B5EF4-FFF2-40B4-BE49-F238E27FC236}">
              <a16:creationId xmlns:a16="http://schemas.microsoft.com/office/drawing/2014/main" id="{00000000-0008-0000-2500-0000DC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1908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19</xdr:row>
      <xdr:rowOff>19050</xdr:rowOff>
    </xdr:from>
    <xdr:to>
      <xdr:col>4</xdr:col>
      <xdr:colOff>209550</xdr:colOff>
      <xdr:row>20</xdr:row>
      <xdr:rowOff>0</xdr:rowOff>
    </xdr:to>
    <xdr:pic macro="[0]!GoTotoolPeople">
      <xdr:nvPicPr>
        <xdr:cNvPr id="30941" name="Picture 8" descr="rightnav_arrow">
          <a:extLst>
            <a:ext uri="{FF2B5EF4-FFF2-40B4-BE49-F238E27FC236}">
              <a16:creationId xmlns:a16="http://schemas.microsoft.com/office/drawing/2014/main" id="{00000000-0008-0000-2500-0000DD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3813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20</xdr:row>
      <xdr:rowOff>19050</xdr:rowOff>
    </xdr:from>
    <xdr:to>
      <xdr:col>4</xdr:col>
      <xdr:colOff>209550</xdr:colOff>
      <xdr:row>21</xdr:row>
      <xdr:rowOff>0</xdr:rowOff>
    </xdr:to>
    <xdr:pic macro="[0]!GoTotoolEntSvcs">
      <xdr:nvPicPr>
        <xdr:cNvPr id="30942" name="Picture 9" descr="rightnav_arrow">
          <a:extLst>
            <a:ext uri="{FF2B5EF4-FFF2-40B4-BE49-F238E27FC236}">
              <a16:creationId xmlns:a16="http://schemas.microsoft.com/office/drawing/2014/main" id="{00000000-0008-0000-2500-0000DE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5718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52</xdr:row>
      <xdr:rowOff>19050</xdr:rowOff>
    </xdr:from>
    <xdr:to>
      <xdr:col>4</xdr:col>
      <xdr:colOff>209550</xdr:colOff>
      <xdr:row>53</xdr:row>
      <xdr:rowOff>5811</xdr:rowOff>
    </xdr:to>
    <xdr:pic macro="[0]!GoTotoolBusinessB">
      <xdr:nvPicPr>
        <xdr:cNvPr id="30943" name="Picture 10" descr="rightnav_arrow">
          <a:extLst>
            <a:ext uri="{FF2B5EF4-FFF2-40B4-BE49-F238E27FC236}">
              <a16:creationId xmlns:a16="http://schemas.microsoft.com/office/drawing/2014/main" id="{00000000-0008-0000-2500-0000DF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86201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53</xdr:row>
      <xdr:rowOff>19050</xdr:rowOff>
    </xdr:from>
    <xdr:to>
      <xdr:col>4</xdr:col>
      <xdr:colOff>209550</xdr:colOff>
      <xdr:row>54</xdr:row>
      <xdr:rowOff>1</xdr:rowOff>
    </xdr:to>
    <xdr:pic macro="[0]!GoTotoolCompDev">
      <xdr:nvPicPr>
        <xdr:cNvPr id="30944" name="Picture 11" descr="rightnav_arrow">
          <a:extLst>
            <a:ext uri="{FF2B5EF4-FFF2-40B4-BE49-F238E27FC236}">
              <a16:creationId xmlns:a16="http://schemas.microsoft.com/office/drawing/2014/main" id="{00000000-0008-0000-2500-0000E0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88106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54</xdr:row>
      <xdr:rowOff>19050</xdr:rowOff>
    </xdr:from>
    <xdr:to>
      <xdr:col>4</xdr:col>
      <xdr:colOff>209550</xdr:colOff>
      <xdr:row>55</xdr:row>
      <xdr:rowOff>3158</xdr:rowOff>
    </xdr:to>
    <xdr:pic macro="[0]!GoTotoolPeople">
      <xdr:nvPicPr>
        <xdr:cNvPr id="30945" name="Picture 12" descr="rightnav_arrow">
          <a:extLst>
            <a:ext uri="{FF2B5EF4-FFF2-40B4-BE49-F238E27FC236}">
              <a16:creationId xmlns:a16="http://schemas.microsoft.com/office/drawing/2014/main" id="{00000000-0008-0000-2500-0000E1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90011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55</xdr:row>
      <xdr:rowOff>19050</xdr:rowOff>
    </xdr:from>
    <xdr:to>
      <xdr:col>4</xdr:col>
      <xdr:colOff>209550</xdr:colOff>
      <xdr:row>56</xdr:row>
      <xdr:rowOff>1796</xdr:rowOff>
    </xdr:to>
    <xdr:pic macro="[0]!GoTotoolBusinessB">
      <xdr:nvPicPr>
        <xdr:cNvPr id="30946" name="Picture 13" descr="rightnav_arrow">
          <a:extLst>
            <a:ext uri="{FF2B5EF4-FFF2-40B4-BE49-F238E27FC236}">
              <a16:creationId xmlns:a16="http://schemas.microsoft.com/office/drawing/2014/main" id="{00000000-0008-0000-2500-0000E2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91916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56</xdr:row>
      <xdr:rowOff>19050</xdr:rowOff>
    </xdr:from>
    <xdr:to>
      <xdr:col>4</xdr:col>
      <xdr:colOff>209550</xdr:colOff>
      <xdr:row>57</xdr:row>
      <xdr:rowOff>1</xdr:rowOff>
    </xdr:to>
    <xdr:pic macro="[0]!GoTotoolEntSvcs">
      <xdr:nvPicPr>
        <xdr:cNvPr id="30947" name="Picture 14" descr="rightnav_arrow">
          <a:extLst>
            <a:ext uri="{FF2B5EF4-FFF2-40B4-BE49-F238E27FC236}">
              <a16:creationId xmlns:a16="http://schemas.microsoft.com/office/drawing/2014/main" id="{00000000-0008-0000-2500-0000E3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93821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32</xdr:row>
      <xdr:rowOff>19050</xdr:rowOff>
    </xdr:from>
    <xdr:to>
      <xdr:col>4</xdr:col>
      <xdr:colOff>209550</xdr:colOff>
      <xdr:row>33</xdr:row>
      <xdr:rowOff>520</xdr:rowOff>
    </xdr:to>
    <xdr:pic macro="[0]!GoTotoolBusinessA">
      <xdr:nvPicPr>
        <xdr:cNvPr id="30948" name="Picture 15" descr="rightnav_arrow">
          <a:extLst>
            <a:ext uri="{FF2B5EF4-FFF2-40B4-BE49-F238E27FC236}">
              <a16:creationId xmlns:a16="http://schemas.microsoft.com/office/drawing/2014/main" id="{00000000-0008-0000-2500-0000E4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55911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33</xdr:row>
      <xdr:rowOff>19050</xdr:rowOff>
    </xdr:from>
    <xdr:to>
      <xdr:col>4</xdr:col>
      <xdr:colOff>209550</xdr:colOff>
      <xdr:row>34</xdr:row>
      <xdr:rowOff>1797</xdr:rowOff>
    </xdr:to>
    <xdr:pic macro="[0]!GoTotoolBusinessA">
      <xdr:nvPicPr>
        <xdr:cNvPr id="30949" name="Picture 16" descr="rightnav_arrow">
          <a:extLst>
            <a:ext uri="{FF2B5EF4-FFF2-40B4-BE49-F238E27FC236}">
              <a16:creationId xmlns:a16="http://schemas.microsoft.com/office/drawing/2014/main" id="{00000000-0008-0000-2500-0000E5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57816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34</xdr:row>
      <xdr:rowOff>19050</xdr:rowOff>
    </xdr:from>
    <xdr:to>
      <xdr:col>4</xdr:col>
      <xdr:colOff>209550</xdr:colOff>
      <xdr:row>35</xdr:row>
      <xdr:rowOff>3175</xdr:rowOff>
    </xdr:to>
    <xdr:pic macro="[0]!GoTotoolCompDev">
      <xdr:nvPicPr>
        <xdr:cNvPr id="30950" name="Picture 17" descr="rightnav_arrow">
          <a:extLst>
            <a:ext uri="{FF2B5EF4-FFF2-40B4-BE49-F238E27FC236}">
              <a16:creationId xmlns:a16="http://schemas.microsoft.com/office/drawing/2014/main" id="{00000000-0008-0000-2500-0000E6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59721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35</xdr:row>
      <xdr:rowOff>19050</xdr:rowOff>
    </xdr:from>
    <xdr:to>
      <xdr:col>4</xdr:col>
      <xdr:colOff>209550</xdr:colOff>
      <xdr:row>36</xdr:row>
      <xdr:rowOff>3157</xdr:rowOff>
    </xdr:to>
    <xdr:pic macro="[0]!GoTotoolPeople">
      <xdr:nvPicPr>
        <xdr:cNvPr id="30951" name="Picture 18" descr="rightnav_arrow">
          <a:extLst>
            <a:ext uri="{FF2B5EF4-FFF2-40B4-BE49-F238E27FC236}">
              <a16:creationId xmlns:a16="http://schemas.microsoft.com/office/drawing/2014/main" id="{00000000-0008-0000-2500-0000E7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61626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37</xdr:row>
      <xdr:rowOff>19050</xdr:rowOff>
    </xdr:from>
    <xdr:to>
      <xdr:col>4</xdr:col>
      <xdr:colOff>209550</xdr:colOff>
      <xdr:row>38</xdr:row>
      <xdr:rowOff>5811</xdr:rowOff>
    </xdr:to>
    <xdr:pic macro="[0]!GoTotoolEntSvcs">
      <xdr:nvPicPr>
        <xdr:cNvPr id="30952" name="Picture 19" descr="rightnav_arrow">
          <a:extLst>
            <a:ext uri="{FF2B5EF4-FFF2-40B4-BE49-F238E27FC236}">
              <a16:creationId xmlns:a16="http://schemas.microsoft.com/office/drawing/2014/main" id="{00000000-0008-0000-2500-0000E8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63531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36</xdr:row>
      <xdr:rowOff>19050</xdr:rowOff>
    </xdr:from>
    <xdr:to>
      <xdr:col>4</xdr:col>
      <xdr:colOff>209550</xdr:colOff>
      <xdr:row>37</xdr:row>
      <xdr:rowOff>1797</xdr:rowOff>
    </xdr:to>
    <xdr:pic macro="[0]!GoTotoolBusinessA">
      <xdr:nvPicPr>
        <xdr:cNvPr id="17" name="Picture 13" descr="rightnav_arrow">
          <a:extLst>
            <a:ext uri="{FF2B5EF4-FFF2-40B4-BE49-F238E27FC236}">
              <a16:creationId xmlns:a16="http://schemas.microsoft.com/office/drawing/2014/main" id="{00000000-0008-0000-2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3433" y="9371911"/>
          <a:ext cx="85725" cy="1778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819150</xdr:colOff>
      <xdr:row>5</xdr:row>
      <xdr:rowOff>38100</xdr:rowOff>
    </xdr:from>
    <xdr:to>
      <xdr:col>13</xdr:col>
      <xdr:colOff>904875</xdr:colOff>
      <xdr:row>6</xdr:row>
      <xdr:rowOff>2876</xdr:rowOff>
    </xdr:to>
    <xdr:pic macro="[0]!GoTotoolPNL">
      <xdr:nvPicPr>
        <xdr:cNvPr id="47145" name="Picture 10" descr="rightnav_arrow">
          <a:extLst>
            <a:ext uri="{FF2B5EF4-FFF2-40B4-BE49-F238E27FC236}">
              <a16:creationId xmlns:a16="http://schemas.microsoft.com/office/drawing/2014/main" id="{00000000-0008-0000-2700-000029B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0" y="1047750"/>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809625</xdr:colOff>
      <xdr:row>5</xdr:row>
      <xdr:rowOff>38100</xdr:rowOff>
    </xdr:from>
    <xdr:to>
      <xdr:col>9</xdr:col>
      <xdr:colOff>895350</xdr:colOff>
      <xdr:row>6</xdr:row>
      <xdr:rowOff>2876</xdr:rowOff>
    </xdr:to>
    <xdr:pic macro="[0]!GoTotoolPNLBusA">
      <xdr:nvPicPr>
        <xdr:cNvPr id="47146" name="Picture 11" descr="rightnav_arrow">
          <a:extLst>
            <a:ext uri="{FF2B5EF4-FFF2-40B4-BE49-F238E27FC236}">
              <a16:creationId xmlns:a16="http://schemas.microsoft.com/office/drawing/2014/main" id="{00000000-0008-0000-2700-00002AB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72025" y="1047750"/>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9</xdr:col>
      <xdr:colOff>828675</xdr:colOff>
      <xdr:row>36</xdr:row>
      <xdr:rowOff>133350</xdr:rowOff>
    </xdr:from>
    <xdr:to>
      <xdr:col>10</xdr:col>
      <xdr:colOff>85726</xdr:colOff>
      <xdr:row>37</xdr:row>
      <xdr:rowOff>133350</xdr:rowOff>
    </xdr:to>
    <xdr:pic macro="[0]!GoTotoolCompDev">
      <xdr:nvPicPr>
        <xdr:cNvPr id="28751" name="Picture 56" descr="rightnav_arrow">
          <a:extLst>
            <a:ext uri="{FF2B5EF4-FFF2-40B4-BE49-F238E27FC236}">
              <a16:creationId xmlns:a16="http://schemas.microsoft.com/office/drawing/2014/main" id="{00000000-0008-0000-2800-00004F7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0" y="18764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13</xdr:row>
          <xdr:rowOff>142875</xdr:rowOff>
        </xdr:from>
        <xdr:to>
          <xdr:col>3</xdr:col>
          <xdr:colOff>9525</xdr:colOff>
          <xdr:row>15</xdr:row>
          <xdr:rowOff>38100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28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133350</xdr:rowOff>
        </xdr:from>
        <xdr:to>
          <xdr:col>3</xdr:col>
          <xdr:colOff>9525</xdr:colOff>
          <xdr:row>17</xdr:row>
          <xdr:rowOff>28575</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28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123825</xdr:rowOff>
        </xdr:from>
        <xdr:to>
          <xdr:col>3</xdr:col>
          <xdr:colOff>9525</xdr:colOff>
          <xdr:row>19</xdr:row>
          <xdr:rowOff>19050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28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47625</xdr:rowOff>
        </xdr:from>
        <xdr:to>
          <xdr:col>3</xdr:col>
          <xdr:colOff>304800</xdr:colOff>
          <xdr:row>62</xdr:row>
          <xdr:rowOff>19050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28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49</xdr:row>
          <xdr:rowOff>47625</xdr:rowOff>
        </xdr:from>
        <xdr:to>
          <xdr:col>3</xdr:col>
          <xdr:colOff>314325</xdr:colOff>
          <xdr:row>51</xdr:row>
          <xdr:rowOff>19050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28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152400</xdr:rowOff>
        </xdr:from>
        <xdr:to>
          <xdr:col>3</xdr:col>
          <xdr:colOff>304800</xdr:colOff>
          <xdr:row>54</xdr:row>
          <xdr:rowOff>28575</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28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142875</xdr:rowOff>
        </xdr:from>
        <xdr:to>
          <xdr:col>3</xdr:col>
          <xdr:colOff>304800</xdr:colOff>
          <xdr:row>57</xdr:row>
          <xdr:rowOff>19050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28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142875</xdr:rowOff>
        </xdr:from>
        <xdr:to>
          <xdr:col>3</xdr:col>
          <xdr:colOff>304800</xdr:colOff>
          <xdr:row>65</xdr:row>
          <xdr:rowOff>19050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28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142875</xdr:rowOff>
        </xdr:from>
        <xdr:to>
          <xdr:col>3</xdr:col>
          <xdr:colOff>304800</xdr:colOff>
          <xdr:row>68</xdr:row>
          <xdr:rowOff>19050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28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3</xdr:row>
      <xdr:rowOff>31997</xdr:rowOff>
    </xdr:from>
    <xdr:to>
      <xdr:col>6</xdr:col>
      <xdr:colOff>12051</xdr:colOff>
      <xdr:row>6</xdr:row>
      <xdr:rowOff>157346</xdr:rowOff>
    </xdr:to>
    <xdr:grpSp>
      <xdr:nvGrpSpPr>
        <xdr:cNvPr id="35" name="Group 34">
          <a:extLst>
            <a:ext uri="{FF2B5EF4-FFF2-40B4-BE49-F238E27FC236}">
              <a16:creationId xmlns:a16="http://schemas.microsoft.com/office/drawing/2014/main" id="{00000000-0008-0000-2800-000023000000}"/>
            </a:ext>
          </a:extLst>
        </xdr:cNvPr>
        <xdr:cNvGrpSpPr/>
      </xdr:nvGrpSpPr>
      <xdr:grpSpPr>
        <a:xfrm>
          <a:off x="0" y="622547"/>
          <a:ext cx="2421876" cy="877824"/>
          <a:chOff x="2704113" y="1089314"/>
          <a:chExt cx="4635330" cy="1687107"/>
        </a:xfrm>
      </xdr:grpSpPr>
      <xdr:graphicFrame macro="">
        <xdr:nvGraphicFramePr>
          <xdr:cNvPr id="36" name="Chart 35">
            <a:extLst>
              <a:ext uri="{FF2B5EF4-FFF2-40B4-BE49-F238E27FC236}">
                <a16:creationId xmlns:a16="http://schemas.microsoft.com/office/drawing/2014/main" id="{00000000-0008-0000-2800-00002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7" name="Chart 36">
            <a:extLst>
              <a:ext uri="{FF2B5EF4-FFF2-40B4-BE49-F238E27FC236}">
                <a16:creationId xmlns:a16="http://schemas.microsoft.com/office/drawing/2014/main" id="{00000000-0008-0000-2800-00002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11</xdr:col>
      <xdr:colOff>751474</xdr:colOff>
      <xdr:row>3</xdr:row>
      <xdr:rowOff>28575</xdr:rowOff>
    </xdr:from>
    <xdr:to>
      <xdr:col>17</xdr:col>
      <xdr:colOff>144400</xdr:colOff>
      <xdr:row>6</xdr:row>
      <xdr:rowOff>157346</xdr:rowOff>
    </xdr:to>
    <xdr:grpSp>
      <xdr:nvGrpSpPr>
        <xdr:cNvPr id="38" name="Group 37">
          <a:extLst>
            <a:ext uri="{FF2B5EF4-FFF2-40B4-BE49-F238E27FC236}">
              <a16:creationId xmlns:a16="http://schemas.microsoft.com/office/drawing/2014/main" id="{00000000-0008-0000-2800-000026000000}"/>
            </a:ext>
          </a:extLst>
        </xdr:cNvPr>
        <xdr:cNvGrpSpPr/>
      </xdr:nvGrpSpPr>
      <xdr:grpSpPr>
        <a:xfrm>
          <a:off x="5399674" y="619125"/>
          <a:ext cx="2421876" cy="881246"/>
          <a:chOff x="2704113" y="1089314"/>
          <a:chExt cx="4635330" cy="1687107"/>
        </a:xfrm>
      </xdr:grpSpPr>
      <xdr:graphicFrame macro="">
        <xdr:nvGraphicFramePr>
          <xdr:cNvPr id="39" name="Chart 38">
            <a:extLst>
              <a:ext uri="{FF2B5EF4-FFF2-40B4-BE49-F238E27FC236}">
                <a16:creationId xmlns:a16="http://schemas.microsoft.com/office/drawing/2014/main" id="{00000000-0008-0000-2800-00002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40" name="Chart 39">
            <a:extLst>
              <a:ext uri="{FF2B5EF4-FFF2-40B4-BE49-F238E27FC236}">
                <a16:creationId xmlns:a16="http://schemas.microsoft.com/office/drawing/2014/main" id="{00000000-0008-0000-2800-000028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7</xdr:col>
      <xdr:colOff>142875</xdr:colOff>
      <xdr:row>3</xdr:row>
      <xdr:rowOff>28575</xdr:rowOff>
    </xdr:from>
    <xdr:to>
      <xdr:col>12</xdr:col>
      <xdr:colOff>131346</xdr:colOff>
      <xdr:row>6</xdr:row>
      <xdr:rowOff>157346</xdr:rowOff>
    </xdr:to>
    <xdr:grpSp>
      <xdr:nvGrpSpPr>
        <xdr:cNvPr id="41" name="Group 40">
          <a:extLst>
            <a:ext uri="{FF2B5EF4-FFF2-40B4-BE49-F238E27FC236}">
              <a16:creationId xmlns:a16="http://schemas.microsoft.com/office/drawing/2014/main" id="{00000000-0008-0000-2800-000029000000}"/>
            </a:ext>
          </a:extLst>
        </xdr:cNvPr>
        <xdr:cNvGrpSpPr/>
      </xdr:nvGrpSpPr>
      <xdr:grpSpPr>
        <a:xfrm>
          <a:off x="2771775" y="619125"/>
          <a:ext cx="2798346" cy="881246"/>
          <a:chOff x="2704113" y="1089314"/>
          <a:chExt cx="4635330" cy="1687107"/>
        </a:xfrm>
      </xdr:grpSpPr>
      <xdr:graphicFrame macro="">
        <xdr:nvGraphicFramePr>
          <xdr:cNvPr id="42" name="Chart 41">
            <a:extLst>
              <a:ext uri="{FF2B5EF4-FFF2-40B4-BE49-F238E27FC236}">
                <a16:creationId xmlns:a16="http://schemas.microsoft.com/office/drawing/2014/main" id="{00000000-0008-0000-2800-00002A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43" name="Chart 42">
            <a:extLst>
              <a:ext uri="{FF2B5EF4-FFF2-40B4-BE49-F238E27FC236}">
                <a16:creationId xmlns:a16="http://schemas.microsoft.com/office/drawing/2014/main" id="{00000000-0008-0000-2800-00002B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17</xdr:col>
      <xdr:colOff>209550</xdr:colOff>
      <xdr:row>3</xdr:row>
      <xdr:rowOff>28575</xdr:rowOff>
    </xdr:from>
    <xdr:to>
      <xdr:col>21</xdr:col>
      <xdr:colOff>607595</xdr:colOff>
      <xdr:row>6</xdr:row>
      <xdr:rowOff>157346</xdr:rowOff>
    </xdr:to>
    <xdr:grpSp>
      <xdr:nvGrpSpPr>
        <xdr:cNvPr id="44" name="Group 43">
          <a:extLst>
            <a:ext uri="{FF2B5EF4-FFF2-40B4-BE49-F238E27FC236}">
              <a16:creationId xmlns:a16="http://schemas.microsoft.com/office/drawing/2014/main" id="{00000000-0008-0000-2800-00002C000000}"/>
            </a:ext>
          </a:extLst>
        </xdr:cNvPr>
        <xdr:cNvGrpSpPr/>
      </xdr:nvGrpSpPr>
      <xdr:grpSpPr>
        <a:xfrm>
          <a:off x="7886700" y="619125"/>
          <a:ext cx="2417345" cy="881246"/>
          <a:chOff x="2704113" y="1089314"/>
          <a:chExt cx="4635330" cy="1687107"/>
        </a:xfrm>
      </xdr:grpSpPr>
      <xdr:graphicFrame macro="">
        <xdr:nvGraphicFramePr>
          <xdr:cNvPr id="45" name="Chart 44">
            <a:extLst>
              <a:ext uri="{FF2B5EF4-FFF2-40B4-BE49-F238E27FC236}">
                <a16:creationId xmlns:a16="http://schemas.microsoft.com/office/drawing/2014/main" id="{00000000-0008-0000-2800-00002D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6" name="Chart 45">
            <a:extLst>
              <a:ext uri="{FF2B5EF4-FFF2-40B4-BE49-F238E27FC236}">
                <a16:creationId xmlns:a16="http://schemas.microsoft.com/office/drawing/2014/main" id="{00000000-0008-0000-2800-00002E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0</xdr:col>
      <xdr:colOff>0</xdr:colOff>
      <xdr:row>2</xdr:row>
      <xdr:rowOff>152400</xdr:rowOff>
    </xdr:from>
    <xdr:to>
      <xdr:col>1</xdr:col>
      <xdr:colOff>106346</xdr:colOff>
      <xdr:row>6</xdr:row>
      <xdr:rowOff>78423</xdr:rowOff>
    </xdr:to>
    <xdr:sp macro="" textlink="">
      <xdr:nvSpPr>
        <xdr:cNvPr id="47" name="TextBox 46">
          <a:extLst>
            <a:ext uri="{FF2B5EF4-FFF2-40B4-BE49-F238E27FC236}">
              <a16:creationId xmlns:a16="http://schemas.microsoft.com/office/drawing/2014/main" id="{00000000-0008-0000-2800-00002F000000}"/>
            </a:ext>
          </a:extLst>
        </xdr:cNvPr>
        <xdr:cNvSpPr txBox="1"/>
      </xdr:nvSpPr>
      <xdr:spPr>
        <a:xfrm rot="16200000">
          <a:off x="-314651" y="857576"/>
          <a:ext cx="878523" cy="249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accent1"/>
              </a:solidFill>
              <a:latin typeface="Verdana" panose="020B0604030504040204" pitchFamily="34" charset="0"/>
              <a:ea typeface="Verdana" panose="020B0604030504040204" pitchFamily="34" charset="0"/>
              <a:cs typeface="Verdana" panose="020B0604030504040204" pitchFamily="34" charset="0"/>
            </a:rPr>
            <a:t>Outsourcing</a:t>
          </a:r>
          <a:endParaRPr lang="en-US" sz="950">
            <a:solidFill>
              <a:schemeClr val="accent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13</xdr:col>
      <xdr:colOff>609600</xdr:colOff>
      <xdr:row>8</xdr:row>
      <xdr:rowOff>38100</xdr:rowOff>
    </xdr:from>
    <xdr:to>
      <xdr:col>17</xdr:col>
      <xdr:colOff>333375</xdr:colOff>
      <xdr:row>10</xdr:row>
      <xdr:rowOff>9525</xdr:rowOff>
    </xdr:to>
    <xdr:sp macro="" textlink="">
      <xdr:nvSpPr>
        <xdr:cNvPr id="2" name="TextBox 1">
          <a:extLst>
            <a:ext uri="{FF2B5EF4-FFF2-40B4-BE49-F238E27FC236}">
              <a16:creationId xmlns:a16="http://schemas.microsoft.com/office/drawing/2014/main" id="{00000000-0008-0000-2800-000002000000}"/>
            </a:ext>
          </a:extLst>
        </xdr:cNvPr>
        <xdr:cNvSpPr txBox="1"/>
      </xdr:nvSpPr>
      <xdr:spPr>
        <a:xfrm>
          <a:off x="6267450" y="1781175"/>
          <a:ext cx="174307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i="1"/>
            <a:t>hours towards deal</a:t>
          </a:r>
        </a:p>
      </xdr:txBody>
    </xdr:sp>
    <xdr:clientData/>
  </xdr:twoCellAnchor>
  <xdr:twoCellAnchor>
    <xdr:from>
      <xdr:col>13</xdr:col>
      <xdr:colOff>185737</xdr:colOff>
      <xdr:row>10</xdr:row>
      <xdr:rowOff>14289</xdr:rowOff>
    </xdr:from>
    <xdr:to>
      <xdr:col>17</xdr:col>
      <xdr:colOff>742949</xdr:colOff>
      <xdr:row>11</xdr:row>
      <xdr:rowOff>114300</xdr:rowOff>
    </xdr:to>
    <xdr:sp macro="" textlink="">
      <xdr:nvSpPr>
        <xdr:cNvPr id="3" name="Left Brace 2">
          <a:extLst>
            <a:ext uri="{FF2B5EF4-FFF2-40B4-BE49-F238E27FC236}">
              <a16:creationId xmlns:a16="http://schemas.microsoft.com/office/drawing/2014/main" id="{00000000-0008-0000-2800-000003000000}"/>
            </a:ext>
          </a:extLst>
        </xdr:cNvPr>
        <xdr:cNvSpPr/>
      </xdr:nvSpPr>
      <xdr:spPr bwMode="auto">
        <a:xfrm rot="5400000">
          <a:off x="7043737" y="795339"/>
          <a:ext cx="176211" cy="2576512"/>
        </a:xfrm>
        <a:prstGeom prst="leftBrace">
          <a:avLst/>
        </a:prstGeom>
        <a:noFill/>
        <a:ln w="12700" cap="flat" cmpd="sng" algn="ctr">
          <a:solidFill>
            <a:schemeClr val="accent3">
              <a:lumMod val="50000"/>
            </a:schemeClr>
          </a:solid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12</xdr:col>
      <xdr:colOff>106973</xdr:colOff>
      <xdr:row>9</xdr:row>
      <xdr:rowOff>34436</xdr:rowOff>
    </xdr:from>
    <xdr:to>
      <xdr:col>19</xdr:col>
      <xdr:colOff>37367</xdr:colOff>
      <xdr:row>26</xdr:row>
      <xdr:rowOff>146538</xdr:rowOff>
    </xdr:to>
    <xdr:graphicFrame macro="">
      <xdr:nvGraphicFramePr>
        <xdr:cNvPr id="43108" name="Chart 1027">
          <a:extLst>
            <a:ext uri="{FF2B5EF4-FFF2-40B4-BE49-F238E27FC236}">
              <a16:creationId xmlns:a16="http://schemas.microsoft.com/office/drawing/2014/main" id="{00000000-0008-0000-2900-00006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733425</xdr:colOff>
      <xdr:row>9</xdr:row>
      <xdr:rowOff>28575</xdr:rowOff>
    </xdr:from>
    <xdr:to>
      <xdr:col>5</xdr:col>
      <xdr:colOff>819150</xdr:colOff>
      <xdr:row>10</xdr:row>
      <xdr:rowOff>2336</xdr:rowOff>
    </xdr:to>
    <xdr:pic macro="[0]!GoTotoolBusinessB">
      <xdr:nvPicPr>
        <xdr:cNvPr id="43109" name="Picture 1065" descr="rightnav_arrow">
          <a:extLst>
            <a:ext uri="{FF2B5EF4-FFF2-40B4-BE49-F238E27FC236}">
              <a16:creationId xmlns:a16="http://schemas.microsoft.com/office/drawing/2014/main" id="{00000000-0008-0000-2900-000065A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38450" y="19335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Accenture_Tiger_Outsourcing_Title">
  <a:themeElements>
    <a:clrScheme name="10-0527">
      <a:dk1>
        <a:srgbClr val="000000"/>
      </a:dk1>
      <a:lt1>
        <a:srgbClr val="FFFFFF"/>
      </a:lt1>
      <a:dk2>
        <a:srgbClr val="F8F8F8"/>
      </a:dk2>
      <a:lt2>
        <a:srgbClr val="666666"/>
      </a:lt2>
      <a:accent1>
        <a:srgbClr val="557799"/>
      </a:accent1>
      <a:accent2>
        <a:srgbClr val="551155"/>
      </a:accent2>
      <a:accent3>
        <a:srgbClr val="00AA99"/>
      </a:accent3>
      <a:accent4>
        <a:srgbClr val="666666"/>
      </a:accent4>
      <a:accent5>
        <a:srgbClr val="557799"/>
      </a:accent5>
      <a:accent6>
        <a:srgbClr val="551155"/>
      </a:accent6>
      <a:hlink>
        <a:srgbClr val="00AA99"/>
      </a:hlink>
      <a:folHlink>
        <a:srgbClr val="666666"/>
      </a:folHlink>
    </a:clrScheme>
    <a:fontScheme name="Accenture_Tiger_Outsourcing_Titl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80000"/>
          </a:lnSpc>
          <a:spcBef>
            <a:spcPct val="0"/>
          </a:spcBef>
          <a:spcAft>
            <a:spcPct val="0"/>
          </a:spcAft>
          <a:buClrTx/>
          <a:buSzTx/>
          <a:buFontTx/>
          <a:buNone/>
          <a:tabLst/>
          <a:defRPr kumimoji="0" lang="en-US" sz="3200" b="1"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80000"/>
          </a:lnSpc>
          <a:spcBef>
            <a:spcPct val="0"/>
          </a:spcBef>
          <a:spcAft>
            <a:spcPct val="0"/>
          </a:spcAft>
          <a:buClrTx/>
          <a:buSzTx/>
          <a:buFontTx/>
          <a:buNone/>
          <a:tabLst/>
          <a:defRPr kumimoji="0" lang="en-US" sz="3200" b="1" i="0" u="none" strike="noStrike" cap="none" normalizeH="0" baseline="0" smtClean="0">
            <a:ln>
              <a:noFill/>
            </a:ln>
            <a:solidFill>
              <a:schemeClr val="tx1"/>
            </a:solidFill>
            <a:effectLst/>
            <a:latin typeface="Arial" charset="0"/>
          </a:defRPr>
        </a:defPPr>
      </a:lstStyle>
    </a:lnDef>
  </a:objectDefaults>
  <a:extraClrSchemeLst>
    <a:extraClrScheme>
      <a:clrScheme name="Accenture_Tiger_Outsourcing_Title 1">
        <a:dk1>
          <a:srgbClr val="000000"/>
        </a:dk1>
        <a:lt1>
          <a:srgbClr val="FFFFFF"/>
        </a:lt1>
        <a:dk2>
          <a:srgbClr val="000000"/>
        </a:dk2>
        <a:lt2>
          <a:srgbClr val="FFFFFF"/>
        </a:lt2>
        <a:accent1>
          <a:srgbClr val="969696"/>
        </a:accent1>
        <a:accent2>
          <a:srgbClr val="EAEAEA"/>
        </a:accent2>
        <a:accent3>
          <a:srgbClr val="FFFFFF"/>
        </a:accent3>
        <a:accent4>
          <a:srgbClr val="000000"/>
        </a:accent4>
        <a:accent5>
          <a:srgbClr val="C9C9C9"/>
        </a:accent5>
        <a:accent6>
          <a:srgbClr val="D4D4D4"/>
        </a:accent6>
        <a:hlink>
          <a:srgbClr val="5F5F5F"/>
        </a:hlink>
        <a:folHlink>
          <a:srgbClr val="CBCBCB"/>
        </a:folHlink>
      </a:clrScheme>
      <a:clrMap bg1="lt1" tx1="dk1" bg2="lt2" tx2="dk2" accent1="accent1" accent2="accent2" accent3="accent3" accent4="accent4" accent5="accent5" accent6="accent6" hlink="hlink" folHlink="folHlink"/>
    </a:extraClrScheme>
    <a:extraClrScheme>
      <a:clrScheme name="Accenture_Tiger_Outsourcing_Title 2">
        <a:dk1>
          <a:srgbClr val="000000"/>
        </a:dk1>
        <a:lt1>
          <a:srgbClr val="FFFFFF"/>
        </a:lt1>
        <a:dk2>
          <a:srgbClr val="F8F8F8"/>
        </a:dk2>
        <a:lt2>
          <a:srgbClr val="C0C0C0"/>
        </a:lt2>
        <a:accent1>
          <a:srgbClr val="00AA99"/>
        </a:accent1>
        <a:accent2>
          <a:srgbClr val="DD4411"/>
        </a:accent2>
        <a:accent3>
          <a:srgbClr val="FFFFFF"/>
        </a:accent3>
        <a:accent4>
          <a:srgbClr val="000000"/>
        </a:accent4>
        <a:accent5>
          <a:srgbClr val="AAD2CA"/>
        </a:accent5>
        <a:accent6>
          <a:srgbClr val="C83D0E"/>
        </a:accent6>
        <a:hlink>
          <a:srgbClr val="BBBB00"/>
        </a:hlink>
        <a:folHlink>
          <a:srgbClr val="660000"/>
        </a:folHlink>
      </a:clrScheme>
      <a:clrMap bg1="lt1" tx1="dk1" bg2="lt2" tx2="dk2" accent1="accent1" accent2="accent2" accent3="accent3" accent4="accent4" accent5="accent5" accent6="accent6" hlink="hlink" folHlink="folHlink"/>
    </a:extraClrScheme>
    <a:extraClrScheme>
      <a:clrScheme name="Accenture_Tiger_Outsourcing_Title 3">
        <a:dk1>
          <a:srgbClr val="000000"/>
        </a:dk1>
        <a:lt1>
          <a:srgbClr val="FFFFFF"/>
        </a:lt1>
        <a:dk2>
          <a:srgbClr val="F8F8F8"/>
        </a:dk2>
        <a:lt2>
          <a:srgbClr val="C0C0C0"/>
        </a:lt2>
        <a:accent1>
          <a:srgbClr val="AA1133"/>
        </a:accent1>
        <a:accent2>
          <a:srgbClr val="66AA44"/>
        </a:accent2>
        <a:accent3>
          <a:srgbClr val="FFFFFF"/>
        </a:accent3>
        <a:accent4>
          <a:srgbClr val="000000"/>
        </a:accent4>
        <a:accent5>
          <a:srgbClr val="D2AAAD"/>
        </a:accent5>
        <a:accent6>
          <a:srgbClr val="5C9A3D"/>
        </a:accent6>
        <a:hlink>
          <a:srgbClr val="887799"/>
        </a:hlink>
        <a:folHlink>
          <a:srgbClr val="224433"/>
        </a:folHlink>
      </a:clrScheme>
      <a:clrMap bg1="lt1" tx1="dk1" bg2="lt2" tx2="dk2" accent1="accent1" accent2="accent2" accent3="accent3" accent4="accent4" accent5="accent5" accent6="accent6" hlink="hlink" folHlink="folHlink"/>
    </a:extraClrScheme>
    <a:extraClrScheme>
      <a:clrScheme name="Accenture_Tiger_Outsourcing_Title 4">
        <a:dk1>
          <a:srgbClr val="000000"/>
        </a:dk1>
        <a:lt1>
          <a:srgbClr val="FFFFFF"/>
        </a:lt1>
        <a:dk2>
          <a:srgbClr val="F8F8F8"/>
        </a:dk2>
        <a:lt2>
          <a:srgbClr val="C0C0C0"/>
        </a:lt2>
        <a:accent1>
          <a:srgbClr val="FF0000"/>
        </a:accent1>
        <a:accent2>
          <a:srgbClr val="FF9900"/>
        </a:accent2>
        <a:accent3>
          <a:srgbClr val="FFFFFF"/>
        </a:accent3>
        <a:accent4>
          <a:srgbClr val="000000"/>
        </a:accent4>
        <a:accent5>
          <a:srgbClr val="FFAAAA"/>
        </a:accent5>
        <a:accent6>
          <a:srgbClr val="E78A00"/>
        </a:accent6>
        <a:hlink>
          <a:srgbClr val="557799"/>
        </a:hlink>
        <a:folHlink>
          <a:srgbClr val="445511"/>
        </a:folHlink>
      </a:clrScheme>
      <a:clrMap bg1="lt1" tx1="dk1" bg2="lt2" tx2="dk2" accent1="accent1" accent2="accent2" accent3="accent3" accent4="accent4" accent5="accent5" accent6="accent6" hlink="hlink" folHlink="folHlink"/>
    </a:extraClrScheme>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ModuleFactory@bts.com"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ModuleFactory@bts.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oduleFactory@bts.com"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2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omments" Target="../comments6.xml"/><Relationship Id="rId3" Type="http://schemas.openxmlformats.org/officeDocument/2006/relationships/vmlDrawing" Target="../drawings/vmlDrawing17.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22.xml"/><Relationship Id="rId1" Type="http://schemas.openxmlformats.org/officeDocument/2006/relationships/printerSettings" Target="../printerSettings/printerSettings2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57"/>
  </sheetPr>
  <dimension ref="A1:O84"/>
  <sheetViews>
    <sheetView workbookViewId="0">
      <pane ySplit="2" topLeftCell="A3" activePane="bottomLeft" state="frozen"/>
      <selection pane="bottomLeft" activeCell="B41" sqref="B41"/>
    </sheetView>
  </sheetViews>
  <sheetFormatPr defaultColWidth="18.83203125" defaultRowHeight="12.75" customHeight="1"/>
  <cols>
    <col min="1" max="1" width="3.33203125" customWidth="1"/>
    <col min="2" max="2" width="21" style="204" customWidth="1"/>
    <col min="3" max="3" width="13" style="204" bestFit="1" customWidth="1"/>
    <col min="4" max="4" width="12" bestFit="1" customWidth="1"/>
    <col min="5" max="5" width="9.83203125" bestFit="1" customWidth="1"/>
    <col min="6" max="6" width="12" style="204" bestFit="1" customWidth="1"/>
    <col min="7" max="7" width="10.1640625" bestFit="1" customWidth="1"/>
    <col min="8" max="8" width="53.1640625" style="204" customWidth="1"/>
    <col min="9" max="9" width="12.83203125" style="204" bestFit="1" customWidth="1"/>
    <col min="10" max="10" width="47.1640625" customWidth="1"/>
    <col min="11" max="11" width="39.83203125" customWidth="1"/>
    <col min="12" max="12" width="40.33203125" customWidth="1"/>
    <col min="13" max="13" width="34.1640625" customWidth="1"/>
    <col min="14" max="14" width="27.6640625" customWidth="1"/>
    <col min="15" max="15" width="20.33203125" customWidth="1"/>
  </cols>
  <sheetData>
    <row r="1" spans="1:15" ht="11.25"/>
    <row r="2" spans="1:15" ht="11.25">
      <c r="B2" s="691" t="s">
        <v>1483</v>
      </c>
      <c r="C2" s="691" t="s">
        <v>1114</v>
      </c>
      <c r="D2" s="690" t="s">
        <v>1122</v>
      </c>
      <c r="E2" s="690" t="s">
        <v>1116</v>
      </c>
      <c r="F2" s="691" t="s">
        <v>1115</v>
      </c>
      <c r="G2" s="690" t="s">
        <v>1116</v>
      </c>
      <c r="H2" s="691" t="s">
        <v>3888</v>
      </c>
      <c r="I2" s="691" t="s">
        <v>1117</v>
      </c>
    </row>
    <row r="3" spans="1:15" ht="45" hidden="1">
      <c r="A3">
        <v>1</v>
      </c>
      <c r="B3" s="204" t="s">
        <v>1118</v>
      </c>
      <c r="C3" s="204" t="s">
        <v>53</v>
      </c>
      <c r="D3" t="s">
        <v>3661</v>
      </c>
      <c r="E3">
        <v>20071001</v>
      </c>
      <c r="F3" s="204" t="s">
        <v>3661</v>
      </c>
      <c r="G3">
        <v>20071001</v>
      </c>
      <c r="H3" s="204" t="s">
        <v>54</v>
      </c>
      <c r="I3" s="204" t="s">
        <v>279</v>
      </c>
    </row>
    <row r="4" spans="1:15" ht="45" hidden="1">
      <c r="A4">
        <v>2</v>
      </c>
      <c r="B4" s="204" t="s">
        <v>56</v>
      </c>
      <c r="C4" s="204" t="s">
        <v>55</v>
      </c>
      <c r="D4" t="s">
        <v>3661</v>
      </c>
      <c r="E4">
        <v>20071001</v>
      </c>
      <c r="F4" s="204" t="s">
        <v>3661</v>
      </c>
      <c r="G4">
        <v>20071001</v>
      </c>
      <c r="H4" s="204" t="s">
        <v>57</v>
      </c>
      <c r="I4" s="204" t="s">
        <v>279</v>
      </c>
      <c r="J4" s="204" t="s">
        <v>4580</v>
      </c>
    </row>
    <row r="5" spans="1:15" ht="45" hidden="1">
      <c r="A5">
        <v>3</v>
      </c>
      <c r="B5" s="204" t="s">
        <v>58</v>
      </c>
      <c r="C5" s="204" t="s">
        <v>59</v>
      </c>
      <c r="D5" t="s">
        <v>3661</v>
      </c>
      <c r="E5">
        <v>20071001</v>
      </c>
      <c r="F5" s="204" t="s">
        <v>3661</v>
      </c>
      <c r="G5">
        <v>20071001</v>
      </c>
      <c r="H5" s="204" t="s">
        <v>60</v>
      </c>
      <c r="I5" s="204" t="s">
        <v>279</v>
      </c>
    </row>
    <row r="6" spans="1:15" ht="33.75" hidden="1">
      <c r="A6">
        <v>4</v>
      </c>
      <c r="C6" s="204" t="s">
        <v>61</v>
      </c>
      <c r="D6" t="s">
        <v>3661</v>
      </c>
      <c r="E6">
        <v>20071001</v>
      </c>
      <c r="F6" s="204" t="s">
        <v>279</v>
      </c>
      <c r="G6">
        <v>20071130</v>
      </c>
      <c r="H6" s="204" t="s">
        <v>62</v>
      </c>
      <c r="I6" s="204" t="s">
        <v>279</v>
      </c>
      <c r="J6" s="204" t="s">
        <v>2256</v>
      </c>
    </row>
    <row r="7" spans="1:15" ht="67.5" hidden="1">
      <c r="A7">
        <v>5</v>
      </c>
      <c r="B7" s="204" t="s">
        <v>671</v>
      </c>
      <c r="C7" s="204" t="s">
        <v>672</v>
      </c>
      <c r="D7" t="s">
        <v>3661</v>
      </c>
      <c r="E7">
        <v>20071001</v>
      </c>
      <c r="F7" s="204" t="s">
        <v>279</v>
      </c>
      <c r="G7">
        <v>20071130</v>
      </c>
      <c r="H7" s="204" t="s">
        <v>1212</v>
      </c>
      <c r="I7" s="204" t="s">
        <v>279</v>
      </c>
      <c r="J7" s="204" t="s">
        <v>2882</v>
      </c>
    </row>
    <row r="8" spans="1:15" ht="45" hidden="1">
      <c r="A8">
        <v>6</v>
      </c>
      <c r="B8" s="204" t="s">
        <v>2465</v>
      </c>
      <c r="C8" s="204" t="s">
        <v>2466</v>
      </c>
      <c r="D8" t="s">
        <v>3661</v>
      </c>
      <c r="E8">
        <v>20071002</v>
      </c>
      <c r="F8" s="204" t="s">
        <v>3661</v>
      </c>
      <c r="G8">
        <v>20071002</v>
      </c>
      <c r="H8" s="204" t="s">
        <v>2464</v>
      </c>
      <c r="I8" s="204" t="s">
        <v>279</v>
      </c>
    </row>
    <row r="9" spans="1:15" ht="45" hidden="1">
      <c r="A9">
        <v>7</v>
      </c>
      <c r="B9" s="204" t="s">
        <v>3463</v>
      </c>
      <c r="C9" s="204" t="s">
        <v>4308</v>
      </c>
      <c r="D9" t="s">
        <v>3661</v>
      </c>
      <c r="E9">
        <v>20071119</v>
      </c>
      <c r="F9" s="204" t="s">
        <v>279</v>
      </c>
      <c r="G9">
        <v>20071130</v>
      </c>
      <c r="H9" s="204" t="s">
        <v>3462</v>
      </c>
      <c r="I9" s="204" t="s">
        <v>279</v>
      </c>
      <c r="J9" s="204" t="s">
        <v>2885</v>
      </c>
    </row>
    <row r="10" spans="1:15" ht="42.75" hidden="1" customHeight="1">
      <c r="A10">
        <v>8</v>
      </c>
      <c r="B10" s="204" t="s">
        <v>4307</v>
      </c>
      <c r="C10" s="204" t="s">
        <v>4339</v>
      </c>
      <c r="D10" t="s">
        <v>3661</v>
      </c>
      <c r="E10">
        <v>20071119</v>
      </c>
      <c r="F10" s="204" t="s">
        <v>279</v>
      </c>
      <c r="G10">
        <v>20071130</v>
      </c>
      <c r="H10" s="204" t="s">
        <v>4309</v>
      </c>
      <c r="I10" s="204" t="s">
        <v>279</v>
      </c>
      <c r="J10" s="204" t="s">
        <v>2886</v>
      </c>
    </row>
    <row r="11" spans="1:15" ht="101.25" hidden="1">
      <c r="A11">
        <v>9</v>
      </c>
      <c r="B11" s="204" t="s">
        <v>2709</v>
      </c>
      <c r="C11" s="204" t="s">
        <v>3196</v>
      </c>
      <c r="D11" t="s">
        <v>3661</v>
      </c>
      <c r="E11">
        <v>20071119</v>
      </c>
      <c r="F11" s="204" t="s">
        <v>279</v>
      </c>
      <c r="H11" s="692" t="s">
        <v>3459</v>
      </c>
      <c r="I11" s="204" t="s">
        <v>279</v>
      </c>
      <c r="J11" s="695" t="s">
        <v>4575</v>
      </c>
      <c r="K11" s="204" t="s">
        <v>2572</v>
      </c>
      <c r="L11" s="204" t="s">
        <v>449</v>
      </c>
      <c r="M11" s="204" t="s">
        <v>3926</v>
      </c>
      <c r="N11" s="204" t="s">
        <v>3195</v>
      </c>
    </row>
    <row r="12" spans="1:15" ht="45" hidden="1">
      <c r="A12">
        <v>10</v>
      </c>
      <c r="B12" s="204" t="s">
        <v>2710</v>
      </c>
      <c r="D12" t="s">
        <v>3661</v>
      </c>
      <c r="E12">
        <v>20071119</v>
      </c>
      <c r="F12" s="204" t="s">
        <v>279</v>
      </c>
      <c r="G12">
        <v>20071130</v>
      </c>
      <c r="I12" s="204" t="s">
        <v>279</v>
      </c>
      <c r="J12" s="695" t="s">
        <v>4574</v>
      </c>
      <c r="K12" s="204" t="s">
        <v>956</v>
      </c>
    </row>
    <row r="13" spans="1:15" s="202" customFormat="1" ht="90" hidden="1">
      <c r="A13" s="202">
        <v>11</v>
      </c>
      <c r="B13" s="693" t="s">
        <v>3169</v>
      </c>
      <c r="C13" s="693" t="s">
        <v>3461</v>
      </c>
      <c r="D13" s="202" t="s">
        <v>3661</v>
      </c>
      <c r="E13" s="202">
        <v>20071119</v>
      </c>
      <c r="F13" s="693"/>
      <c r="H13" s="693" t="s">
        <v>3460</v>
      </c>
      <c r="I13" s="693" t="s">
        <v>279</v>
      </c>
      <c r="J13" s="693" t="s">
        <v>2884</v>
      </c>
      <c r="K13" s="693" t="s">
        <v>957</v>
      </c>
      <c r="L13" s="693" t="s">
        <v>450</v>
      </c>
      <c r="M13" s="693" t="s">
        <v>3168</v>
      </c>
      <c r="N13" s="693" t="s">
        <v>3197</v>
      </c>
      <c r="O13" s="693" t="s">
        <v>1912</v>
      </c>
    </row>
    <row r="14" spans="1:15" ht="33.75" hidden="1">
      <c r="A14">
        <v>12</v>
      </c>
      <c r="B14" s="204" t="s">
        <v>4343</v>
      </c>
      <c r="C14" s="204" t="s">
        <v>885</v>
      </c>
      <c r="D14" t="s">
        <v>3661</v>
      </c>
      <c r="E14">
        <v>20071119</v>
      </c>
      <c r="F14" t="s">
        <v>3661</v>
      </c>
      <c r="G14">
        <v>20071119</v>
      </c>
      <c r="H14" s="204" t="s">
        <v>884</v>
      </c>
      <c r="I14" s="204" t="s">
        <v>279</v>
      </c>
    </row>
    <row r="15" spans="1:15" ht="33.75" hidden="1">
      <c r="A15">
        <v>13</v>
      </c>
      <c r="B15" s="204" t="s">
        <v>387</v>
      </c>
      <c r="C15" s="204" t="s">
        <v>886</v>
      </c>
      <c r="D15" t="s">
        <v>3661</v>
      </c>
      <c r="E15">
        <v>20071119</v>
      </c>
      <c r="F15" t="s">
        <v>3661</v>
      </c>
      <c r="G15">
        <v>20071119</v>
      </c>
      <c r="H15" s="204" t="s">
        <v>386</v>
      </c>
      <c r="I15" s="204" t="s">
        <v>279</v>
      </c>
      <c r="J15" t="s">
        <v>2883</v>
      </c>
    </row>
    <row r="16" spans="1:15" ht="90" hidden="1">
      <c r="A16">
        <v>14</v>
      </c>
      <c r="B16" s="694" t="s">
        <v>4507</v>
      </c>
      <c r="C16" s="204" t="s">
        <v>388</v>
      </c>
      <c r="D16" t="s">
        <v>3661</v>
      </c>
      <c r="E16">
        <v>20071119</v>
      </c>
      <c r="G16" t="s">
        <v>2259</v>
      </c>
      <c r="H16" s="204" t="s">
        <v>389</v>
      </c>
      <c r="I16" s="204" t="s">
        <v>279</v>
      </c>
      <c r="J16" s="695" t="s">
        <v>2270</v>
      </c>
      <c r="K16" s="204" t="s">
        <v>958</v>
      </c>
      <c r="L16" s="2" t="s">
        <v>4506</v>
      </c>
      <c r="M16" s="396"/>
      <c r="N16" s="396"/>
    </row>
    <row r="17" spans="1:15" ht="56.25" hidden="1">
      <c r="A17">
        <v>15</v>
      </c>
      <c r="B17" s="694" t="s">
        <v>1196</v>
      </c>
      <c r="C17" s="204" t="s">
        <v>1197</v>
      </c>
      <c r="D17" t="s">
        <v>1198</v>
      </c>
      <c r="E17">
        <v>20080211</v>
      </c>
      <c r="F17" s="204" t="s">
        <v>3661</v>
      </c>
      <c r="G17">
        <v>20080314</v>
      </c>
      <c r="H17" s="695" t="s">
        <v>1707</v>
      </c>
      <c r="I17" s="204" t="s">
        <v>279</v>
      </c>
      <c r="J17" s="695" t="s">
        <v>3198</v>
      </c>
      <c r="K17" s="2"/>
      <c r="M17" s="399"/>
      <c r="N17" s="399"/>
      <c r="O17" s="15"/>
    </row>
    <row r="18" spans="1:15" ht="33.75" hidden="1">
      <c r="A18">
        <v>16</v>
      </c>
      <c r="B18" s="694" t="s">
        <v>4258</v>
      </c>
      <c r="D18" t="s">
        <v>1198</v>
      </c>
      <c r="E18">
        <v>20080211</v>
      </c>
      <c r="F18" s="204" t="s">
        <v>3661</v>
      </c>
      <c r="G18">
        <v>20080320</v>
      </c>
      <c r="H18" s="204" t="s">
        <v>1913</v>
      </c>
      <c r="K18" s="2"/>
      <c r="M18" s="399"/>
      <c r="N18" s="399"/>
      <c r="O18" s="15"/>
    </row>
    <row r="19" spans="1:15" s="202" customFormat="1" ht="78.75" hidden="1">
      <c r="A19" s="202">
        <v>17</v>
      </c>
      <c r="B19" s="693" t="s">
        <v>4577</v>
      </c>
      <c r="C19" s="693" t="s">
        <v>3155</v>
      </c>
      <c r="D19" s="202" t="s">
        <v>3156</v>
      </c>
      <c r="E19" s="202">
        <v>20080310</v>
      </c>
      <c r="F19" s="693" t="s">
        <v>279</v>
      </c>
      <c r="G19" s="202">
        <v>20080318</v>
      </c>
      <c r="H19" s="693" t="s">
        <v>4576</v>
      </c>
      <c r="I19" s="693" t="s">
        <v>279</v>
      </c>
      <c r="J19" s="693" t="s">
        <v>3199</v>
      </c>
      <c r="K19" s="697"/>
      <c r="M19" s="698"/>
      <c r="N19" s="698"/>
      <c r="O19" s="699"/>
    </row>
    <row r="20" spans="1:15" ht="45" hidden="1">
      <c r="A20">
        <v>18</v>
      </c>
      <c r="B20" s="694" t="s">
        <v>3157</v>
      </c>
      <c r="C20" s="204" t="s">
        <v>3158</v>
      </c>
      <c r="D20" t="s">
        <v>3661</v>
      </c>
      <c r="E20">
        <v>20080310</v>
      </c>
      <c r="F20" s="204" t="s">
        <v>3661</v>
      </c>
      <c r="G20">
        <v>20080310</v>
      </c>
      <c r="H20" s="204" t="s">
        <v>4578</v>
      </c>
      <c r="I20" s="204" t="s">
        <v>279</v>
      </c>
      <c r="J20" s="695" t="s">
        <v>3200</v>
      </c>
      <c r="K20" s="3" t="s">
        <v>1914</v>
      </c>
      <c r="L20" s="2"/>
      <c r="M20" s="396"/>
      <c r="N20" s="396"/>
    </row>
    <row r="21" spans="1:15" ht="101.25" hidden="1">
      <c r="A21">
        <v>19</v>
      </c>
      <c r="B21" s="694" t="s">
        <v>1703</v>
      </c>
      <c r="C21" s="204" t="s">
        <v>1704</v>
      </c>
      <c r="D21" t="s">
        <v>3661</v>
      </c>
      <c r="E21">
        <v>20080310</v>
      </c>
      <c r="F21" s="204" t="s">
        <v>279</v>
      </c>
      <c r="G21" t="s">
        <v>2259</v>
      </c>
      <c r="H21" s="204" t="s">
        <v>1617</v>
      </c>
      <c r="I21" s="204" t="s">
        <v>1</v>
      </c>
      <c r="J21" s="695" t="s">
        <v>2258</v>
      </c>
    </row>
    <row r="22" spans="1:15" ht="45" hidden="1">
      <c r="A22">
        <v>20</v>
      </c>
      <c r="B22" s="694" t="s">
        <v>3159</v>
      </c>
      <c r="C22" s="204" t="s">
        <v>1705</v>
      </c>
      <c r="D22" t="s">
        <v>3661</v>
      </c>
      <c r="E22">
        <v>20080310</v>
      </c>
      <c r="F22" s="204" t="s">
        <v>3661</v>
      </c>
      <c r="G22">
        <v>20080310</v>
      </c>
      <c r="H22" s="204" t="s">
        <v>1706</v>
      </c>
      <c r="I22" s="204" t="s">
        <v>279</v>
      </c>
    </row>
    <row r="23" spans="1:15" ht="78.75" hidden="1">
      <c r="A23">
        <v>21</v>
      </c>
      <c r="B23" s="694" t="s">
        <v>3160</v>
      </c>
      <c r="C23" s="204" t="s">
        <v>3161</v>
      </c>
      <c r="D23" t="s">
        <v>3661</v>
      </c>
      <c r="E23">
        <v>20080310</v>
      </c>
      <c r="F23" s="204" t="s">
        <v>3661</v>
      </c>
      <c r="G23">
        <v>20080310</v>
      </c>
      <c r="H23" s="204" t="s">
        <v>3162</v>
      </c>
      <c r="I23" s="204" t="s">
        <v>279</v>
      </c>
      <c r="J23" s="695" t="s">
        <v>2260</v>
      </c>
    </row>
    <row r="24" spans="1:15" ht="56.25" hidden="1">
      <c r="A24">
        <v>22</v>
      </c>
      <c r="B24" s="694" t="s">
        <v>3163</v>
      </c>
      <c r="C24" s="204" t="s">
        <v>1709</v>
      </c>
      <c r="D24" t="s">
        <v>3661</v>
      </c>
      <c r="E24">
        <v>20080314</v>
      </c>
      <c r="F24" s="204" t="s">
        <v>279</v>
      </c>
      <c r="G24" t="s">
        <v>2259</v>
      </c>
      <c r="H24" s="204" t="s">
        <v>1710</v>
      </c>
      <c r="I24" s="204" t="s">
        <v>4</v>
      </c>
      <c r="J24" t="s">
        <v>2261</v>
      </c>
    </row>
    <row r="25" spans="1:15" ht="45" hidden="1">
      <c r="A25">
        <v>23</v>
      </c>
      <c r="B25" s="694" t="s">
        <v>1708</v>
      </c>
      <c r="C25" s="204" t="s">
        <v>3022</v>
      </c>
      <c r="D25" t="s">
        <v>3661</v>
      </c>
      <c r="E25">
        <v>20080314</v>
      </c>
      <c r="F25" s="204" t="s">
        <v>279</v>
      </c>
      <c r="G25" t="s">
        <v>2259</v>
      </c>
      <c r="H25" s="204" t="s">
        <v>2881</v>
      </c>
      <c r="I25" s="204" t="s">
        <v>279</v>
      </c>
      <c r="J25" s="204" t="s">
        <v>5</v>
      </c>
    </row>
    <row r="26" spans="1:15" ht="33.75" hidden="1">
      <c r="A26">
        <v>24</v>
      </c>
      <c r="B26" s="694" t="s">
        <v>3863</v>
      </c>
      <c r="C26" s="204" t="s">
        <v>1713</v>
      </c>
      <c r="D26" t="s">
        <v>3661</v>
      </c>
      <c r="E26">
        <v>20080314</v>
      </c>
      <c r="F26" s="204" t="s">
        <v>279</v>
      </c>
      <c r="G26" t="s">
        <v>2259</v>
      </c>
      <c r="H26" s="204" t="s">
        <v>3862</v>
      </c>
      <c r="I26" s="204" t="s">
        <v>279</v>
      </c>
      <c r="J26" s="204" t="s">
        <v>6</v>
      </c>
    </row>
    <row r="27" spans="1:15" ht="56.25" hidden="1">
      <c r="A27">
        <v>25</v>
      </c>
      <c r="B27" s="694" t="s">
        <v>3164</v>
      </c>
      <c r="C27" s="204" t="s">
        <v>3022</v>
      </c>
      <c r="D27" t="s">
        <v>3661</v>
      </c>
      <c r="E27">
        <v>20080314</v>
      </c>
      <c r="F27" s="204" t="s">
        <v>279</v>
      </c>
      <c r="G27" t="s">
        <v>2259</v>
      </c>
      <c r="H27" s="204" t="s">
        <v>1700</v>
      </c>
      <c r="I27" s="204" t="s">
        <v>279</v>
      </c>
      <c r="J27" s="204" t="s">
        <v>7</v>
      </c>
    </row>
    <row r="28" spans="1:15" ht="56.25" hidden="1">
      <c r="A28">
        <v>26</v>
      </c>
      <c r="B28" s="694" t="s">
        <v>1858</v>
      </c>
      <c r="C28" s="204" t="s">
        <v>1857</v>
      </c>
      <c r="D28" t="s">
        <v>3661</v>
      </c>
      <c r="E28">
        <v>20080315</v>
      </c>
      <c r="F28" s="204" t="s">
        <v>279</v>
      </c>
      <c r="G28" t="s">
        <v>2259</v>
      </c>
      <c r="H28" s="204" t="s">
        <v>1859</v>
      </c>
      <c r="I28" s="204" t="s">
        <v>279</v>
      </c>
      <c r="J28" s="204" t="s">
        <v>2257</v>
      </c>
    </row>
    <row r="29" spans="1:15" ht="45" hidden="1">
      <c r="A29">
        <v>27</v>
      </c>
      <c r="B29" s="694" t="s">
        <v>3165</v>
      </c>
      <c r="C29" s="204" t="s">
        <v>1711</v>
      </c>
      <c r="D29" t="s">
        <v>3661</v>
      </c>
      <c r="E29">
        <v>20080314</v>
      </c>
      <c r="F29" s="204" t="s">
        <v>279</v>
      </c>
      <c r="G29" t="s">
        <v>2259</v>
      </c>
      <c r="H29" s="204" t="s">
        <v>1712</v>
      </c>
      <c r="I29" s="204" t="s">
        <v>279</v>
      </c>
      <c r="J29" s="204" t="s">
        <v>3</v>
      </c>
      <c r="K29" s="204" t="s">
        <v>1915</v>
      </c>
    </row>
    <row r="30" spans="1:15" s="700" customFormat="1" ht="135" hidden="1">
      <c r="A30" s="700">
        <v>28</v>
      </c>
      <c r="B30" s="695" t="s">
        <v>1861</v>
      </c>
      <c r="C30" s="695" t="s">
        <v>1860</v>
      </c>
      <c r="D30" s="700" t="s">
        <v>3661</v>
      </c>
      <c r="E30" s="700">
        <v>20080315</v>
      </c>
      <c r="F30" s="695" t="s">
        <v>279</v>
      </c>
      <c r="G30" s="700" t="s">
        <v>2259</v>
      </c>
      <c r="H30" s="695" t="s">
        <v>1862</v>
      </c>
      <c r="I30" s="695" t="s">
        <v>279</v>
      </c>
      <c r="J30" s="695" t="s">
        <v>0</v>
      </c>
    </row>
    <row r="31" spans="1:15" ht="56.25" hidden="1">
      <c r="A31">
        <v>29</v>
      </c>
      <c r="B31" s="694" t="s">
        <v>3167</v>
      </c>
      <c r="C31" s="204" t="s">
        <v>2594</v>
      </c>
      <c r="D31" t="s">
        <v>3661</v>
      </c>
      <c r="E31">
        <v>20080315</v>
      </c>
      <c r="F31" s="204" t="s">
        <v>279</v>
      </c>
      <c r="G31" t="s">
        <v>2259</v>
      </c>
      <c r="H31" s="204" t="s">
        <v>2595</v>
      </c>
      <c r="I31" s="204" t="s">
        <v>279</v>
      </c>
      <c r="J31" t="s">
        <v>3202</v>
      </c>
    </row>
    <row r="32" spans="1:15" s="700" customFormat="1" ht="101.25" hidden="1">
      <c r="A32" s="700">
        <v>30</v>
      </c>
      <c r="B32" s="695" t="s">
        <v>2596</v>
      </c>
      <c r="C32" s="695" t="s">
        <v>3309</v>
      </c>
      <c r="D32" s="700" t="s">
        <v>3661</v>
      </c>
      <c r="E32" s="700">
        <v>20080315</v>
      </c>
      <c r="F32" s="695" t="s">
        <v>279</v>
      </c>
      <c r="G32" s="700" t="s">
        <v>2259</v>
      </c>
      <c r="H32" s="695" t="s">
        <v>220</v>
      </c>
      <c r="I32" s="695" t="s">
        <v>1</v>
      </c>
      <c r="J32" s="695" t="s">
        <v>2</v>
      </c>
      <c r="K32" s="695" t="s">
        <v>3466</v>
      </c>
    </row>
    <row r="33" spans="1:10" s="700" customFormat="1" ht="112.5" hidden="1">
      <c r="A33" s="700">
        <v>31</v>
      </c>
      <c r="B33" s="695" t="s">
        <v>3166</v>
      </c>
      <c r="C33" s="695" t="s">
        <v>3312</v>
      </c>
      <c r="D33" s="700" t="s">
        <v>3661</v>
      </c>
      <c r="E33" s="700">
        <v>20080315</v>
      </c>
      <c r="F33" s="695" t="s">
        <v>279</v>
      </c>
      <c r="G33" s="700" t="s">
        <v>2259</v>
      </c>
      <c r="H33" s="695" t="s">
        <v>1616</v>
      </c>
      <c r="I33" s="695" t="s">
        <v>279</v>
      </c>
      <c r="J33" s="695" t="s">
        <v>2264</v>
      </c>
    </row>
    <row r="34" spans="1:10" s="700" customFormat="1" ht="45" hidden="1">
      <c r="A34" s="700">
        <v>32</v>
      </c>
      <c r="B34" s="695" t="s">
        <v>4579</v>
      </c>
      <c r="C34" s="695" t="s">
        <v>3310</v>
      </c>
      <c r="D34" s="700" t="s">
        <v>3661</v>
      </c>
      <c r="E34" s="700">
        <v>20080315</v>
      </c>
      <c r="F34" s="695" t="s">
        <v>279</v>
      </c>
      <c r="G34" s="700" t="s">
        <v>2259</v>
      </c>
      <c r="H34" s="695" t="s">
        <v>3311</v>
      </c>
      <c r="I34" s="695" t="s">
        <v>279</v>
      </c>
      <c r="J34" s="700" t="s">
        <v>3201</v>
      </c>
    </row>
    <row r="35" spans="1:10" s="700" customFormat="1" ht="135" hidden="1">
      <c r="A35" s="700">
        <v>33</v>
      </c>
      <c r="B35" s="695" t="s">
        <v>660</v>
      </c>
      <c r="C35" s="695" t="s">
        <v>3022</v>
      </c>
      <c r="D35" s="700" t="s">
        <v>1198</v>
      </c>
      <c r="E35" s="700">
        <v>20080320</v>
      </c>
      <c r="F35" s="695" t="s">
        <v>3467</v>
      </c>
      <c r="G35" s="700" t="s">
        <v>3468</v>
      </c>
      <c r="H35" s="695" t="s">
        <v>659</v>
      </c>
      <c r="I35" s="695"/>
      <c r="J35" s="695" t="s">
        <v>3469</v>
      </c>
    </row>
    <row r="36" spans="1:10" s="202" customFormat="1" ht="33.75" hidden="1">
      <c r="A36" s="202">
        <v>34</v>
      </c>
      <c r="B36" s="693" t="s">
        <v>3527</v>
      </c>
      <c r="C36" s="693" t="s">
        <v>3528</v>
      </c>
      <c r="D36" s="202" t="s">
        <v>3467</v>
      </c>
      <c r="E36" s="202">
        <v>20080407</v>
      </c>
      <c r="F36" s="693" t="s">
        <v>279</v>
      </c>
      <c r="G36" s="202" t="s">
        <v>556</v>
      </c>
      <c r="H36" s="693" t="s">
        <v>3435</v>
      </c>
      <c r="I36" s="693"/>
    </row>
    <row r="37" spans="1:10" s="202" customFormat="1" ht="78.75" hidden="1">
      <c r="A37" s="202">
        <v>35</v>
      </c>
      <c r="B37" s="693" t="s">
        <v>3530</v>
      </c>
      <c r="C37" s="693" t="s">
        <v>3529</v>
      </c>
      <c r="D37" s="202" t="s">
        <v>3467</v>
      </c>
      <c r="E37" s="202">
        <v>20080407</v>
      </c>
      <c r="F37" s="693" t="s">
        <v>279</v>
      </c>
      <c r="G37" s="202" t="s">
        <v>556</v>
      </c>
      <c r="H37" s="693" t="s">
        <v>8</v>
      </c>
      <c r="I37" s="693"/>
    </row>
    <row r="38" spans="1:10" s="202" customFormat="1" ht="45" hidden="1">
      <c r="A38" s="202">
        <v>36</v>
      </c>
      <c r="B38" s="693" t="s">
        <v>3531</v>
      </c>
      <c r="C38" s="693" t="s">
        <v>3532</v>
      </c>
      <c r="D38" s="202" t="s">
        <v>3467</v>
      </c>
      <c r="E38" s="202">
        <v>20080407</v>
      </c>
      <c r="F38" s="693" t="s">
        <v>279</v>
      </c>
      <c r="G38" s="202" t="s">
        <v>556</v>
      </c>
      <c r="H38" s="693" t="s">
        <v>3434</v>
      </c>
      <c r="I38" s="693"/>
    </row>
    <row r="39" spans="1:10" s="202" customFormat="1" ht="78.75" hidden="1">
      <c r="A39" s="202">
        <v>37</v>
      </c>
      <c r="B39" s="693" t="s">
        <v>3533</v>
      </c>
      <c r="C39" s="693" t="s">
        <v>3532</v>
      </c>
      <c r="D39" s="202" t="s">
        <v>3467</v>
      </c>
      <c r="E39" s="202">
        <v>20080407</v>
      </c>
      <c r="F39" s="693"/>
      <c r="H39" s="693" t="s">
        <v>9</v>
      </c>
      <c r="I39" s="693"/>
    </row>
    <row r="40" spans="1:10" s="202" customFormat="1" ht="33.75" hidden="1">
      <c r="A40" s="202">
        <v>38</v>
      </c>
      <c r="B40" s="693" t="s">
        <v>3534</v>
      </c>
      <c r="C40" s="693" t="s">
        <v>3535</v>
      </c>
      <c r="D40" s="202" t="s">
        <v>3467</v>
      </c>
      <c r="E40" s="202">
        <v>20080407</v>
      </c>
      <c r="F40" s="693" t="s">
        <v>279</v>
      </c>
      <c r="G40" s="202" t="s">
        <v>556</v>
      </c>
      <c r="H40" s="693" t="s">
        <v>1699</v>
      </c>
      <c r="I40" s="693"/>
    </row>
    <row r="41" spans="1:10" s="202" customFormat="1" ht="90" hidden="1">
      <c r="A41" s="202">
        <v>39</v>
      </c>
      <c r="B41" s="693" t="s">
        <v>3077</v>
      </c>
      <c r="C41" s="693" t="s">
        <v>3536</v>
      </c>
      <c r="D41" s="202" t="s">
        <v>3467</v>
      </c>
      <c r="E41" s="202">
        <v>20080407</v>
      </c>
      <c r="F41" s="693" t="s">
        <v>279</v>
      </c>
      <c r="G41" s="202" t="s">
        <v>556</v>
      </c>
      <c r="H41" s="693" t="s">
        <v>3433</v>
      </c>
      <c r="I41" s="693"/>
    </row>
    <row r="42" spans="1:10" s="202" customFormat="1" ht="90" hidden="1">
      <c r="A42" s="202">
        <v>40</v>
      </c>
      <c r="B42" s="693" t="s">
        <v>1384</v>
      </c>
      <c r="C42" s="693" t="s">
        <v>3536</v>
      </c>
      <c r="D42" s="202" t="s">
        <v>3467</v>
      </c>
      <c r="E42" s="202">
        <v>20080407</v>
      </c>
      <c r="F42" s="693" t="s">
        <v>279</v>
      </c>
      <c r="G42" s="202" t="s">
        <v>556</v>
      </c>
      <c r="H42" s="693" t="s">
        <v>1698</v>
      </c>
      <c r="I42" s="693"/>
    </row>
    <row r="43" spans="1:10" ht="67.5">
      <c r="A43">
        <v>41</v>
      </c>
      <c r="B43" s="204" t="s">
        <v>3171</v>
      </c>
      <c r="C43" s="204" t="s">
        <v>3172</v>
      </c>
      <c r="D43" s="202" t="s">
        <v>3467</v>
      </c>
      <c r="E43" s="725">
        <v>39605</v>
      </c>
    </row>
    <row r="44" spans="1:10" ht="56.25">
      <c r="A44">
        <v>42</v>
      </c>
      <c r="B44" s="204" t="s">
        <v>3173</v>
      </c>
      <c r="C44" s="204" t="s">
        <v>3172</v>
      </c>
      <c r="D44" s="202" t="s">
        <v>3467</v>
      </c>
      <c r="E44" s="725">
        <v>39605</v>
      </c>
    </row>
    <row r="45" spans="1:10" ht="33.75">
      <c r="A45">
        <v>43</v>
      </c>
      <c r="B45" s="204" t="s">
        <v>3174</v>
      </c>
      <c r="C45" s="204" t="s">
        <v>3175</v>
      </c>
      <c r="D45" s="202" t="s">
        <v>3467</v>
      </c>
      <c r="E45" s="725">
        <v>39605</v>
      </c>
    </row>
    <row r="46" spans="1:10" ht="33.75">
      <c r="A46">
        <v>44</v>
      </c>
      <c r="B46" s="204" t="s">
        <v>3126</v>
      </c>
      <c r="C46" s="204" t="s">
        <v>3127</v>
      </c>
      <c r="D46" s="202" t="s">
        <v>3467</v>
      </c>
      <c r="E46" s="725">
        <v>39605</v>
      </c>
    </row>
    <row r="47" spans="1:10" ht="22.5">
      <c r="A47">
        <v>45</v>
      </c>
      <c r="B47" s="204" t="s">
        <v>525</v>
      </c>
      <c r="C47" s="204" t="s">
        <v>524</v>
      </c>
      <c r="D47" s="202" t="s">
        <v>3661</v>
      </c>
      <c r="E47" s="727">
        <v>39944</v>
      </c>
    </row>
    <row r="48" spans="1:10" ht="11.25">
      <c r="A48">
        <v>46</v>
      </c>
      <c r="B48" s="204" t="s">
        <v>4582</v>
      </c>
      <c r="D48" s="757" t="s">
        <v>4583</v>
      </c>
      <c r="E48" s="725">
        <v>40956</v>
      </c>
    </row>
    <row r="49" spans="1:1" ht="11.25">
      <c r="A49">
        <v>47</v>
      </c>
    </row>
    <row r="50" spans="1:1" ht="11.25">
      <c r="A50">
        <v>48</v>
      </c>
    </row>
    <row r="51" spans="1:1" ht="11.25">
      <c r="A51">
        <v>49</v>
      </c>
    </row>
    <row r="52" spans="1:1" ht="11.25">
      <c r="A52">
        <v>50</v>
      </c>
    </row>
    <row r="53" spans="1:1" ht="11.25">
      <c r="A53">
        <v>51</v>
      </c>
    </row>
    <row r="54" spans="1:1" ht="11.25">
      <c r="A54">
        <v>52</v>
      </c>
    </row>
    <row r="55" spans="1:1" ht="11.25">
      <c r="A55">
        <v>53</v>
      </c>
    </row>
    <row r="56" spans="1:1" ht="11.25">
      <c r="A56">
        <v>54</v>
      </c>
    </row>
    <row r="57" spans="1:1" ht="11.25">
      <c r="A57">
        <v>55</v>
      </c>
    </row>
    <row r="58" spans="1:1" ht="11.25">
      <c r="A58">
        <v>56</v>
      </c>
    </row>
    <row r="59" spans="1:1" ht="11.25">
      <c r="A59">
        <v>57</v>
      </c>
    </row>
    <row r="60" spans="1:1" ht="11.25">
      <c r="A60">
        <v>58</v>
      </c>
    </row>
    <row r="61" spans="1:1" ht="11.25">
      <c r="A61">
        <v>59</v>
      </c>
    </row>
    <row r="62" spans="1:1" ht="11.25">
      <c r="A62">
        <v>60</v>
      </c>
    </row>
    <row r="63" spans="1:1" ht="11.25">
      <c r="A63">
        <v>61</v>
      </c>
    </row>
    <row r="64" spans="1:1" ht="11.25">
      <c r="A64">
        <v>62</v>
      </c>
    </row>
    <row r="65" spans="1:1" ht="11.25">
      <c r="A65">
        <v>63</v>
      </c>
    </row>
    <row r="66" spans="1:1" ht="11.25">
      <c r="A66">
        <v>64</v>
      </c>
    </row>
    <row r="67" spans="1:1" ht="11.25">
      <c r="A67">
        <v>65</v>
      </c>
    </row>
    <row r="68" spans="1:1" ht="11.25">
      <c r="A68">
        <v>66</v>
      </c>
    </row>
    <row r="69" spans="1:1" ht="11.25">
      <c r="A69">
        <v>67</v>
      </c>
    </row>
    <row r="70" spans="1:1" ht="11.25">
      <c r="A70">
        <v>68</v>
      </c>
    </row>
    <row r="71" spans="1:1" ht="11.25">
      <c r="A71">
        <v>69</v>
      </c>
    </row>
    <row r="72" spans="1:1" ht="11.25">
      <c r="A72">
        <v>70</v>
      </c>
    </row>
    <row r="73" spans="1:1" ht="11.25">
      <c r="A73">
        <v>71</v>
      </c>
    </row>
    <row r="74" spans="1:1" ht="11.25">
      <c r="A74">
        <v>72</v>
      </c>
    </row>
    <row r="75" spans="1:1" ht="11.25">
      <c r="A75">
        <v>73</v>
      </c>
    </row>
    <row r="76" spans="1:1" ht="11.25">
      <c r="A76">
        <v>74</v>
      </c>
    </row>
    <row r="77" spans="1:1" ht="11.25">
      <c r="A77">
        <v>75</v>
      </c>
    </row>
    <row r="78" spans="1:1" ht="11.25">
      <c r="A78">
        <v>76</v>
      </c>
    </row>
    <row r="79" spans="1:1" ht="11.25">
      <c r="A79">
        <v>77</v>
      </c>
    </row>
    <row r="80" spans="1:1" ht="11.25">
      <c r="A80">
        <v>78</v>
      </c>
    </row>
    <row r="81" spans="1:1" ht="11.25">
      <c r="A81">
        <v>79</v>
      </c>
    </row>
    <row r="82" spans="1:1" ht="11.25">
      <c r="A82">
        <v>80</v>
      </c>
    </row>
    <row r="83" spans="1:1" ht="11.25">
      <c r="A83">
        <v>81</v>
      </c>
    </row>
    <row r="84" spans="1:1" ht="11.25">
      <c r="A84">
        <v>82</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O18"/>
  <sheetViews>
    <sheetView workbookViewId="0"/>
  </sheetViews>
  <sheetFormatPr defaultColWidth="18.83203125" defaultRowHeight="14.25"/>
  <cols>
    <col min="1" max="1" width="1.6640625" style="1217" customWidth="1"/>
    <col min="2" max="2" width="1.1640625" style="1217" customWidth="1"/>
    <col min="3" max="3" width="36.6640625" style="1217" customWidth="1"/>
    <col min="4" max="4" width="1" style="1217" customWidth="1"/>
    <col min="5" max="5" width="29" style="1217" customWidth="1"/>
    <col min="6" max="6" width="1" style="1217" customWidth="1"/>
    <col min="7" max="7" width="36.33203125" style="1217" customWidth="1"/>
    <col min="8" max="15" width="29" style="1217" customWidth="1"/>
    <col min="16" max="16384" width="18.83203125" style="1217"/>
  </cols>
  <sheetData>
    <row r="1" spans="1:15" s="1196" customFormat="1">
      <c r="A1" s="1195" t="s">
        <v>5239</v>
      </c>
      <c r="D1" s="1195"/>
      <c r="F1" s="1195"/>
    </row>
    <row r="2" spans="1:15" s="1197" customFormat="1">
      <c r="C2" s="1198"/>
      <c r="E2" s="1198"/>
      <c r="G2" s="1198"/>
      <c r="H2" s="1198"/>
      <c r="J2" s="1198"/>
      <c r="K2" s="1198"/>
      <c r="L2" s="1198"/>
      <c r="M2" s="1198"/>
      <c r="N2" s="1198"/>
      <c r="O2" s="1198"/>
    </row>
    <row r="3" spans="1:15" s="1197" customFormat="1">
      <c r="C3" s="1197" t="s">
        <v>5240</v>
      </c>
      <c r="E3" s="1199" t="s">
        <v>5127</v>
      </c>
      <c r="G3" s="1199"/>
      <c r="H3" s="1200"/>
      <c r="J3" s="1200"/>
      <c r="K3" s="1200"/>
      <c r="L3" s="1200"/>
      <c r="M3" s="1200"/>
      <c r="N3" s="1200"/>
      <c r="O3" s="1200"/>
    </row>
    <row r="4" spans="1:15" s="1201" customFormat="1"/>
    <row r="5" spans="1:15" s="1203" customFormat="1">
      <c r="A5" s="1202"/>
      <c r="C5" s="1203" t="s">
        <v>5126</v>
      </c>
      <c r="D5" s="1202"/>
      <c r="F5" s="1202"/>
      <c r="H5" s="1204"/>
      <c r="I5" s="1204"/>
      <c r="J5" s="1204"/>
      <c r="K5" s="1204"/>
      <c r="L5" s="1204"/>
      <c r="M5" s="1204"/>
      <c r="N5" s="1204"/>
      <c r="O5" s="1204"/>
    </row>
    <row r="6" spans="1:15" s="1201" customFormat="1"/>
    <row r="7" spans="1:15" s="1201" customFormat="1">
      <c r="C7" s="1205" t="s">
        <v>5241</v>
      </c>
      <c r="E7" s="1205"/>
      <c r="G7" s="1205"/>
      <c r="H7" s="1206" t="s">
        <v>5242</v>
      </c>
    </row>
    <row r="8" spans="1:15" s="1201" customFormat="1">
      <c r="C8" s="1207"/>
      <c r="E8" s="1208" t="s">
        <v>5243</v>
      </c>
      <c r="H8" s="1209"/>
      <c r="I8" s="1208" t="s">
        <v>5123</v>
      </c>
    </row>
    <row r="9" spans="1:15" s="1201" customFormat="1">
      <c r="C9" s="1210"/>
      <c r="E9" s="1208" t="s">
        <v>5244</v>
      </c>
    </row>
    <row r="10" spans="1:15" s="1201" customFormat="1">
      <c r="C10" s="1211"/>
      <c r="E10" s="1208" t="s">
        <v>5245</v>
      </c>
    </row>
    <row r="11" spans="1:15" s="1201" customFormat="1"/>
    <row r="12" spans="1:15" s="1203" customFormat="1" ht="20.100000000000001" customHeight="1">
      <c r="C12" s="1212" t="s">
        <v>5246</v>
      </c>
      <c r="E12" s="1212"/>
      <c r="G12" s="1213"/>
      <c r="H12" s="1212"/>
      <c r="I12" s="1213"/>
      <c r="J12" s="1213"/>
      <c r="K12" s="1212"/>
      <c r="L12" s="1213"/>
      <c r="M12" s="1213"/>
      <c r="N12" s="1212"/>
      <c r="O12" s="1213"/>
    </row>
    <row r="13" spans="1:15" s="1201" customFormat="1"/>
    <row r="14" spans="1:15" s="1201" customFormat="1">
      <c r="C14" s="1201" t="s">
        <v>5247</v>
      </c>
      <c r="E14" s="1214" t="s">
        <v>5248</v>
      </c>
      <c r="F14" s="1201" t="s">
        <v>5249</v>
      </c>
    </row>
    <row r="15" spans="1:15" s="1201" customFormat="1" ht="9.75" customHeight="1"/>
    <row r="16" spans="1:15" s="1201" customFormat="1">
      <c r="C16" s="1201" t="s">
        <v>5250</v>
      </c>
      <c r="E16" s="1214" t="s">
        <v>5251</v>
      </c>
      <c r="F16" s="1208" t="s">
        <v>5252</v>
      </c>
      <c r="H16" s="1215" t="s">
        <v>5253</v>
      </c>
    </row>
    <row r="17" spans="3:7" s="1201" customFormat="1" ht="9.75" customHeight="1"/>
    <row r="18" spans="3:7" s="1201" customFormat="1">
      <c r="C18" s="1201" t="s">
        <v>5254</v>
      </c>
      <c r="E18" s="1216"/>
      <c r="F18" s="1208" t="s">
        <v>5255</v>
      </c>
      <c r="G18" s="1208"/>
    </row>
  </sheetData>
  <hyperlinks>
    <hyperlink ref="E3" r:id="rId1"/>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FF00"/>
  </sheetPr>
  <dimension ref="A1:P18"/>
  <sheetViews>
    <sheetView workbookViewId="0">
      <selection activeCell="H10" sqref="H10"/>
    </sheetView>
  </sheetViews>
  <sheetFormatPr defaultRowHeight="14.25"/>
  <cols>
    <col min="1" max="1" width="1.6640625" style="1485" customWidth="1"/>
    <col min="2" max="2" width="1.1640625" style="1485" customWidth="1"/>
    <col min="3" max="3" width="46.1640625" style="1485" customWidth="1"/>
    <col min="4" max="4" width="29" style="1485" customWidth="1"/>
    <col min="5" max="5" width="0.1640625" style="1485" customWidth="1"/>
    <col min="6" max="6" width="8.1640625" style="1485" customWidth="1"/>
    <col min="7" max="7" width="14.6640625" style="1485" customWidth="1"/>
    <col min="8" max="8" width="25" style="1485" customWidth="1"/>
    <col min="9" max="9" width="4.33203125" style="1485" customWidth="1"/>
    <col min="10" max="10" width="14.6640625" style="1485" customWidth="1"/>
    <col min="11" max="11" width="25" style="1485" customWidth="1"/>
    <col min="12" max="12" width="4.33203125" style="1485" customWidth="1"/>
    <col min="13" max="13" width="14.6640625" style="1485" customWidth="1"/>
    <col min="14" max="14" width="25" style="1485" customWidth="1"/>
    <col min="15" max="15" width="4.33203125" style="1485" customWidth="1"/>
    <col min="16" max="16" width="14.6640625" style="1485" customWidth="1"/>
    <col min="17" max="17" width="25" style="1485" customWidth="1"/>
    <col min="18" max="35" width="14.6640625" style="1485" customWidth="1"/>
    <col min="36" max="16384" width="9.33203125" style="1485"/>
  </cols>
  <sheetData>
    <row r="1" spans="1:16" s="1500" customFormat="1">
      <c r="A1" s="1501"/>
    </row>
    <row r="2" spans="1:16" s="1197" customFormat="1">
      <c r="C2" s="1198"/>
      <c r="D2" s="1198"/>
      <c r="E2" s="1198"/>
      <c r="F2" s="1198"/>
      <c r="G2" s="1198"/>
      <c r="I2" s="1198"/>
      <c r="J2" s="1198"/>
      <c r="K2" s="1198"/>
      <c r="L2" s="1198"/>
      <c r="M2" s="1198"/>
      <c r="N2" s="1198"/>
      <c r="O2" s="1198"/>
    </row>
    <row r="3" spans="1:16" s="1197" customFormat="1">
      <c r="C3" s="1197" t="s">
        <v>5240</v>
      </c>
      <c r="D3" s="1199" t="s">
        <v>5127</v>
      </c>
      <c r="F3" s="1199"/>
      <c r="G3" s="1200"/>
      <c r="I3" s="1200"/>
      <c r="J3" s="1200"/>
      <c r="K3" s="1200"/>
      <c r="L3" s="1200"/>
      <c r="M3" s="1200"/>
      <c r="N3" s="1200"/>
      <c r="O3" s="1200"/>
    </row>
    <row r="4" spans="1:16" s="1492" customFormat="1"/>
    <row r="5" spans="1:16" s="1489" customFormat="1">
      <c r="A5" s="1491"/>
      <c r="C5" s="1489" t="s">
        <v>5126</v>
      </c>
      <c r="G5" s="1490"/>
      <c r="H5" s="1490"/>
      <c r="I5" s="1490"/>
      <c r="J5" s="1490"/>
      <c r="K5" s="1490"/>
      <c r="L5" s="1490"/>
      <c r="M5" s="1490"/>
      <c r="N5" s="1490"/>
      <c r="O5" s="1490"/>
      <c r="P5" s="1490"/>
    </row>
    <row r="6" spans="1:16" s="1492" customFormat="1"/>
    <row r="7" spans="1:16" s="1492" customFormat="1">
      <c r="C7" s="1499" t="s">
        <v>5241</v>
      </c>
      <c r="D7" s="1499"/>
      <c r="E7" s="1499"/>
      <c r="F7" s="1499"/>
      <c r="K7" s="1498" t="s">
        <v>5242</v>
      </c>
    </row>
    <row r="8" spans="1:16" s="1492" customFormat="1">
      <c r="C8" s="1497"/>
      <c r="D8" s="1493" t="s">
        <v>5243</v>
      </c>
      <c r="K8" s="1496"/>
      <c r="L8" s="1493" t="s">
        <v>5123</v>
      </c>
    </row>
    <row r="9" spans="1:16" s="1492" customFormat="1">
      <c r="C9" s="1495"/>
      <c r="D9" s="1493" t="s">
        <v>5244</v>
      </c>
    </row>
    <row r="10" spans="1:16" s="1492" customFormat="1">
      <c r="C10" s="1494"/>
      <c r="D10" s="1493" t="s">
        <v>5245</v>
      </c>
    </row>
    <row r="11" spans="1:16" s="1492" customFormat="1"/>
    <row r="12" spans="1:16" s="1489" customFormat="1">
      <c r="A12" s="1491"/>
      <c r="C12" s="1489" t="s">
        <v>5650</v>
      </c>
      <c r="G12" s="1490"/>
      <c r="H12" s="1490"/>
      <c r="I12" s="1490"/>
      <c r="J12" s="1490"/>
      <c r="K12" s="1490"/>
      <c r="L12" s="1490"/>
      <c r="M12" s="1490"/>
      <c r="N12" s="1490"/>
      <c r="O12" s="1490"/>
      <c r="P12" s="1490"/>
    </row>
    <row r="14" spans="1:16">
      <c r="C14" s="1485" t="s">
        <v>5649</v>
      </c>
      <c r="D14" s="1488" t="b">
        <v>1</v>
      </c>
      <c r="E14" s="1485" t="s">
        <v>5648</v>
      </c>
    </row>
    <row r="16" spans="1:16">
      <c r="C16" s="1485" t="s">
        <v>5647</v>
      </c>
      <c r="D16" s="1486"/>
      <c r="E16" s="1485" t="s">
        <v>5646</v>
      </c>
    </row>
    <row r="17" spans="3:5">
      <c r="D17" s="1487"/>
    </row>
    <row r="18" spans="3:5">
      <c r="C18" s="1485" t="s">
        <v>5645</v>
      </c>
      <c r="D18" s="1486"/>
      <c r="E18" s="1485" t="s">
        <v>5644</v>
      </c>
    </row>
  </sheetData>
  <dataValidations count="1">
    <dataValidation type="list" allowBlank="1" showInputMessage="1" showErrorMessage="1" sqref="D14">
      <formula1>"TRUE, FALSE"</formula1>
    </dataValidation>
  </dataValidations>
  <hyperlinks>
    <hyperlink ref="D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0]!ImportExportCSV_tlObalNamer">
                <anchor moveWithCells="1" sizeWithCells="1">
                  <from>
                    <xdr:col>3</xdr:col>
                    <xdr:colOff>0</xdr:colOff>
                    <xdr:row>19</xdr:row>
                    <xdr:rowOff>19050</xdr:rowOff>
                  </from>
                  <to>
                    <xdr:col>3</xdr:col>
                    <xdr:colOff>1638300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B1500"/>
  <sheetViews>
    <sheetView topLeftCell="A496" workbookViewId="0">
      <selection activeCell="E505" sqref="E505"/>
    </sheetView>
  </sheetViews>
  <sheetFormatPr defaultRowHeight="14.25"/>
  <cols>
    <col min="1" max="1" width="42.6640625" style="1485" customWidth="1"/>
    <col min="2" max="2" width="21.5" style="1485" customWidth="1"/>
    <col min="3" max="16384" width="9.33203125" style="1485"/>
  </cols>
  <sheetData>
    <row r="1" spans="1:2">
      <c r="A1" t="s">
        <v>6316</v>
      </c>
      <c r="B1">
        <v>2</v>
      </c>
    </row>
    <row r="2" spans="1:2">
      <c r="A2" t="s">
        <v>5743</v>
      </c>
      <c r="B2">
        <v>36818826.176124021</v>
      </c>
    </row>
    <row r="3" spans="1:2">
      <c r="A3" t="s">
        <v>5744</v>
      </c>
      <c r="B3">
        <v>48600521.605287351</v>
      </c>
    </row>
    <row r="4" spans="1:2">
      <c r="A4" t="s">
        <v>5745</v>
      </c>
      <c r="B4">
        <v>74272974.953778863</v>
      </c>
    </row>
    <row r="5" spans="1:2">
      <c r="A5" t="s">
        <v>5746</v>
      </c>
      <c r="B5">
        <v>74272974.953778863</v>
      </c>
    </row>
    <row r="6" spans="1:2">
      <c r="A6" t="s">
        <v>5747</v>
      </c>
      <c r="B6">
        <v>70575508.038221121</v>
      </c>
    </row>
    <row r="7" spans="1:2">
      <c r="A7" t="s">
        <v>5748</v>
      </c>
      <c r="B7">
        <v>230267830.77341136</v>
      </c>
    </row>
    <row r="8" spans="1:2">
      <c r="A8" t="s">
        <v>5749</v>
      </c>
      <c r="B8">
        <v>29107878.943431728</v>
      </c>
    </row>
    <row r="9" spans="1:2">
      <c r="A9" t="s">
        <v>5750</v>
      </c>
      <c r="B9">
        <v>137651886.67518741</v>
      </c>
    </row>
    <row r="10" spans="1:2">
      <c r="A10" t="s">
        <v>5751</v>
      </c>
      <c r="B10">
        <v>0</v>
      </c>
    </row>
    <row r="11" spans="1:2">
      <c r="A11" t="s">
        <v>5752</v>
      </c>
      <c r="B11">
        <v>14464321.654698594</v>
      </c>
    </row>
    <row r="12" spans="1:2">
      <c r="A12" t="s">
        <v>5753</v>
      </c>
      <c r="B12">
        <v>28928643.309397183</v>
      </c>
    </row>
    <row r="13" spans="1:2">
      <c r="A13" t="s">
        <v>5754</v>
      </c>
      <c r="B13">
        <v>15249117.670937739</v>
      </c>
    </row>
    <row r="14" spans="1:2">
      <c r="A14" t="s">
        <v>5755</v>
      </c>
      <c r="B14">
        <v>27768689.287789788</v>
      </c>
    </row>
    <row r="15" spans="1:2">
      <c r="A15" t="s">
        <v>5756</v>
      </c>
      <c r="B15">
        <v>-22902706.768031094</v>
      </c>
    </row>
    <row r="16" spans="1:2">
      <c r="A16" t="s">
        <v>5757</v>
      </c>
      <c r="B16">
        <v>200512505.05278993</v>
      </c>
    </row>
    <row r="17" spans="1:2">
      <c r="A17" t="s">
        <v>5758</v>
      </c>
      <c r="B17">
        <v>117600000</v>
      </c>
    </row>
    <row r="18" spans="1:2">
      <c r="A18" t="s">
        <v>5759</v>
      </c>
      <c r="B18">
        <v>200512505.05278993</v>
      </c>
    </row>
    <row r="19" spans="1:2">
      <c r="A19" t="s">
        <v>5760</v>
      </c>
      <c r="B19">
        <v>454954510</v>
      </c>
    </row>
    <row r="20" spans="1:2">
      <c r="A20" t="s">
        <v>5761</v>
      </c>
      <c r="B20">
        <v>-36001529.698513702</v>
      </c>
    </row>
    <row r="21" spans="1:2">
      <c r="A21" t="s">
        <v>5762</v>
      </c>
      <c r="B21">
        <v>-0.17954755335102615</v>
      </c>
    </row>
    <row r="22" spans="1:2">
      <c r="A22" t="s">
        <v>5763</v>
      </c>
      <c r="B22">
        <v>-0.17954755335102615</v>
      </c>
    </row>
    <row r="23" spans="1:2">
      <c r="A23" t="s">
        <v>5764</v>
      </c>
      <c r="B23">
        <v>0.69602779029650641</v>
      </c>
    </row>
    <row r="24" spans="1:2">
      <c r="A24" t="s">
        <v>5765</v>
      </c>
      <c r="B24">
        <v>2000.0000000000002</v>
      </c>
    </row>
    <row r="25" spans="1:2">
      <c r="A25" t="s">
        <v>5766</v>
      </c>
      <c r="B25">
        <v>0.64303124999999983</v>
      </c>
    </row>
    <row r="26" spans="1:2">
      <c r="A26" t="s">
        <v>5767</v>
      </c>
      <c r="B26">
        <v>338754510</v>
      </c>
    </row>
    <row r="27" spans="1:2">
      <c r="A27" t="s">
        <v>5768</v>
      </c>
      <c r="B27">
        <v>182502785</v>
      </c>
    </row>
    <row r="28" spans="1:2">
      <c r="A28" t="s">
        <v>5769</v>
      </c>
      <c r="B28">
        <v>109860025</v>
      </c>
    </row>
    <row r="29" spans="1:2">
      <c r="A29" t="s">
        <v>5770</v>
      </c>
      <c r="B29">
        <v>46391700</v>
      </c>
    </row>
    <row r="30" spans="1:2">
      <c r="A30" t="s">
        <v>5771</v>
      </c>
      <c r="B30">
        <v>340</v>
      </c>
    </row>
    <row r="31" spans="1:2">
      <c r="A31" t="s">
        <v>5772</v>
      </c>
      <c r="B31">
        <v>0</v>
      </c>
    </row>
    <row r="32" spans="1:2">
      <c r="A32" t="s">
        <v>5773</v>
      </c>
      <c r="B32">
        <v>204</v>
      </c>
    </row>
    <row r="33" spans="1:2">
      <c r="A33" t="s">
        <v>5774</v>
      </c>
      <c r="B33">
        <v>0</v>
      </c>
    </row>
    <row r="34" spans="1:2">
      <c r="A34" t="s">
        <v>5775</v>
      </c>
      <c r="B34">
        <v>136</v>
      </c>
    </row>
    <row r="35" spans="1:2">
      <c r="A35" t="s">
        <v>5776</v>
      </c>
      <c r="B35">
        <v>0</v>
      </c>
    </row>
    <row r="36" spans="1:2">
      <c r="A36" t="s">
        <v>5777</v>
      </c>
      <c r="B36">
        <v>20</v>
      </c>
    </row>
    <row r="37" spans="1:2">
      <c r="A37" t="s">
        <v>5778</v>
      </c>
      <c r="B37">
        <v>0</v>
      </c>
    </row>
    <row r="38" spans="1:2">
      <c r="A38" t="s">
        <v>5779</v>
      </c>
      <c r="B38">
        <v>0</v>
      </c>
    </row>
    <row r="39" spans="1:2">
      <c r="A39" t="s">
        <v>5780</v>
      </c>
      <c r="B39">
        <v>0</v>
      </c>
    </row>
    <row r="40" spans="1:2">
      <c r="A40" t="s">
        <v>5781</v>
      </c>
      <c r="B40">
        <v>26</v>
      </c>
    </row>
    <row r="41" spans="1:2">
      <c r="A41" t="s">
        <v>5782</v>
      </c>
      <c r="B41">
        <v>100</v>
      </c>
    </row>
    <row r="42" spans="1:2">
      <c r="A42" t="s">
        <v>5783</v>
      </c>
      <c r="B42">
        <v>826</v>
      </c>
    </row>
    <row r="43" spans="1:2">
      <c r="A43" t="s">
        <v>5784</v>
      </c>
      <c r="B43">
        <v>0</v>
      </c>
    </row>
    <row r="44" spans="1:2">
      <c r="A44" t="s">
        <v>5785</v>
      </c>
      <c r="B44"/>
    </row>
    <row r="45" spans="1:2">
      <c r="A45" t="s">
        <v>5786</v>
      </c>
      <c r="B45">
        <v>234</v>
      </c>
    </row>
    <row r="46" spans="1:2">
      <c r="A46" t="s">
        <v>5787</v>
      </c>
      <c r="B46">
        <v>9</v>
      </c>
    </row>
    <row r="47" spans="1:2">
      <c r="A47" t="s">
        <v>5788</v>
      </c>
      <c r="B47"/>
    </row>
    <row r="48" spans="1:2">
      <c r="A48" t="s">
        <v>5789</v>
      </c>
      <c r="B48">
        <v>365</v>
      </c>
    </row>
    <row r="49" spans="1:2">
      <c r="A49" t="s">
        <v>5790</v>
      </c>
      <c r="B49">
        <v>18</v>
      </c>
    </row>
    <row r="50" spans="1:2">
      <c r="A50" t="s">
        <v>5791</v>
      </c>
      <c r="B50"/>
    </row>
    <row r="51" spans="1:2">
      <c r="A51" t="s">
        <v>5792</v>
      </c>
      <c r="B51">
        <v>244</v>
      </c>
    </row>
    <row r="52" spans="1:2">
      <c r="A52" t="s">
        <v>5793</v>
      </c>
      <c r="B52">
        <v>18</v>
      </c>
    </row>
    <row r="53" spans="1:2">
      <c r="A53" t="s">
        <v>5794</v>
      </c>
      <c r="B53"/>
    </row>
    <row r="54" spans="1:2">
      <c r="A54" t="s">
        <v>5795</v>
      </c>
      <c r="B54">
        <v>78</v>
      </c>
    </row>
    <row r="55" spans="1:2">
      <c r="A55" t="s">
        <v>5796</v>
      </c>
      <c r="B55">
        <v>11</v>
      </c>
    </row>
    <row r="56" spans="1:2">
      <c r="A56" t="s">
        <v>5797</v>
      </c>
      <c r="B56">
        <v>61</v>
      </c>
    </row>
    <row r="57" spans="1:2">
      <c r="A57" t="s">
        <v>5798</v>
      </c>
      <c r="B57">
        <v>171</v>
      </c>
    </row>
    <row r="58" spans="1:2">
      <c r="A58" t="s">
        <v>5799</v>
      </c>
      <c r="B58">
        <v>328</v>
      </c>
    </row>
    <row r="59" spans="1:2">
      <c r="A59" t="s">
        <v>5800</v>
      </c>
      <c r="B59">
        <v>102</v>
      </c>
    </row>
    <row r="60" spans="1:2">
      <c r="A60" t="s">
        <v>5801</v>
      </c>
      <c r="B60">
        <v>1079</v>
      </c>
    </row>
    <row r="61" spans="1:2">
      <c r="A61" t="s">
        <v>5802</v>
      </c>
      <c r="B61">
        <v>0.31644779931599104</v>
      </c>
    </row>
    <row r="62" spans="1:2">
      <c r="A62" t="s">
        <v>5803</v>
      </c>
      <c r="B62">
        <v>0.33580246913580247</v>
      </c>
    </row>
    <row r="63" spans="1:2">
      <c r="A63" t="s">
        <v>5804</v>
      </c>
      <c r="B63">
        <v>0.53424657534246578</v>
      </c>
    </row>
    <row r="64" spans="1:2">
      <c r="A64" t="s">
        <v>5805</v>
      </c>
      <c r="B64">
        <v>0.32111111111111112</v>
      </c>
    </row>
    <row r="65" spans="1:2">
      <c r="A65" t="s">
        <v>5806</v>
      </c>
      <c r="B65">
        <v>0.54145901639344263</v>
      </c>
    </row>
    <row r="66" spans="1:2">
      <c r="A66" t="s">
        <v>5807</v>
      </c>
      <c r="B66">
        <v>0.23499999999999999</v>
      </c>
    </row>
    <row r="67" spans="1:2">
      <c r="A67" t="s">
        <v>5808</v>
      </c>
      <c r="B67">
        <v>0.46076923076923076</v>
      </c>
    </row>
    <row r="68" spans="1:2">
      <c r="A68" t="s">
        <v>5809</v>
      </c>
      <c r="B68">
        <v>0.21727272727272728</v>
      </c>
    </row>
    <row r="69" spans="1:2">
      <c r="A69" t="s">
        <v>5810</v>
      </c>
      <c r="B69">
        <v>0.50244539232091079</v>
      </c>
    </row>
    <row r="70" spans="1:2">
      <c r="A70" t="s">
        <v>5811</v>
      </c>
      <c r="B70">
        <v>0.72606557377049186</v>
      </c>
    </row>
    <row r="71" spans="1:2">
      <c r="A71" t="s">
        <v>5812</v>
      </c>
      <c r="B71">
        <v>0.82228070175438595</v>
      </c>
    </row>
    <row r="72" spans="1:2">
      <c r="A72" t="s">
        <v>5813</v>
      </c>
      <c r="B72">
        <v>0.57926829268292679</v>
      </c>
    </row>
    <row r="73" spans="1:2">
      <c r="A73" t="s">
        <v>5814</v>
      </c>
      <c r="B73">
        <v>0.31644779931599104</v>
      </c>
    </row>
    <row r="74" spans="1:2">
      <c r="A74" t="s">
        <v>5815</v>
      </c>
      <c r="B74">
        <v>0.33580246913580247</v>
      </c>
    </row>
    <row r="75" spans="1:2">
      <c r="A75" t="s">
        <v>5816</v>
      </c>
      <c r="B75">
        <v>0.53424657534246578</v>
      </c>
    </row>
    <row r="76" spans="1:2">
      <c r="A76" t="s">
        <v>5817</v>
      </c>
      <c r="B76">
        <v>0.32111111111111112</v>
      </c>
    </row>
    <row r="77" spans="1:2">
      <c r="A77" t="s">
        <v>5818</v>
      </c>
      <c r="B77">
        <v>0.54145901639344263</v>
      </c>
    </row>
    <row r="78" spans="1:2">
      <c r="A78" t="s">
        <v>5819</v>
      </c>
      <c r="B78">
        <v>0.23499999999999996</v>
      </c>
    </row>
    <row r="79" spans="1:2">
      <c r="A79" t="s">
        <v>5820</v>
      </c>
      <c r="B79">
        <v>0.46076923076923071</v>
      </c>
    </row>
    <row r="80" spans="1:2">
      <c r="A80" t="s">
        <v>5821</v>
      </c>
      <c r="B80">
        <v>0.21727272727272728</v>
      </c>
    </row>
    <row r="81" spans="1:2">
      <c r="A81" t="s">
        <v>5822</v>
      </c>
      <c r="B81">
        <v>0.50244539232091079</v>
      </c>
    </row>
    <row r="82" spans="1:2">
      <c r="A82" t="s">
        <v>5823</v>
      </c>
      <c r="B82">
        <v>0.58619505094614266</v>
      </c>
    </row>
    <row r="83" spans="1:2">
      <c r="A83" t="s">
        <v>5824</v>
      </c>
      <c r="B83">
        <v>0.31644779931599104</v>
      </c>
    </row>
    <row r="84" spans="1:2">
      <c r="A84" t="s">
        <v>5825</v>
      </c>
      <c r="B84">
        <v>0.26382978723404255</v>
      </c>
    </row>
    <row r="85" spans="1:2">
      <c r="A85" t="s">
        <v>5826</v>
      </c>
      <c r="B85">
        <v>0.33580246913580247</v>
      </c>
    </row>
    <row r="86" spans="1:2">
      <c r="A86" t="s">
        <v>5827</v>
      </c>
      <c r="B86">
        <v>40000</v>
      </c>
    </row>
    <row r="87" spans="1:2">
      <c r="A87" t="s">
        <v>5828</v>
      </c>
      <c r="B87">
        <v>103000</v>
      </c>
    </row>
    <row r="88" spans="1:2">
      <c r="A88" t="s">
        <v>5829</v>
      </c>
      <c r="B88">
        <v>154500</v>
      </c>
    </row>
    <row r="89" spans="1:2">
      <c r="A89" t="s">
        <v>5830</v>
      </c>
      <c r="B89">
        <v>309000</v>
      </c>
    </row>
    <row r="90" spans="1:2">
      <c r="A90" t="s">
        <v>5831</v>
      </c>
      <c r="B90">
        <v>9</v>
      </c>
    </row>
    <row r="91" spans="1:2">
      <c r="A91" t="s">
        <v>5832</v>
      </c>
      <c r="B91">
        <v>3</v>
      </c>
    </row>
    <row r="92" spans="1:2">
      <c r="A92" t="s">
        <v>5833</v>
      </c>
      <c r="B92">
        <v>5</v>
      </c>
    </row>
    <row r="93" spans="1:2">
      <c r="A93" t="s">
        <v>5834</v>
      </c>
      <c r="B93">
        <v>1</v>
      </c>
    </row>
    <row r="94" spans="1:2">
      <c r="A94" t="s">
        <v>5835</v>
      </c>
      <c r="B94">
        <v>3</v>
      </c>
    </row>
    <row r="95" spans="1:2">
      <c r="A95" t="s">
        <v>5836</v>
      </c>
      <c r="B95">
        <v>1</v>
      </c>
    </row>
    <row r="96" spans="1:2">
      <c r="A96" t="s">
        <v>5837</v>
      </c>
      <c r="B96">
        <v>1</v>
      </c>
    </row>
    <row r="97" spans="1:2">
      <c r="A97" t="s">
        <v>5838</v>
      </c>
      <c r="B97">
        <v>1</v>
      </c>
    </row>
    <row r="98" spans="1:2">
      <c r="A98" t="s">
        <v>5839</v>
      </c>
      <c r="B98">
        <v>120</v>
      </c>
    </row>
    <row r="99" spans="1:2">
      <c r="A99" t="s">
        <v>5840</v>
      </c>
      <c r="B99">
        <v>120</v>
      </c>
    </row>
    <row r="100" spans="1:2">
      <c r="A100" t="s">
        <v>5841</v>
      </c>
      <c r="B100">
        <v>120</v>
      </c>
    </row>
    <row r="101" spans="1:2">
      <c r="A101" t="s">
        <v>5842</v>
      </c>
      <c r="B101">
        <v>80</v>
      </c>
    </row>
    <row r="102" spans="1:2">
      <c r="A102" t="s">
        <v>5843</v>
      </c>
      <c r="B102">
        <v>120</v>
      </c>
    </row>
    <row r="103" spans="1:2">
      <c r="A103" t="s">
        <v>5844</v>
      </c>
      <c r="B103">
        <v>560</v>
      </c>
    </row>
    <row r="104" spans="1:2">
      <c r="A104" t="s">
        <v>5845</v>
      </c>
      <c r="B104">
        <v>80</v>
      </c>
    </row>
    <row r="105" spans="1:2">
      <c r="A105" t="s">
        <v>5846</v>
      </c>
      <c r="B105">
        <v>120</v>
      </c>
    </row>
    <row r="106" spans="1:2">
      <c r="A106" t="s">
        <v>5847</v>
      </c>
      <c r="B106">
        <v>120</v>
      </c>
    </row>
    <row r="107" spans="1:2">
      <c r="A107" t="s">
        <v>5848</v>
      </c>
      <c r="B107">
        <v>80</v>
      </c>
    </row>
    <row r="108" spans="1:2">
      <c r="A108" t="s">
        <v>5849</v>
      </c>
      <c r="B108">
        <v>120</v>
      </c>
    </row>
    <row r="109" spans="1:2">
      <c r="A109" t="s">
        <v>5850</v>
      </c>
      <c r="B109">
        <v>520</v>
      </c>
    </row>
    <row r="110" spans="1:2">
      <c r="A110" t="s">
        <v>5851</v>
      </c>
      <c r="B110">
        <v>0</v>
      </c>
    </row>
    <row r="111" spans="1:2">
      <c r="A111" t="s">
        <v>5852</v>
      </c>
      <c r="B111">
        <v>0</v>
      </c>
    </row>
    <row r="112" spans="1:2">
      <c r="A112" t="s">
        <v>5853</v>
      </c>
      <c r="B112">
        <v>0</v>
      </c>
    </row>
    <row r="113" spans="1:2">
      <c r="A113" t="s">
        <v>5854</v>
      </c>
      <c r="B113">
        <v>0</v>
      </c>
    </row>
    <row r="114" spans="1:2">
      <c r="A114" t="s">
        <v>5855</v>
      </c>
      <c r="B114">
        <v>0</v>
      </c>
    </row>
    <row r="115" spans="1:2">
      <c r="A115" t="s">
        <v>5856</v>
      </c>
      <c r="B115">
        <v>0</v>
      </c>
    </row>
    <row r="116" spans="1:2">
      <c r="A116" t="s">
        <v>5857</v>
      </c>
      <c r="B116">
        <v>0</v>
      </c>
    </row>
    <row r="117" spans="1:2">
      <c r="A117" t="s">
        <v>5858</v>
      </c>
      <c r="B117">
        <v>1000</v>
      </c>
    </row>
    <row r="118" spans="1:2">
      <c r="A118" t="s">
        <v>5859</v>
      </c>
      <c r="B118">
        <v>4250</v>
      </c>
    </row>
    <row r="119" spans="1:2">
      <c r="A119" t="s">
        <v>5860</v>
      </c>
      <c r="B119">
        <v>4250</v>
      </c>
    </row>
    <row r="120" spans="1:2">
      <c r="A120" t="s">
        <v>5861</v>
      </c>
      <c r="B120">
        <v>4250</v>
      </c>
    </row>
    <row r="121" spans="1:2">
      <c r="A121" t="s">
        <v>5862</v>
      </c>
      <c r="B121">
        <v>1500</v>
      </c>
    </row>
    <row r="122" spans="1:2">
      <c r="A122" t="s">
        <v>5863</v>
      </c>
      <c r="B122">
        <v>480</v>
      </c>
    </row>
    <row r="123" spans="1:2">
      <c r="A123" t="s">
        <v>5864</v>
      </c>
      <c r="B123">
        <v>480</v>
      </c>
    </row>
    <row r="124" spans="1:2">
      <c r="A124" t="s">
        <v>5865</v>
      </c>
      <c r="B124">
        <v>480</v>
      </c>
    </row>
    <row r="125" spans="1:2">
      <c r="A125" t="s">
        <v>5866</v>
      </c>
      <c r="B125">
        <v>320</v>
      </c>
    </row>
    <row r="126" spans="1:2">
      <c r="A126" t="s">
        <v>5867</v>
      </c>
      <c r="B126">
        <v>480</v>
      </c>
    </row>
    <row r="127" spans="1:2">
      <c r="A127" t="s">
        <v>5868</v>
      </c>
      <c r="B127">
        <v>5</v>
      </c>
    </row>
    <row r="128" spans="1:2">
      <c r="A128" t="s">
        <v>5869</v>
      </c>
      <c r="B128">
        <v>10000000</v>
      </c>
    </row>
    <row r="129" spans="1:2">
      <c r="A129" t="s">
        <v>5766</v>
      </c>
      <c r="B129">
        <v>0.64303124999999983</v>
      </c>
    </row>
    <row r="130" spans="1:2">
      <c r="A130" t="s">
        <v>5870</v>
      </c>
      <c r="B130">
        <v>4</v>
      </c>
    </row>
    <row r="131" spans="1:2">
      <c r="A131" t="s">
        <v>5871</v>
      </c>
      <c r="B131">
        <v>7</v>
      </c>
    </row>
    <row r="132" spans="1:2">
      <c r="A132" t="s">
        <v>5872</v>
      </c>
      <c r="B132">
        <v>4</v>
      </c>
    </row>
    <row r="133" spans="1:2">
      <c r="A133" t="s">
        <v>5873</v>
      </c>
      <c r="B133">
        <v>4</v>
      </c>
    </row>
    <row r="134" spans="1:2">
      <c r="A134" t="s">
        <v>5874</v>
      </c>
      <c r="B134">
        <v>2</v>
      </c>
    </row>
    <row r="135" spans="1:2">
      <c r="A135" t="s">
        <v>5875</v>
      </c>
      <c r="B135">
        <v>0</v>
      </c>
    </row>
    <row r="136" spans="1:2">
      <c r="A136" t="s">
        <v>5876</v>
      </c>
      <c r="B136">
        <v>2</v>
      </c>
    </row>
    <row r="137" spans="1:2">
      <c r="A137" t="s">
        <v>5877</v>
      </c>
      <c r="B137">
        <v>2</v>
      </c>
    </row>
    <row r="138" spans="1:2">
      <c r="A138" t="s">
        <v>5878</v>
      </c>
      <c r="B138">
        <v>6</v>
      </c>
    </row>
    <row r="139" spans="1:2">
      <c r="A139" t="s">
        <v>5879</v>
      </c>
      <c r="B139">
        <v>2</v>
      </c>
    </row>
    <row r="140" spans="1:2">
      <c r="A140" t="s">
        <v>5880</v>
      </c>
      <c r="B140">
        <v>2</v>
      </c>
    </row>
    <row r="141" spans="1:2">
      <c r="A141" t="s">
        <v>5881</v>
      </c>
      <c r="B141">
        <v>24</v>
      </c>
    </row>
    <row r="142" spans="1:2">
      <c r="A142" t="s">
        <v>5882</v>
      </c>
      <c r="B142">
        <v>10</v>
      </c>
    </row>
    <row r="143" spans="1:2">
      <c r="A143" t="s">
        <v>5883</v>
      </c>
      <c r="B143">
        <v>4</v>
      </c>
    </row>
    <row r="144" spans="1:2">
      <c r="A144" t="s">
        <v>5884</v>
      </c>
      <c r="B144">
        <v>10</v>
      </c>
    </row>
    <row r="145" spans="1:2">
      <c r="A145" t="s">
        <v>5885</v>
      </c>
      <c r="B145">
        <v>10</v>
      </c>
    </row>
    <row r="146" spans="1:2">
      <c r="A146" t="s">
        <v>5886</v>
      </c>
      <c r="B146">
        <v>8</v>
      </c>
    </row>
    <row r="147" spans="1:2">
      <c r="A147" t="s">
        <v>5887</v>
      </c>
      <c r="B147">
        <v>6</v>
      </c>
    </row>
    <row r="148" spans="1:2">
      <c r="A148" t="s">
        <v>5888</v>
      </c>
      <c r="B148">
        <v>0.14448945294954241</v>
      </c>
    </row>
    <row r="149" spans="1:2">
      <c r="A149" t="s">
        <v>5889</v>
      </c>
      <c r="B149">
        <v>0.2</v>
      </c>
    </row>
    <row r="150" spans="1:2">
      <c r="A150" t="s">
        <v>5890</v>
      </c>
      <c r="B150">
        <v>0.2</v>
      </c>
    </row>
    <row r="151" spans="1:2">
      <c r="A151" t="s">
        <v>5891</v>
      </c>
      <c r="B151">
        <v>0.2</v>
      </c>
    </row>
    <row r="152" spans="1:2">
      <c r="A152" t="s">
        <v>5892</v>
      </c>
      <c r="B152">
        <v>710207</v>
      </c>
    </row>
    <row r="153" spans="1:2">
      <c r="A153" t="s">
        <v>5893</v>
      </c>
      <c r="B153">
        <v>399491</v>
      </c>
    </row>
    <row r="154" spans="1:2">
      <c r="A154" t="s">
        <v>5894</v>
      </c>
      <c r="B154">
        <v>157260</v>
      </c>
    </row>
    <row r="155" spans="1:2">
      <c r="A155" t="s">
        <v>5895</v>
      </c>
      <c r="B155">
        <v>255</v>
      </c>
    </row>
    <row r="156" spans="1:2">
      <c r="A156" t="s">
        <v>5896</v>
      </c>
      <c r="B156">
        <v>275</v>
      </c>
    </row>
    <row r="157" spans="1:2">
      <c r="A157" t="s">
        <v>5897</v>
      </c>
      <c r="B157">
        <v>295</v>
      </c>
    </row>
    <row r="158" spans="1:2">
      <c r="A158" t="s">
        <v>5898</v>
      </c>
      <c r="B158">
        <v>2000000</v>
      </c>
    </row>
    <row r="159" spans="1:2">
      <c r="A159" t="s">
        <v>5899</v>
      </c>
      <c r="B159">
        <v>825000</v>
      </c>
    </row>
    <row r="160" spans="1:2">
      <c r="A160" t="s">
        <v>5900</v>
      </c>
      <c r="B160">
        <v>115165477.40000001</v>
      </c>
    </row>
    <row r="161" spans="1:2">
      <c r="A161" t="s">
        <v>5901</v>
      </c>
      <c r="B161">
        <v>62659656.380000003</v>
      </c>
    </row>
    <row r="162" spans="1:2">
      <c r="A162" t="s">
        <v>5902</v>
      </c>
      <c r="B162">
        <v>22687371.280000001</v>
      </c>
    </row>
    <row r="163" spans="1:2">
      <c r="A163" t="s">
        <v>5903</v>
      </c>
      <c r="B163">
        <v>0</v>
      </c>
    </row>
    <row r="164" spans="1:2">
      <c r="A164" t="s">
        <v>5904</v>
      </c>
      <c r="B164">
        <v>0</v>
      </c>
    </row>
    <row r="165" spans="1:2">
      <c r="A165" t="s">
        <v>5905</v>
      </c>
      <c r="B165">
        <v>0</v>
      </c>
    </row>
    <row r="166" spans="1:2">
      <c r="A166" t="s">
        <v>5906</v>
      </c>
      <c r="B166">
        <v>0</v>
      </c>
    </row>
    <row r="167" spans="1:2">
      <c r="A167" t="s">
        <v>5907</v>
      </c>
      <c r="B167">
        <v>0</v>
      </c>
    </row>
    <row r="168" spans="1:2">
      <c r="A168" t="s">
        <v>5908</v>
      </c>
      <c r="B168">
        <v>0</v>
      </c>
    </row>
    <row r="169" spans="1:2">
      <c r="A169" t="s">
        <v>5909</v>
      </c>
      <c r="B169">
        <v>200512505.05000001</v>
      </c>
    </row>
    <row r="170" spans="1:2">
      <c r="A170" t="s">
        <v>5910</v>
      </c>
      <c r="B170">
        <v>-0.13070969816471451</v>
      </c>
    </row>
    <row r="171" spans="1:2">
      <c r="A171" t="s">
        <v>5911</v>
      </c>
      <c r="B171">
        <v>-0.18202254386020991</v>
      </c>
    </row>
    <row r="172" spans="1:2">
      <c r="A172" t="s">
        <v>5912</v>
      </c>
      <c r="B172">
        <v>-0.42062232509328745</v>
      </c>
    </row>
    <row r="173" spans="1:2">
      <c r="A173" t="s">
        <v>5913</v>
      </c>
      <c r="B173">
        <v>0</v>
      </c>
    </row>
    <row r="174" spans="1:2">
      <c r="A174" t="s">
        <v>5914</v>
      </c>
      <c r="B174">
        <v>0</v>
      </c>
    </row>
    <row r="175" spans="1:2">
      <c r="A175" t="s">
        <v>5915</v>
      </c>
      <c r="B175">
        <v>0</v>
      </c>
    </row>
    <row r="176" spans="1:2">
      <c r="A176" t="s">
        <v>5916</v>
      </c>
      <c r="B176">
        <v>-0.11422084005185305</v>
      </c>
    </row>
    <row r="177" spans="1:2">
      <c r="A177" t="s">
        <v>5917</v>
      </c>
      <c r="B177">
        <v>1</v>
      </c>
    </row>
    <row r="178" spans="1:2">
      <c r="A178" t="s">
        <v>5918</v>
      </c>
      <c r="B178">
        <v>0</v>
      </c>
    </row>
    <row r="179" spans="1:2">
      <c r="A179" t="s">
        <v>5919</v>
      </c>
      <c r="B179">
        <v>0</v>
      </c>
    </row>
    <row r="180" spans="1:2">
      <c r="A180" t="s">
        <v>5920</v>
      </c>
      <c r="B180">
        <v>0</v>
      </c>
    </row>
    <row r="181" spans="1:2">
      <c r="A181" t="s">
        <v>5921</v>
      </c>
      <c r="B181">
        <v>0</v>
      </c>
    </row>
    <row r="182" spans="1:2">
      <c r="A182" t="s">
        <v>5922</v>
      </c>
      <c r="B182">
        <v>0</v>
      </c>
    </row>
    <row r="183" spans="1:2">
      <c r="A183" t="s">
        <v>5923</v>
      </c>
      <c r="B183">
        <v>0</v>
      </c>
    </row>
    <row r="184" spans="1:2">
      <c r="A184" t="s">
        <v>5924</v>
      </c>
      <c r="B184">
        <v>0</v>
      </c>
    </row>
    <row r="185" spans="1:2">
      <c r="A185" t="s">
        <v>5925</v>
      </c>
      <c r="B185">
        <v>0</v>
      </c>
    </row>
    <row r="186" spans="1:2">
      <c r="A186" t="s">
        <v>5926</v>
      </c>
      <c r="B186">
        <v>0</v>
      </c>
    </row>
    <row r="187" spans="1:2">
      <c r="A187" t="s">
        <v>5927</v>
      </c>
      <c r="B187">
        <v>0</v>
      </c>
    </row>
    <row r="188" spans="1:2">
      <c r="A188" t="s">
        <v>5928</v>
      </c>
      <c r="B188">
        <v>0</v>
      </c>
    </row>
    <row r="189" spans="1:2">
      <c r="A189" t="s">
        <v>5929</v>
      </c>
      <c r="B189">
        <v>0</v>
      </c>
    </row>
    <row r="190" spans="1:2">
      <c r="A190" t="s">
        <v>5930</v>
      </c>
      <c r="B190">
        <v>0</v>
      </c>
    </row>
    <row r="191" spans="1:2">
      <c r="A191" t="s">
        <v>5931</v>
      </c>
      <c r="B191">
        <v>0</v>
      </c>
    </row>
    <row r="192" spans="1:2">
      <c r="A192" t="s">
        <v>5932</v>
      </c>
      <c r="B192">
        <v>0</v>
      </c>
    </row>
    <row r="193" spans="1:2">
      <c r="A193" t="s">
        <v>5933</v>
      </c>
      <c r="B193">
        <v>0</v>
      </c>
    </row>
    <row r="194" spans="1:2">
      <c r="A194" t="s">
        <v>5934</v>
      </c>
      <c r="B194">
        <v>0</v>
      </c>
    </row>
    <row r="195" spans="1:2">
      <c r="A195" t="s">
        <v>5935</v>
      </c>
      <c r="B195">
        <v>0</v>
      </c>
    </row>
    <row r="196" spans="1:2">
      <c r="A196" t="s">
        <v>5936</v>
      </c>
      <c r="B196">
        <v>0</v>
      </c>
    </row>
    <row r="197" spans="1:2">
      <c r="A197" t="s">
        <v>5937</v>
      </c>
      <c r="B197">
        <v>0</v>
      </c>
    </row>
    <row r="198" spans="1:2">
      <c r="A198" t="s">
        <v>5938</v>
      </c>
      <c r="B198">
        <v>0</v>
      </c>
    </row>
    <row r="199" spans="1:2">
      <c r="A199" t="s">
        <v>5939</v>
      </c>
      <c r="B199">
        <v>0</v>
      </c>
    </row>
    <row r="200" spans="1:2">
      <c r="A200" t="s">
        <v>5940</v>
      </c>
      <c r="B200">
        <v>0</v>
      </c>
    </row>
    <row r="201" spans="1:2">
      <c r="A201" t="s">
        <v>5941</v>
      </c>
      <c r="B201">
        <v>0</v>
      </c>
    </row>
    <row r="202" spans="1:2">
      <c r="A202" t="s">
        <v>5942</v>
      </c>
      <c r="B202">
        <v>0</v>
      </c>
    </row>
    <row r="203" spans="1:2">
      <c r="A203" t="s">
        <v>5943</v>
      </c>
      <c r="B203">
        <v>0</v>
      </c>
    </row>
    <row r="204" spans="1:2">
      <c r="A204" t="s">
        <v>5944</v>
      </c>
      <c r="B204">
        <v>0</v>
      </c>
    </row>
    <row r="205" spans="1:2">
      <c r="A205" t="s">
        <v>5945</v>
      </c>
      <c r="B205">
        <v>0</v>
      </c>
    </row>
    <row r="206" spans="1:2">
      <c r="A206" t="s">
        <v>5946</v>
      </c>
      <c r="B206">
        <v>0</v>
      </c>
    </row>
    <row r="207" spans="1:2">
      <c r="A207" t="s">
        <v>5947</v>
      </c>
      <c r="B207">
        <v>0</v>
      </c>
    </row>
    <row r="208" spans="1:2">
      <c r="A208" t="s">
        <v>5948</v>
      </c>
      <c r="B208">
        <v>0</v>
      </c>
    </row>
    <row r="209" spans="1:2">
      <c r="A209" t="s">
        <v>5949</v>
      </c>
      <c r="B209">
        <v>0</v>
      </c>
    </row>
    <row r="210" spans="1:2">
      <c r="A210" t="s">
        <v>5950</v>
      </c>
      <c r="B210">
        <v>0</v>
      </c>
    </row>
    <row r="211" spans="1:2">
      <c r="A211" t="s">
        <v>5951</v>
      </c>
      <c r="B211">
        <v>0</v>
      </c>
    </row>
    <row r="212" spans="1:2">
      <c r="A212" t="s">
        <v>5952</v>
      </c>
      <c r="B212">
        <v>0</v>
      </c>
    </row>
    <row r="213" spans="1:2">
      <c r="A213" t="s">
        <v>5953</v>
      </c>
      <c r="B213">
        <v>0</v>
      </c>
    </row>
    <row r="214" spans="1:2">
      <c r="A214" t="s">
        <v>5954</v>
      </c>
      <c r="B214">
        <v>0</v>
      </c>
    </row>
    <row r="215" spans="1:2">
      <c r="A215" t="s">
        <v>5955</v>
      </c>
      <c r="B215">
        <v>0</v>
      </c>
    </row>
    <row r="216" spans="1:2">
      <c r="A216" t="s">
        <v>5956</v>
      </c>
      <c r="B216">
        <v>0</v>
      </c>
    </row>
    <row r="217" spans="1:2">
      <c r="A217" t="s">
        <v>5957</v>
      </c>
      <c r="B217">
        <v>0</v>
      </c>
    </row>
    <row r="218" spans="1:2">
      <c r="A218" t="s">
        <v>5958</v>
      </c>
      <c r="B218">
        <v>0</v>
      </c>
    </row>
    <row r="219" spans="1:2">
      <c r="A219" t="s">
        <v>5959</v>
      </c>
      <c r="B219">
        <v>0</v>
      </c>
    </row>
    <row r="220" spans="1:2">
      <c r="A220" t="s">
        <v>5960</v>
      </c>
      <c r="B220">
        <v>0</v>
      </c>
    </row>
    <row r="221" spans="1:2">
      <c r="A221" t="s">
        <v>5961</v>
      </c>
      <c r="B221">
        <v>0</v>
      </c>
    </row>
    <row r="222" spans="1:2">
      <c r="A222" t="s">
        <v>5962</v>
      </c>
      <c r="B222">
        <v>0</v>
      </c>
    </row>
    <row r="223" spans="1:2">
      <c r="A223" t="s">
        <v>5963</v>
      </c>
      <c r="B223">
        <v>0</v>
      </c>
    </row>
    <row r="224" spans="1:2">
      <c r="A224" t="s">
        <v>5964</v>
      </c>
      <c r="B224">
        <v>0</v>
      </c>
    </row>
    <row r="225" spans="1:2">
      <c r="A225" t="s">
        <v>5965</v>
      </c>
      <c r="B225">
        <v>0</v>
      </c>
    </row>
    <row r="226" spans="1:2">
      <c r="A226" t="s">
        <v>5966</v>
      </c>
      <c r="B226">
        <v>0</v>
      </c>
    </row>
    <row r="227" spans="1:2">
      <c r="A227" t="s">
        <v>5967</v>
      </c>
      <c r="B227">
        <v>0</v>
      </c>
    </row>
    <row r="228" spans="1:2">
      <c r="A228" t="s">
        <v>5968</v>
      </c>
      <c r="B228">
        <v>0</v>
      </c>
    </row>
    <row r="229" spans="1:2">
      <c r="A229" t="s">
        <v>5969</v>
      </c>
      <c r="B229">
        <v>0</v>
      </c>
    </row>
    <row r="230" spans="1:2">
      <c r="A230" t="s">
        <v>5970</v>
      </c>
      <c r="B230">
        <v>0</v>
      </c>
    </row>
    <row r="231" spans="1:2">
      <c r="A231" t="s">
        <v>5971</v>
      </c>
      <c r="B231">
        <v>0</v>
      </c>
    </row>
    <row r="232" spans="1:2">
      <c r="A232" t="s">
        <v>5972</v>
      </c>
      <c r="B232">
        <v>325550542.68000001</v>
      </c>
    </row>
    <row r="233" spans="1:2">
      <c r="A233" t="s">
        <v>5973</v>
      </c>
      <c r="B233">
        <v>694548449.36000001</v>
      </c>
    </row>
    <row r="234" spans="1:2">
      <c r="A234" t="s">
        <v>5974</v>
      </c>
      <c r="B234">
        <v>178029821.24000001</v>
      </c>
    </row>
    <row r="235" spans="1:2">
      <c r="A235" t="s">
        <v>5975</v>
      </c>
      <c r="B235">
        <v>294342637.77999997</v>
      </c>
    </row>
    <row r="236" spans="1:2">
      <c r="A236" t="s">
        <v>5976</v>
      </c>
      <c r="B236">
        <v>467329337.07999998</v>
      </c>
    </row>
    <row r="237" spans="1:2">
      <c r="A237" t="s">
        <v>5977</v>
      </c>
      <c r="B237">
        <v>146220726.18000001</v>
      </c>
    </row>
    <row r="238" spans="1:2">
      <c r="A238" t="s">
        <v>5978</v>
      </c>
      <c r="B238">
        <v>304993883.14999998</v>
      </c>
    </row>
    <row r="239" spans="1:2">
      <c r="A239" t="s">
        <v>5979</v>
      </c>
      <c r="B239">
        <v>389441114.23000002</v>
      </c>
    </row>
    <row r="240" spans="1:2">
      <c r="A240" t="s">
        <v>5980</v>
      </c>
      <c r="B240">
        <v>106817892.73999999</v>
      </c>
    </row>
    <row r="241" spans="1:2">
      <c r="A241" t="s">
        <v>5981</v>
      </c>
      <c r="B241">
        <v>302189500.77999997</v>
      </c>
    </row>
    <row r="242" spans="1:2">
      <c r="A242" t="s">
        <v>5982</v>
      </c>
      <c r="B242">
        <v>467329337.07999998</v>
      </c>
    </row>
    <row r="243" spans="1:2">
      <c r="A243" t="s">
        <v>5983</v>
      </c>
      <c r="B243">
        <v>146220726.18000001</v>
      </c>
    </row>
    <row r="244" spans="1:2">
      <c r="A244" t="s">
        <v>5984</v>
      </c>
      <c r="B244">
        <v>304993883.14999998</v>
      </c>
    </row>
    <row r="245" spans="1:2">
      <c r="A245" t="s">
        <v>5985</v>
      </c>
      <c r="B245">
        <v>375840733.72000003</v>
      </c>
    </row>
    <row r="246" spans="1:2">
      <c r="A246" t="s">
        <v>5986</v>
      </c>
      <c r="B246">
        <v>219331089.27000001</v>
      </c>
    </row>
    <row r="247" spans="1:2">
      <c r="A247" t="s">
        <v>5987</v>
      </c>
      <c r="B247">
        <v>441513956.66000003</v>
      </c>
    </row>
    <row r="248" spans="1:2">
      <c r="A248" t="s">
        <v>5988</v>
      </c>
      <c r="B248">
        <v>389441114.23000002</v>
      </c>
    </row>
    <row r="249" spans="1:2">
      <c r="A249" t="s">
        <v>5989</v>
      </c>
      <c r="B249">
        <v>219331089.27000001</v>
      </c>
    </row>
    <row r="250" spans="1:2">
      <c r="A250" t="s">
        <v>5990</v>
      </c>
      <c r="B250">
        <v>151094750.38999999</v>
      </c>
    </row>
    <row r="251" spans="1:2">
      <c r="A251" t="s">
        <v>5991</v>
      </c>
      <c r="B251">
        <v>375840733.72000003</v>
      </c>
    </row>
    <row r="252" spans="1:2">
      <c r="A252" t="s">
        <v>5992</v>
      </c>
      <c r="B252">
        <v>106817892.73999999</v>
      </c>
    </row>
    <row r="253" spans="1:2">
      <c r="A253" t="s">
        <v>5993</v>
      </c>
      <c r="B253">
        <v>294342637.77999997</v>
      </c>
    </row>
    <row r="254" spans="1:2">
      <c r="A254" t="s">
        <v>5994</v>
      </c>
      <c r="B254">
        <v>385860249.64999998</v>
      </c>
    </row>
    <row r="255" spans="1:2">
      <c r="A255" t="s">
        <v>5995</v>
      </c>
      <c r="B255">
        <v>295155370.79000002</v>
      </c>
    </row>
    <row r="256" spans="1:2">
      <c r="A256" t="s">
        <v>5996</v>
      </c>
      <c r="B256">
        <v>367928297.22000003</v>
      </c>
    </row>
    <row r="257" spans="1:2">
      <c r="A257" t="s">
        <v>5997</v>
      </c>
      <c r="B257">
        <v>526177027.20999998</v>
      </c>
    </row>
    <row r="258" spans="1:2">
      <c r="A258" t="s">
        <v>5998</v>
      </c>
      <c r="B258">
        <v>284847713.98000002</v>
      </c>
    </row>
    <row r="259" spans="1:2">
      <c r="A259" t="s">
        <v>5999</v>
      </c>
      <c r="B259">
        <v>65110108.539999999</v>
      </c>
    </row>
    <row r="260" spans="1:2">
      <c r="A260" t="s">
        <v>6000</v>
      </c>
      <c r="B260">
        <v>0</v>
      </c>
    </row>
    <row r="261" spans="1:2">
      <c r="A261" t="s">
        <v>6001</v>
      </c>
      <c r="B261">
        <v>0</v>
      </c>
    </row>
    <row r="262" spans="1:2">
      <c r="A262" t="s">
        <v>6002</v>
      </c>
      <c r="B262">
        <v>0</v>
      </c>
    </row>
    <row r="263" spans="1:2">
      <c r="A263" t="s">
        <v>6003</v>
      </c>
      <c r="B263">
        <v>0</v>
      </c>
    </row>
    <row r="264" spans="1:2">
      <c r="A264" t="s">
        <v>6004</v>
      </c>
      <c r="B264">
        <v>0</v>
      </c>
    </row>
    <row r="265" spans="1:2">
      <c r="A265" t="s">
        <v>6005</v>
      </c>
      <c r="B265">
        <v>0</v>
      </c>
    </row>
    <row r="266" spans="1:2">
      <c r="A266" t="s">
        <v>6006</v>
      </c>
      <c r="B266">
        <v>0</v>
      </c>
    </row>
    <row r="267" spans="1:2">
      <c r="A267" t="s">
        <v>6007</v>
      </c>
      <c r="B267">
        <v>0</v>
      </c>
    </row>
    <row r="268" spans="1:2">
      <c r="A268" t="s">
        <v>6008</v>
      </c>
      <c r="B268">
        <v>0</v>
      </c>
    </row>
    <row r="269" spans="1:2">
      <c r="A269" t="s">
        <v>6009</v>
      </c>
      <c r="B269">
        <v>0</v>
      </c>
    </row>
    <row r="270" spans="1:2">
      <c r="A270" t="s">
        <v>6010</v>
      </c>
      <c r="B270">
        <v>0</v>
      </c>
    </row>
    <row r="271" spans="1:2">
      <c r="A271" t="s">
        <v>6011</v>
      </c>
      <c r="B271">
        <v>0</v>
      </c>
    </row>
    <row r="272" spans="1:2">
      <c r="A272" t="s">
        <v>6012</v>
      </c>
      <c r="B272">
        <v>0</v>
      </c>
    </row>
    <row r="273" spans="1:2">
      <c r="A273" t="s">
        <v>6013</v>
      </c>
      <c r="B273">
        <v>0</v>
      </c>
    </row>
    <row r="274" spans="1:2">
      <c r="A274" t="s">
        <v>6014</v>
      </c>
      <c r="B274">
        <v>0</v>
      </c>
    </row>
    <row r="275" spans="1:2">
      <c r="A275" t="s">
        <v>6015</v>
      </c>
      <c r="B275">
        <v>0</v>
      </c>
    </row>
    <row r="276" spans="1:2">
      <c r="A276" t="s">
        <v>6016</v>
      </c>
      <c r="B276">
        <v>0</v>
      </c>
    </row>
    <row r="277" spans="1:2">
      <c r="A277" t="s">
        <v>6017</v>
      </c>
      <c r="B277">
        <v>0</v>
      </c>
    </row>
    <row r="278" spans="1:2">
      <c r="A278" t="s">
        <v>6018</v>
      </c>
      <c r="B278">
        <v>0</v>
      </c>
    </row>
    <row r="279" spans="1:2">
      <c r="A279" t="s">
        <v>6019</v>
      </c>
      <c r="B279">
        <v>0</v>
      </c>
    </row>
    <row r="280" spans="1:2">
      <c r="A280" t="s">
        <v>6020</v>
      </c>
      <c r="B280">
        <v>0</v>
      </c>
    </row>
    <row r="281" spans="1:2">
      <c r="A281" t="s">
        <v>6021</v>
      </c>
      <c r="B281">
        <v>0</v>
      </c>
    </row>
    <row r="282" spans="1:2">
      <c r="A282" t="s">
        <v>6022</v>
      </c>
      <c r="B282">
        <v>0</v>
      </c>
    </row>
    <row r="283" spans="1:2">
      <c r="A283" t="s">
        <v>6023</v>
      </c>
      <c r="B283">
        <v>0</v>
      </c>
    </row>
    <row r="284" spans="1:2">
      <c r="A284" t="s">
        <v>6024</v>
      </c>
      <c r="B284">
        <v>0</v>
      </c>
    </row>
    <row r="285" spans="1:2">
      <c r="A285" t="s">
        <v>6025</v>
      </c>
      <c r="B285">
        <v>0</v>
      </c>
    </row>
    <row r="286" spans="1:2">
      <c r="A286" t="s">
        <v>6026</v>
      </c>
      <c r="B286">
        <v>200512505.05000001</v>
      </c>
    </row>
    <row r="287" spans="1:2">
      <c r="A287" t="s">
        <v>6027</v>
      </c>
      <c r="B287" t="s">
        <v>1756</v>
      </c>
    </row>
    <row r="288" spans="1:2">
      <c r="A288" t="s">
        <v>6028</v>
      </c>
      <c r="B288" t="s">
        <v>1756</v>
      </c>
    </row>
    <row r="289" spans="1:2">
      <c r="A289" t="s">
        <v>6029</v>
      </c>
      <c r="B289" t="s">
        <v>1756</v>
      </c>
    </row>
    <row r="290" spans="1:2">
      <c r="A290" t="s">
        <v>6030</v>
      </c>
      <c r="B290">
        <v>0</v>
      </c>
    </row>
    <row r="291" spans="1:2">
      <c r="A291" t="s">
        <v>6031</v>
      </c>
      <c r="B291" t="s">
        <v>1756</v>
      </c>
    </row>
    <row r="292" spans="1:2">
      <c r="A292" t="s">
        <v>6032</v>
      </c>
      <c r="B292" t="s">
        <v>1756</v>
      </c>
    </row>
    <row r="293" spans="1:2">
      <c r="A293" t="s">
        <v>6033</v>
      </c>
      <c r="B293" t="s">
        <v>1756</v>
      </c>
    </row>
    <row r="294" spans="1:2">
      <c r="A294" t="s">
        <v>6034</v>
      </c>
      <c r="B294">
        <v>-0.18</v>
      </c>
    </row>
    <row r="295" spans="1:2">
      <c r="A295" t="s">
        <v>6035</v>
      </c>
      <c r="B295" t="s">
        <v>1756</v>
      </c>
    </row>
    <row r="296" spans="1:2">
      <c r="A296" t="s">
        <v>6036</v>
      </c>
      <c r="B296" t="s">
        <v>1756</v>
      </c>
    </row>
    <row r="297" spans="1:2">
      <c r="A297" t="s">
        <v>6037</v>
      </c>
      <c r="B297" t="s">
        <v>1756</v>
      </c>
    </row>
    <row r="298" spans="1:2">
      <c r="A298" t="s">
        <v>6038</v>
      </c>
      <c r="B298">
        <v>0.7</v>
      </c>
    </row>
    <row r="299" spans="1:2">
      <c r="A299" t="s">
        <v>6039</v>
      </c>
      <c r="B299" t="s">
        <v>1756</v>
      </c>
    </row>
    <row r="300" spans="1:2">
      <c r="A300" t="s">
        <v>6040</v>
      </c>
      <c r="B300" t="s">
        <v>1756</v>
      </c>
    </row>
    <row r="301" spans="1:2">
      <c r="A301" t="s">
        <v>6041</v>
      </c>
      <c r="B301" t="s">
        <v>1756</v>
      </c>
    </row>
    <row r="302" spans="1:2">
      <c r="A302" t="s">
        <v>6042</v>
      </c>
      <c r="B302" t="s">
        <v>1756</v>
      </c>
    </row>
    <row r="303" spans="1:2">
      <c r="A303" t="s">
        <v>6043</v>
      </c>
      <c r="B303" t="s">
        <v>1756</v>
      </c>
    </row>
    <row r="304" spans="1:2">
      <c r="A304" t="s">
        <v>6044</v>
      </c>
      <c r="B304" t="s">
        <v>1756</v>
      </c>
    </row>
    <row r="305" spans="1:2">
      <c r="A305" t="s">
        <v>6045</v>
      </c>
      <c r="B305" t="s">
        <v>1756</v>
      </c>
    </row>
    <row r="306" spans="1:2">
      <c r="A306" t="s">
        <v>6046</v>
      </c>
      <c r="B306">
        <v>2000</v>
      </c>
    </row>
    <row r="307" spans="1:2">
      <c r="A307" t="s">
        <v>6047</v>
      </c>
      <c r="B307" t="s">
        <v>1756</v>
      </c>
    </row>
    <row r="308" spans="1:2">
      <c r="A308" t="s">
        <v>6048</v>
      </c>
      <c r="B308" t="s">
        <v>1756</v>
      </c>
    </row>
    <row r="309" spans="1:2">
      <c r="A309" t="s">
        <v>6049</v>
      </c>
      <c r="B309" t="s">
        <v>1756</v>
      </c>
    </row>
    <row r="310" spans="1:2">
      <c r="A310" t="s">
        <v>6050</v>
      </c>
      <c r="B310">
        <v>200512505.05000001</v>
      </c>
    </row>
    <row r="311" spans="1:2">
      <c r="A311" t="s">
        <v>6051</v>
      </c>
      <c r="B311" t="s">
        <v>1756</v>
      </c>
    </row>
    <row r="312" spans="1:2">
      <c r="A312" t="s">
        <v>6052</v>
      </c>
      <c r="B312" t="s">
        <v>1756</v>
      </c>
    </row>
    <row r="313" spans="1:2">
      <c r="A313" t="s">
        <v>6053</v>
      </c>
      <c r="B313" t="s">
        <v>1756</v>
      </c>
    </row>
    <row r="314" spans="1:2">
      <c r="A314" t="s">
        <v>6054</v>
      </c>
      <c r="B314">
        <v>0.68246120066767402</v>
      </c>
    </row>
    <row r="315" spans="1:2">
      <c r="A315" t="s">
        <v>6055</v>
      </c>
      <c r="B315" t="s">
        <v>1756</v>
      </c>
    </row>
    <row r="316" spans="1:2">
      <c r="A316" t="s">
        <v>6056</v>
      </c>
      <c r="B316" t="s">
        <v>1756</v>
      </c>
    </row>
    <row r="317" spans="1:2">
      <c r="A317" t="s">
        <v>6057</v>
      </c>
      <c r="B317" t="s">
        <v>1756</v>
      </c>
    </row>
    <row r="318" spans="1:2">
      <c r="A318" t="s">
        <v>6058</v>
      </c>
      <c r="B318">
        <v>1</v>
      </c>
    </row>
    <row r="319" spans="1:2">
      <c r="A319" t="s">
        <v>6059</v>
      </c>
      <c r="B319" t="s">
        <v>1756</v>
      </c>
    </row>
    <row r="320" spans="1:2">
      <c r="A320" t="s">
        <v>6060</v>
      </c>
      <c r="B320" t="s">
        <v>1756</v>
      </c>
    </row>
    <row r="321" spans="1:2">
      <c r="A321" t="s">
        <v>6061</v>
      </c>
      <c r="B321" t="s">
        <v>1756</v>
      </c>
    </row>
    <row r="322" spans="1:2">
      <c r="A322" t="s">
        <v>6062</v>
      </c>
      <c r="B322">
        <v>0.52056309616670504</v>
      </c>
    </row>
    <row r="323" spans="1:2">
      <c r="A323" t="s">
        <v>6063</v>
      </c>
      <c r="B323" t="s">
        <v>1756</v>
      </c>
    </row>
    <row r="324" spans="1:2">
      <c r="A324" t="s">
        <v>6064</v>
      </c>
      <c r="B324" t="s">
        <v>1756</v>
      </c>
    </row>
    <row r="325" spans="1:2">
      <c r="A325" t="s">
        <v>6065</v>
      </c>
      <c r="B325" t="s">
        <v>1756</v>
      </c>
    </row>
    <row r="326" spans="1:2">
      <c r="A326" t="s">
        <v>6066</v>
      </c>
      <c r="B326">
        <v>0.58619505094614266</v>
      </c>
    </row>
    <row r="327" spans="1:2">
      <c r="A327" t="s">
        <v>6067</v>
      </c>
      <c r="B327" t="s">
        <v>1756</v>
      </c>
    </row>
    <row r="328" spans="1:2">
      <c r="A328" t="s">
        <v>6068</v>
      </c>
      <c r="B328" t="s">
        <v>1756</v>
      </c>
    </row>
    <row r="329" spans="1:2">
      <c r="A329" t="s">
        <v>6069</v>
      </c>
      <c r="B329" t="s">
        <v>1756</v>
      </c>
    </row>
    <row r="330" spans="1:2">
      <c r="A330" t="s">
        <v>6070</v>
      </c>
      <c r="B330">
        <v>0.31644779931599104</v>
      </c>
    </row>
    <row r="331" spans="1:2">
      <c r="A331" t="s">
        <v>6071</v>
      </c>
      <c r="B331" t="s">
        <v>1756</v>
      </c>
    </row>
    <row r="332" spans="1:2">
      <c r="A332" t="s">
        <v>6072</v>
      </c>
      <c r="B332" t="s">
        <v>1756</v>
      </c>
    </row>
    <row r="333" spans="1:2">
      <c r="A333" t="s">
        <v>6073</v>
      </c>
      <c r="B333" t="s">
        <v>1756</v>
      </c>
    </row>
    <row r="334" spans="1:2">
      <c r="A334" t="s">
        <v>6074</v>
      </c>
      <c r="B334">
        <v>117600000</v>
      </c>
    </row>
    <row r="335" spans="1:2">
      <c r="A335" t="s">
        <v>6075</v>
      </c>
      <c r="B335" t="s">
        <v>1756</v>
      </c>
    </row>
    <row r="336" spans="1:2">
      <c r="A336" t="s">
        <v>6076</v>
      </c>
      <c r="B336" t="s">
        <v>1756</v>
      </c>
    </row>
    <row r="337" spans="1:2">
      <c r="A337" t="s">
        <v>6077</v>
      </c>
      <c r="B337" t="s">
        <v>1756</v>
      </c>
    </row>
    <row r="338" spans="1:2">
      <c r="A338" t="s">
        <v>6078</v>
      </c>
      <c r="B338">
        <v>0</v>
      </c>
    </row>
    <row r="339" spans="1:2">
      <c r="A339" t="s">
        <v>6079</v>
      </c>
      <c r="B339" t="s">
        <v>1756</v>
      </c>
    </row>
    <row r="340" spans="1:2">
      <c r="A340" t="s">
        <v>6080</v>
      </c>
      <c r="B340" t="s">
        <v>1756</v>
      </c>
    </row>
    <row r="341" spans="1:2">
      <c r="A341" t="s">
        <v>6081</v>
      </c>
      <c r="B341" t="s">
        <v>1756</v>
      </c>
    </row>
    <row r="342" spans="1:2">
      <c r="A342" t="s">
        <v>6082</v>
      </c>
      <c r="B342">
        <v>0.58649708639886999</v>
      </c>
    </row>
    <row r="343" spans="1:2">
      <c r="A343" t="s">
        <v>6083</v>
      </c>
      <c r="B343" t="s">
        <v>1756</v>
      </c>
    </row>
    <row r="344" spans="1:2">
      <c r="A344" t="s">
        <v>6084</v>
      </c>
      <c r="B344" t="s">
        <v>1756</v>
      </c>
    </row>
    <row r="345" spans="1:2">
      <c r="A345" t="s">
        <v>6085</v>
      </c>
      <c r="B345" t="s">
        <v>1756</v>
      </c>
    </row>
    <row r="346" spans="1:2">
      <c r="A346" t="s">
        <v>6086</v>
      </c>
      <c r="B346">
        <v>0.10138055863483121</v>
      </c>
    </row>
    <row r="347" spans="1:2">
      <c r="A347" t="s">
        <v>6087</v>
      </c>
      <c r="B347" t="s">
        <v>1756</v>
      </c>
    </row>
    <row r="348" spans="1:2">
      <c r="A348" t="s">
        <v>6088</v>
      </c>
      <c r="B348" t="s">
        <v>1756</v>
      </c>
    </row>
    <row r="349" spans="1:2">
      <c r="A349" t="s">
        <v>6089</v>
      </c>
      <c r="B349" t="s">
        <v>1756</v>
      </c>
    </row>
    <row r="350" spans="1:2">
      <c r="A350" t="s">
        <v>6090</v>
      </c>
      <c r="B350">
        <v>0</v>
      </c>
    </row>
    <row r="351" spans="1:2">
      <c r="A351" t="s">
        <v>6091</v>
      </c>
      <c r="B351" t="s">
        <v>1756</v>
      </c>
    </row>
    <row r="352" spans="1:2">
      <c r="A352" t="s">
        <v>6092</v>
      </c>
      <c r="B352" t="s">
        <v>1756</v>
      </c>
    </row>
    <row r="353" spans="1:2">
      <c r="A353" t="s">
        <v>6093</v>
      </c>
      <c r="B353" t="s">
        <v>1756</v>
      </c>
    </row>
    <row r="354" spans="1:2">
      <c r="A354" t="s">
        <v>6094</v>
      </c>
      <c r="B354">
        <v>0.50244539232091079</v>
      </c>
    </row>
    <row r="355" spans="1:2">
      <c r="A355" t="s">
        <v>6095</v>
      </c>
      <c r="B355" t="s">
        <v>1756</v>
      </c>
    </row>
    <row r="356" spans="1:2">
      <c r="A356" t="s">
        <v>6096</v>
      </c>
      <c r="B356" t="s">
        <v>1756</v>
      </c>
    </row>
    <row r="357" spans="1:2">
      <c r="A357" t="s">
        <v>6097</v>
      </c>
      <c r="B357" t="s">
        <v>1756</v>
      </c>
    </row>
    <row r="358" spans="1:2">
      <c r="A358" t="s">
        <v>6098</v>
      </c>
      <c r="B358">
        <v>0</v>
      </c>
    </row>
    <row r="359" spans="1:2">
      <c r="A359" t="s">
        <v>6099</v>
      </c>
      <c r="B359" t="s">
        <v>1756</v>
      </c>
    </row>
    <row r="360" spans="1:2">
      <c r="A360" t="s">
        <v>6100</v>
      </c>
      <c r="B360" t="s">
        <v>1756</v>
      </c>
    </row>
    <row r="361" spans="1:2">
      <c r="A361" t="s">
        <v>6101</v>
      </c>
      <c r="B361" t="s">
        <v>1756</v>
      </c>
    </row>
    <row r="362" spans="1:2">
      <c r="A362" t="s">
        <v>6102</v>
      </c>
      <c r="B362">
        <v>115165477.40000001</v>
      </c>
    </row>
    <row r="363" spans="1:2">
      <c r="A363" t="s">
        <v>6103</v>
      </c>
      <c r="B363" t="s">
        <v>1756</v>
      </c>
    </row>
    <row r="364" spans="1:2">
      <c r="A364" t="s">
        <v>6104</v>
      </c>
      <c r="B364">
        <v>62659656.380000003</v>
      </c>
    </row>
    <row r="365" spans="1:2">
      <c r="A365" t="s">
        <v>6105</v>
      </c>
      <c r="B365" t="s">
        <v>1756</v>
      </c>
    </row>
    <row r="366" spans="1:2">
      <c r="A366" t="s">
        <v>6106</v>
      </c>
      <c r="B366">
        <v>22687371.280000001</v>
      </c>
    </row>
    <row r="367" spans="1:2">
      <c r="A367" t="s">
        <v>6107</v>
      </c>
      <c r="B367" t="s">
        <v>1756</v>
      </c>
    </row>
    <row r="368" spans="1:2">
      <c r="A368" t="s">
        <v>6108</v>
      </c>
      <c r="B368">
        <v>0.64303124999999983</v>
      </c>
    </row>
    <row r="369" spans="1:2">
      <c r="A369" t="s">
        <v>6109</v>
      </c>
      <c r="B369" t="s">
        <v>1756</v>
      </c>
    </row>
    <row r="370" spans="1:2">
      <c r="A370" t="s">
        <v>6110</v>
      </c>
      <c r="B370">
        <v>0.46076923076923076</v>
      </c>
    </row>
    <row r="371" spans="1:2">
      <c r="A371" t="s">
        <v>6111</v>
      </c>
      <c r="B371" t="s">
        <v>1756</v>
      </c>
    </row>
    <row r="372" spans="1:2">
      <c r="A372" t="s">
        <v>6112</v>
      </c>
      <c r="B372">
        <v>0.54145901639344263</v>
      </c>
    </row>
    <row r="373" spans="1:2">
      <c r="A373" t="s">
        <v>6113</v>
      </c>
      <c r="B373" t="s">
        <v>1756</v>
      </c>
    </row>
    <row r="374" spans="1:2">
      <c r="A374" t="s">
        <v>6114</v>
      </c>
      <c r="B374">
        <v>0.53424657534246578</v>
      </c>
    </row>
    <row r="375" spans="1:2">
      <c r="A375" t="s">
        <v>6115</v>
      </c>
      <c r="B375" t="s">
        <v>1756</v>
      </c>
    </row>
    <row r="376" spans="1:2">
      <c r="A376" t="s">
        <v>6116</v>
      </c>
      <c r="B376">
        <v>0.57926829268292679</v>
      </c>
    </row>
    <row r="377" spans="1:2">
      <c r="A377" t="s">
        <v>6117</v>
      </c>
      <c r="B377" t="s">
        <v>1756</v>
      </c>
    </row>
    <row r="378" spans="1:2">
      <c r="A378" t="s">
        <v>6317</v>
      </c>
      <c r="B378">
        <v>0</v>
      </c>
    </row>
    <row r="379" spans="1:2">
      <c r="A379" t="s">
        <v>6318</v>
      </c>
      <c r="B379">
        <v>0</v>
      </c>
    </row>
    <row r="380" spans="1:2">
      <c r="A380" t="s">
        <v>6319</v>
      </c>
      <c r="B380">
        <v>0</v>
      </c>
    </row>
    <row r="381" spans="1:2">
      <c r="A381" t="s">
        <v>6320</v>
      </c>
      <c r="B381">
        <v>0</v>
      </c>
    </row>
    <row r="382" spans="1:2">
      <c r="A382" t="s">
        <v>6321</v>
      </c>
      <c r="B382">
        <v>0</v>
      </c>
    </row>
    <row r="383" spans="1:2">
      <c r="A383" t="s">
        <v>6322</v>
      </c>
      <c r="B383" t="s">
        <v>6571</v>
      </c>
    </row>
    <row r="384" spans="1:2">
      <c r="A384" t="s">
        <v>6323</v>
      </c>
      <c r="B384" t="s">
        <v>6571</v>
      </c>
    </row>
    <row r="385" spans="1:2">
      <c r="A385" t="s">
        <v>6324</v>
      </c>
      <c r="B385">
        <v>0</v>
      </c>
    </row>
    <row r="386" spans="1:2">
      <c r="A386" t="s">
        <v>6325</v>
      </c>
      <c r="B386">
        <v>0</v>
      </c>
    </row>
    <row r="387" spans="1:2">
      <c r="A387" t="s">
        <v>6326</v>
      </c>
      <c r="B387">
        <v>0</v>
      </c>
    </row>
    <row r="388" spans="1:2">
      <c r="A388" t="s">
        <v>6327</v>
      </c>
      <c r="B388">
        <v>0</v>
      </c>
    </row>
    <row r="389" spans="1:2">
      <c r="A389" t="s">
        <v>6328</v>
      </c>
      <c r="B389">
        <v>0</v>
      </c>
    </row>
    <row r="390" spans="1:2">
      <c r="A390" t="s">
        <v>6329</v>
      </c>
      <c r="B390">
        <v>0</v>
      </c>
    </row>
    <row r="391" spans="1:2">
      <c r="A391" t="s">
        <v>6330</v>
      </c>
      <c r="B391">
        <v>0</v>
      </c>
    </row>
    <row r="392" spans="1:2">
      <c r="A392" t="s">
        <v>6331</v>
      </c>
      <c r="B392">
        <v>0</v>
      </c>
    </row>
    <row r="393" spans="1:2">
      <c r="A393" t="s">
        <v>6332</v>
      </c>
      <c r="B393">
        <v>0</v>
      </c>
    </row>
    <row r="394" spans="1:2">
      <c r="A394" t="s">
        <v>6333</v>
      </c>
      <c r="B394">
        <v>0</v>
      </c>
    </row>
    <row r="395" spans="1:2">
      <c r="A395" t="s">
        <v>6334</v>
      </c>
      <c r="B395">
        <v>0</v>
      </c>
    </row>
    <row r="396" spans="1:2">
      <c r="A396" t="s">
        <v>6335</v>
      </c>
      <c r="B396">
        <v>0</v>
      </c>
    </row>
    <row r="397" spans="1:2">
      <c r="A397" t="s">
        <v>6336</v>
      </c>
      <c r="B397">
        <v>0</v>
      </c>
    </row>
    <row r="398" spans="1:2">
      <c r="A398" t="s">
        <v>6337</v>
      </c>
      <c r="B398">
        <v>0</v>
      </c>
    </row>
    <row r="399" spans="1:2">
      <c r="A399" t="s">
        <v>6338</v>
      </c>
      <c r="B399">
        <v>0</v>
      </c>
    </row>
    <row r="400" spans="1:2">
      <c r="A400" t="s">
        <v>6339</v>
      </c>
      <c r="B400">
        <v>0</v>
      </c>
    </row>
    <row r="401" spans="1:2">
      <c r="A401" t="s">
        <v>6340</v>
      </c>
      <c r="B401">
        <v>0</v>
      </c>
    </row>
    <row r="402" spans="1:2">
      <c r="A402" t="s">
        <v>6341</v>
      </c>
      <c r="B402">
        <v>0</v>
      </c>
    </row>
    <row r="403" spans="1:2">
      <c r="A403" t="s">
        <v>6342</v>
      </c>
      <c r="B403">
        <v>0</v>
      </c>
    </row>
    <row r="404" spans="1:2">
      <c r="A404" t="s">
        <v>6343</v>
      </c>
      <c r="B404">
        <v>0</v>
      </c>
    </row>
    <row r="405" spans="1:2">
      <c r="A405" t="s">
        <v>6344</v>
      </c>
      <c r="B405">
        <v>0</v>
      </c>
    </row>
    <row r="406" spans="1:2">
      <c r="A406" t="s">
        <v>6345</v>
      </c>
      <c r="B406">
        <v>0</v>
      </c>
    </row>
    <row r="407" spans="1:2">
      <c r="A407" t="s">
        <v>6346</v>
      </c>
      <c r="B407">
        <v>0</v>
      </c>
    </row>
    <row r="408" spans="1:2">
      <c r="A408" t="s">
        <v>6347</v>
      </c>
      <c r="B408">
        <v>0</v>
      </c>
    </row>
    <row r="409" spans="1:2">
      <c r="A409" t="s">
        <v>6348</v>
      </c>
      <c r="B409">
        <v>0</v>
      </c>
    </row>
    <row r="410" spans="1:2">
      <c r="A410" t="s">
        <v>6349</v>
      </c>
      <c r="B410">
        <v>0</v>
      </c>
    </row>
    <row r="411" spans="1:2">
      <c r="A411" t="s">
        <v>6350</v>
      </c>
      <c r="B411">
        <v>0</v>
      </c>
    </row>
    <row r="412" spans="1:2">
      <c r="A412" t="s">
        <v>6351</v>
      </c>
      <c r="B412">
        <v>0</v>
      </c>
    </row>
    <row r="413" spans="1:2">
      <c r="A413" t="s">
        <v>6352</v>
      </c>
      <c r="B413">
        <v>0</v>
      </c>
    </row>
    <row r="414" spans="1:2">
      <c r="A414" t="s">
        <v>6353</v>
      </c>
      <c r="B414">
        <v>0</v>
      </c>
    </row>
    <row r="415" spans="1:2">
      <c r="A415" t="s">
        <v>6354</v>
      </c>
      <c r="B415">
        <v>0</v>
      </c>
    </row>
    <row r="416" spans="1:2">
      <c r="A416" t="s">
        <v>6355</v>
      </c>
      <c r="B416">
        <v>0</v>
      </c>
    </row>
    <row r="417" spans="1:2">
      <c r="A417" t="s">
        <v>6356</v>
      </c>
      <c r="B417">
        <v>0</v>
      </c>
    </row>
    <row r="418" spans="1:2">
      <c r="A418" t="s">
        <v>6357</v>
      </c>
      <c r="B418">
        <v>0</v>
      </c>
    </row>
    <row r="419" spans="1:2">
      <c r="A419" t="s">
        <v>6358</v>
      </c>
      <c r="B419">
        <v>0</v>
      </c>
    </row>
    <row r="420" spans="1:2">
      <c r="A420" t="s">
        <v>6359</v>
      </c>
      <c r="B420">
        <v>0</v>
      </c>
    </row>
    <row r="421" spans="1:2">
      <c r="A421" t="s">
        <v>6360</v>
      </c>
      <c r="B421">
        <v>0</v>
      </c>
    </row>
    <row r="422" spans="1:2">
      <c r="A422" t="s">
        <v>6118</v>
      </c>
      <c r="B422">
        <v>0</v>
      </c>
    </row>
    <row r="423" spans="1:2">
      <c r="A423" t="s">
        <v>6119</v>
      </c>
      <c r="B423">
        <v>338154510</v>
      </c>
    </row>
    <row r="424" spans="1:2">
      <c r="A424" t="s">
        <v>6120</v>
      </c>
      <c r="B424">
        <v>0</v>
      </c>
    </row>
    <row r="425" spans="1:2">
      <c r="A425" t="s">
        <v>6121</v>
      </c>
      <c r="B425">
        <v>338508633</v>
      </c>
    </row>
    <row r="426" spans="1:2">
      <c r="A426" t="s">
        <v>6122</v>
      </c>
      <c r="B426">
        <v>0.63426051642786396</v>
      </c>
    </row>
    <row r="427" spans="1:2">
      <c r="A427" t="s">
        <v>6123</v>
      </c>
      <c r="B427">
        <v>0.22598085562419018</v>
      </c>
    </row>
    <row r="428" spans="1:2">
      <c r="A428" t="s">
        <v>6124</v>
      </c>
      <c r="B428">
        <v>1590280.0405952206</v>
      </c>
    </row>
    <row r="429" spans="1:2">
      <c r="A429" t="s">
        <v>6125</v>
      </c>
      <c r="B429">
        <v>0.72606665772184575</v>
      </c>
    </row>
    <row r="430" spans="1:2">
      <c r="A430" t="s">
        <v>6126</v>
      </c>
      <c r="B430">
        <v>0.64303124999999983</v>
      </c>
    </row>
    <row r="431" spans="1:2">
      <c r="A431" t="s">
        <v>6127</v>
      </c>
      <c r="B431">
        <v>0.52852941176470591</v>
      </c>
    </row>
    <row r="432" spans="1:2">
      <c r="A432" t="s">
        <v>6128</v>
      </c>
      <c r="B432">
        <v>0.62318867924528298</v>
      </c>
    </row>
    <row r="433" spans="1:2">
      <c r="A433" t="s">
        <v>6129</v>
      </c>
      <c r="B433">
        <v>0.64356435643564358</v>
      </c>
    </row>
    <row r="434" spans="1:2">
      <c r="A434" t="s">
        <v>6130</v>
      </c>
      <c r="B434">
        <v>0.23499999999999999</v>
      </c>
    </row>
    <row r="435" spans="1:2">
      <c r="A435" t="s">
        <v>6131</v>
      </c>
      <c r="B435">
        <v>0.24529411764705883</v>
      </c>
    </row>
    <row r="436" spans="1:2">
      <c r="A436" t="s">
        <v>6132</v>
      </c>
      <c r="B436">
        <v>0.32111111111111112</v>
      </c>
    </row>
    <row r="437" spans="1:2">
      <c r="A437" t="s">
        <v>6133</v>
      </c>
      <c r="B437">
        <v>0.31111111111111112</v>
      </c>
    </row>
    <row r="438" spans="1:2">
      <c r="A438" t="s">
        <v>6134</v>
      </c>
      <c r="B438">
        <v>13404593.926293261</v>
      </c>
    </row>
    <row r="439" spans="1:2">
      <c r="A439" t="s">
        <v>6135</v>
      </c>
      <c r="B439">
        <v>0</v>
      </c>
    </row>
    <row r="440" spans="1:2">
      <c r="A440" t="s">
        <v>6136</v>
      </c>
      <c r="B440">
        <v>0.47469231694623598</v>
      </c>
    </row>
    <row r="441" spans="1:2">
      <c r="A441" t="s">
        <v>6137</v>
      </c>
      <c r="B441">
        <v>6301500</v>
      </c>
    </row>
    <row r="442" spans="1:2">
      <c r="A442" t="s">
        <v>6138</v>
      </c>
      <c r="B442">
        <v>0.82962264150943399</v>
      </c>
    </row>
    <row r="443" spans="1:2">
      <c r="A443" t="s">
        <v>6139</v>
      </c>
      <c r="B443">
        <v>0.86962732919254659</v>
      </c>
    </row>
    <row r="444" spans="1:2">
      <c r="A444" t="s">
        <v>6140</v>
      </c>
      <c r="B444">
        <v>0.65292096219931273</v>
      </c>
    </row>
    <row r="445" spans="1:2">
      <c r="A445" t="s">
        <v>6141</v>
      </c>
      <c r="B445">
        <v>0.29984777408905949</v>
      </c>
    </row>
    <row r="446" spans="1:2">
      <c r="A446" t="s">
        <v>6142</v>
      </c>
      <c r="B446">
        <v>0.52852941176470591</v>
      </c>
    </row>
    <row r="447" spans="1:2">
      <c r="A447" t="s">
        <v>6143</v>
      </c>
      <c r="B447">
        <v>0.62318867924528298</v>
      </c>
    </row>
    <row r="448" spans="1:2">
      <c r="A448" t="s">
        <v>6144</v>
      </c>
      <c r="B448">
        <v>0.64356435643564358</v>
      </c>
    </row>
    <row r="449" spans="1:2">
      <c r="A449" t="s">
        <v>6145</v>
      </c>
      <c r="B449">
        <v>0.65292096219931273</v>
      </c>
    </row>
    <row r="450" spans="1:2">
      <c r="A450" t="s">
        <v>6146</v>
      </c>
      <c r="B450">
        <v>0.47469231694623598</v>
      </c>
    </row>
    <row r="451" spans="1:2">
      <c r="A451" t="s">
        <v>6147</v>
      </c>
      <c r="B451">
        <v>338754510</v>
      </c>
    </row>
    <row r="452" spans="1:2">
      <c r="A452" t="s">
        <v>6148</v>
      </c>
      <c r="B452">
        <v>2.535723466305928E-4</v>
      </c>
    </row>
    <row r="453" spans="1:2">
      <c r="A453" t="s">
        <v>6149</v>
      </c>
      <c r="B453">
        <v>200512505.05278993</v>
      </c>
    </row>
    <row r="454" spans="1:2">
      <c r="A454" t="s">
        <v>6150</v>
      </c>
      <c r="B454">
        <v>0.52056309616670515</v>
      </c>
    </row>
    <row r="455" spans="1:2">
      <c r="A455" t="s">
        <v>6151</v>
      </c>
      <c r="B455">
        <v>-0.17954755335102615</v>
      </c>
    </row>
    <row r="456" spans="1:2">
      <c r="A456" t="s">
        <v>6152</v>
      </c>
      <c r="B456">
        <v>1270588.5916194911</v>
      </c>
    </row>
    <row r="457" spans="1:2">
      <c r="A457" t="s">
        <v>6153</v>
      </c>
      <c r="B457">
        <v>0.69602779029650641</v>
      </c>
    </row>
    <row r="458" spans="1:2">
      <c r="A458" t="s">
        <v>6154</v>
      </c>
      <c r="B458">
        <v>0.64303124999999983</v>
      </c>
    </row>
    <row r="459" spans="1:2">
      <c r="A459" t="s">
        <v>6155</v>
      </c>
      <c r="B459">
        <v>0.46076923076923076</v>
      </c>
    </row>
    <row r="460" spans="1:2">
      <c r="A460" t="s">
        <v>6156</v>
      </c>
      <c r="B460">
        <v>0.54145901639344263</v>
      </c>
    </row>
    <row r="461" spans="1:2">
      <c r="A461" t="s">
        <v>6157</v>
      </c>
      <c r="B461">
        <v>0.53424657534246578</v>
      </c>
    </row>
    <row r="462" spans="1:2">
      <c r="A462" t="s">
        <v>6158</v>
      </c>
      <c r="B462">
        <v>0.21727272727272728</v>
      </c>
    </row>
    <row r="463" spans="1:2">
      <c r="A463" t="s">
        <v>6159</v>
      </c>
      <c r="B463">
        <v>0.23499999999999999</v>
      </c>
    </row>
    <row r="464" spans="1:2">
      <c r="A464" t="s">
        <v>6160</v>
      </c>
      <c r="B464">
        <v>0.32111111111111112</v>
      </c>
    </row>
    <row r="465" spans="1:2">
      <c r="A465" t="s">
        <v>6161</v>
      </c>
      <c r="B465">
        <v>0.33580246913580247</v>
      </c>
    </row>
    <row r="466" spans="1:2">
      <c r="A466" t="s">
        <v>6162</v>
      </c>
      <c r="B466">
        <v>13332257.415654961</v>
      </c>
    </row>
    <row r="467" spans="1:2">
      <c r="A467" t="s">
        <v>6163</v>
      </c>
      <c r="B467">
        <v>0</v>
      </c>
    </row>
    <row r="468" spans="1:2">
      <c r="A468" t="s">
        <v>6164</v>
      </c>
      <c r="B468">
        <v>0.50244539232091079</v>
      </c>
    </row>
    <row r="469" spans="1:2">
      <c r="A469" t="s">
        <v>6165</v>
      </c>
      <c r="B469">
        <v>6848000</v>
      </c>
    </row>
    <row r="470" spans="1:2">
      <c r="A470" t="s">
        <v>6166</v>
      </c>
      <c r="B470">
        <v>0.72606557377049186</v>
      </c>
    </row>
    <row r="471" spans="1:2">
      <c r="A471" t="s">
        <v>6167</v>
      </c>
      <c r="B471">
        <v>0.82228070175438595</v>
      </c>
    </row>
    <row r="472" spans="1:2">
      <c r="A472" t="s">
        <v>6168</v>
      </c>
      <c r="B472">
        <v>0.57926829268292679</v>
      </c>
    </row>
    <row r="473" spans="1:2">
      <c r="A473" t="s">
        <v>6169</v>
      </c>
      <c r="B473">
        <v>0.31644779931599104</v>
      </c>
    </row>
    <row r="474" spans="1:2">
      <c r="A474" t="s">
        <v>6170</v>
      </c>
      <c r="B474">
        <v>0.46076923076923076</v>
      </c>
    </row>
    <row r="475" spans="1:2">
      <c r="A475" t="s">
        <v>6171</v>
      </c>
      <c r="B475">
        <v>0.54145901639344263</v>
      </c>
    </row>
    <row r="476" spans="1:2">
      <c r="A476" t="s">
        <v>6172</v>
      </c>
      <c r="B476">
        <v>0.53424657534246578</v>
      </c>
    </row>
    <row r="477" spans="1:2">
      <c r="A477" t="s">
        <v>6173</v>
      </c>
      <c r="B477">
        <v>0.57926829268292679</v>
      </c>
    </row>
    <row r="478" spans="1:2">
      <c r="A478" t="s">
        <v>6174</v>
      </c>
      <c r="B478">
        <v>0.50244539232091079</v>
      </c>
    </row>
    <row r="479" spans="1:2">
      <c r="A479" t="s">
        <v>6175</v>
      </c>
      <c r="B479">
        <v>0</v>
      </c>
    </row>
    <row r="480" spans="1:2">
      <c r="A480" t="s">
        <v>6176</v>
      </c>
      <c r="B480">
        <v>0</v>
      </c>
    </row>
    <row r="481" spans="1:2">
      <c r="A481" t="s">
        <v>6177</v>
      </c>
      <c r="B481">
        <v>0</v>
      </c>
    </row>
    <row r="482" spans="1:2">
      <c r="A482" t="s">
        <v>6178</v>
      </c>
      <c r="B482">
        <v>0</v>
      </c>
    </row>
    <row r="483" spans="1:2">
      <c r="A483" t="s">
        <v>6179</v>
      </c>
      <c r="B483">
        <v>0</v>
      </c>
    </row>
    <row r="484" spans="1:2">
      <c r="A484" t="s">
        <v>6180</v>
      </c>
      <c r="B484">
        <v>0</v>
      </c>
    </row>
    <row r="485" spans="1:2">
      <c r="A485" t="s">
        <v>6181</v>
      </c>
      <c r="B485">
        <v>0</v>
      </c>
    </row>
    <row r="486" spans="1:2">
      <c r="A486" t="s">
        <v>6182</v>
      </c>
      <c r="B486">
        <v>0</v>
      </c>
    </row>
    <row r="487" spans="1:2">
      <c r="A487" t="s">
        <v>6183</v>
      </c>
      <c r="B487">
        <v>0</v>
      </c>
    </row>
    <row r="488" spans="1:2">
      <c r="A488" t="s">
        <v>6184</v>
      </c>
      <c r="B488">
        <v>0</v>
      </c>
    </row>
    <row r="489" spans="1:2">
      <c r="A489" t="s">
        <v>6185</v>
      </c>
      <c r="B489">
        <v>0</v>
      </c>
    </row>
    <row r="490" spans="1:2">
      <c r="A490" t="s">
        <v>6186</v>
      </c>
      <c r="B490">
        <v>0</v>
      </c>
    </row>
    <row r="491" spans="1:2">
      <c r="A491" t="s">
        <v>6187</v>
      </c>
      <c r="B491">
        <v>0</v>
      </c>
    </row>
    <row r="492" spans="1:2">
      <c r="A492" t="s">
        <v>6188</v>
      </c>
      <c r="B492">
        <v>0</v>
      </c>
    </row>
    <row r="493" spans="1:2">
      <c r="A493" t="s">
        <v>6189</v>
      </c>
      <c r="B493">
        <v>0</v>
      </c>
    </row>
    <row r="494" spans="1:2">
      <c r="A494" t="s">
        <v>6190</v>
      </c>
      <c r="B494">
        <v>0</v>
      </c>
    </row>
    <row r="495" spans="1:2">
      <c r="A495" t="s">
        <v>6191</v>
      </c>
      <c r="B495">
        <v>0</v>
      </c>
    </row>
    <row r="496" spans="1:2">
      <c r="A496" t="s">
        <v>6192</v>
      </c>
      <c r="B496">
        <v>0</v>
      </c>
    </row>
    <row r="497" spans="1:2">
      <c r="A497" t="s">
        <v>6193</v>
      </c>
      <c r="B497">
        <v>0</v>
      </c>
    </row>
    <row r="498" spans="1:2">
      <c r="A498" t="s">
        <v>6194</v>
      </c>
      <c r="B498">
        <v>0</v>
      </c>
    </row>
    <row r="499" spans="1:2">
      <c r="A499" t="s">
        <v>6195</v>
      </c>
      <c r="B499">
        <v>0</v>
      </c>
    </row>
    <row r="500" spans="1:2">
      <c r="A500" t="s">
        <v>6196</v>
      </c>
      <c r="B500">
        <v>0</v>
      </c>
    </row>
    <row r="501" spans="1:2">
      <c r="A501" t="s">
        <v>6197</v>
      </c>
      <c r="B501">
        <v>0</v>
      </c>
    </row>
    <row r="502" spans="1:2">
      <c r="A502" t="s">
        <v>6198</v>
      </c>
      <c r="B502">
        <v>0</v>
      </c>
    </row>
    <row r="503" spans="1:2">
      <c r="A503" t="s">
        <v>6199</v>
      </c>
      <c r="B503">
        <v>0</v>
      </c>
    </row>
    <row r="504" spans="1:2">
      <c r="A504" t="s">
        <v>6200</v>
      </c>
      <c r="B504">
        <v>0</v>
      </c>
    </row>
    <row r="505" spans="1:2">
      <c r="A505" t="s">
        <v>6201</v>
      </c>
      <c r="B505">
        <v>0</v>
      </c>
    </row>
    <row r="506" spans="1:2">
      <c r="A506" t="s">
        <v>6202</v>
      </c>
      <c r="B506">
        <v>0</v>
      </c>
    </row>
    <row r="507" spans="1:2">
      <c r="A507" t="s">
        <v>6361</v>
      </c>
      <c r="B507">
        <v>1</v>
      </c>
    </row>
    <row r="508" spans="1:2">
      <c r="A508" t="s">
        <v>6362</v>
      </c>
      <c r="B508" t="s">
        <v>5681</v>
      </c>
    </row>
    <row r="509" spans="1:2">
      <c r="A509" t="s">
        <v>5742</v>
      </c>
      <c r="B509">
        <v>1</v>
      </c>
    </row>
    <row r="510" spans="1:2">
      <c r="A510" t="s">
        <v>6363</v>
      </c>
      <c r="B510">
        <v>0</v>
      </c>
    </row>
    <row r="511" spans="1:2">
      <c r="A511" t="s">
        <v>6364</v>
      </c>
      <c r="B511">
        <v>255</v>
      </c>
    </row>
    <row r="512" spans="1:2">
      <c r="A512" t="s">
        <v>6365</v>
      </c>
      <c r="B512">
        <v>275</v>
      </c>
    </row>
    <row r="513" spans="1:2">
      <c r="A513" t="s">
        <v>6366</v>
      </c>
      <c r="B513">
        <v>295</v>
      </c>
    </row>
    <row r="514" spans="1:2">
      <c r="A514" t="s">
        <v>6367</v>
      </c>
      <c r="B514">
        <v>0.2</v>
      </c>
    </row>
    <row r="515" spans="1:2">
      <c r="A515" t="s">
        <v>6368</v>
      </c>
      <c r="B515">
        <v>0.2</v>
      </c>
    </row>
    <row r="516" spans="1:2">
      <c r="A516" t="s">
        <v>6369</v>
      </c>
      <c r="B516">
        <v>0.2</v>
      </c>
    </row>
    <row r="517" spans="1:2">
      <c r="A517" t="s">
        <v>6370</v>
      </c>
      <c r="B517">
        <v>0.2</v>
      </c>
    </row>
    <row r="518" spans="1:2">
      <c r="A518" t="s">
        <v>6371</v>
      </c>
      <c r="B518">
        <v>0.2</v>
      </c>
    </row>
    <row r="519" spans="1:2">
      <c r="A519" t="s">
        <v>6372</v>
      </c>
      <c r="B519">
        <v>0.2</v>
      </c>
    </row>
    <row r="520" spans="1:2">
      <c r="A520" t="s">
        <v>6373</v>
      </c>
      <c r="B520"/>
    </row>
    <row r="521" spans="1:2">
      <c r="A521" t="s">
        <v>6374</v>
      </c>
      <c r="B521" t="s">
        <v>3330</v>
      </c>
    </row>
    <row r="522" spans="1:2">
      <c r="A522" t="s">
        <v>6375</v>
      </c>
      <c r="B522" t="s">
        <v>3331</v>
      </c>
    </row>
    <row r="523" spans="1:2">
      <c r="A523" t="s">
        <v>6376</v>
      </c>
      <c r="B523" t="s">
        <v>3332</v>
      </c>
    </row>
    <row r="524" spans="1:2">
      <c r="A524" t="s">
        <v>6377</v>
      </c>
      <c r="B524">
        <v>40000</v>
      </c>
    </row>
    <row r="525" spans="1:2">
      <c r="A525" t="s">
        <v>6378</v>
      </c>
      <c r="B525">
        <v>25000</v>
      </c>
    </row>
    <row r="526" spans="1:2">
      <c r="A526" t="s">
        <v>6379</v>
      </c>
      <c r="B526">
        <v>6000</v>
      </c>
    </row>
    <row r="527" spans="1:2">
      <c r="A527" t="s">
        <v>6380</v>
      </c>
      <c r="B527">
        <v>110000</v>
      </c>
    </row>
    <row r="528" spans="1:2">
      <c r="A528" t="s">
        <v>6381</v>
      </c>
      <c r="B528">
        <v>85000</v>
      </c>
    </row>
    <row r="529" spans="1:2">
      <c r="A529" t="s">
        <v>6382</v>
      </c>
      <c r="B529">
        <v>25000</v>
      </c>
    </row>
    <row r="530" spans="1:2">
      <c r="A530" t="s">
        <v>6383</v>
      </c>
      <c r="B530">
        <v>175000</v>
      </c>
    </row>
    <row r="531" spans="1:2">
      <c r="A531" t="s">
        <v>6384</v>
      </c>
      <c r="B531">
        <v>165000</v>
      </c>
    </row>
    <row r="532" spans="1:2">
      <c r="A532" t="s">
        <v>6385</v>
      </c>
      <c r="B532">
        <v>50000</v>
      </c>
    </row>
    <row r="533" spans="1:2">
      <c r="A533" t="s">
        <v>6386</v>
      </c>
      <c r="B533">
        <v>5</v>
      </c>
    </row>
    <row r="534" spans="1:2">
      <c r="A534" t="s">
        <v>6387</v>
      </c>
      <c r="B534">
        <v>5</v>
      </c>
    </row>
    <row r="535" spans="1:2">
      <c r="A535" t="s">
        <v>6388</v>
      </c>
      <c r="B535">
        <v>5</v>
      </c>
    </row>
    <row r="536" spans="1:2">
      <c r="A536" t="s">
        <v>6389</v>
      </c>
      <c r="B536" t="s">
        <v>3330</v>
      </c>
    </row>
    <row r="537" spans="1:2">
      <c r="A537" t="s">
        <v>6390</v>
      </c>
      <c r="B537" t="s">
        <v>3330</v>
      </c>
    </row>
    <row r="538" spans="1:2">
      <c r="A538" t="s">
        <v>6391</v>
      </c>
      <c r="B538" t="s">
        <v>3330</v>
      </c>
    </row>
    <row r="539" spans="1:2">
      <c r="A539" t="s">
        <v>6392</v>
      </c>
      <c r="B539">
        <v>40000</v>
      </c>
    </row>
    <row r="540" spans="1:2">
      <c r="A540" t="s">
        <v>6393</v>
      </c>
      <c r="B540">
        <v>30000</v>
      </c>
    </row>
    <row r="541" spans="1:2">
      <c r="A541" t="s">
        <v>6394</v>
      </c>
      <c r="B541">
        <v>9000</v>
      </c>
    </row>
    <row r="542" spans="1:2">
      <c r="A542" t="s">
        <v>6395</v>
      </c>
      <c r="B542">
        <v>130000</v>
      </c>
    </row>
    <row r="543" spans="1:2">
      <c r="A543" t="s">
        <v>6396</v>
      </c>
      <c r="B543">
        <v>80000</v>
      </c>
    </row>
    <row r="544" spans="1:2">
      <c r="A544" t="s">
        <v>6397</v>
      </c>
      <c r="B544">
        <v>32000</v>
      </c>
    </row>
    <row r="545" spans="1:2">
      <c r="A545" t="s">
        <v>6398</v>
      </c>
      <c r="B545">
        <v>295000</v>
      </c>
    </row>
    <row r="546" spans="1:2">
      <c r="A546" t="s">
        <v>6399</v>
      </c>
      <c r="B546">
        <v>20000</v>
      </c>
    </row>
    <row r="547" spans="1:2">
      <c r="A547" t="s">
        <v>6400</v>
      </c>
      <c r="B547">
        <v>20000</v>
      </c>
    </row>
    <row r="548" spans="1:2">
      <c r="A548" t="s">
        <v>6401</v>
      </c>
      <c r="B548">
        <v>0</v>
      </c>
    </row>
    <row r="549" spans="1:2">
      <c r="A549" t="s">
        <v>6402</v>
      </c>
      <c r="B549">
        <v>0</v>
      </c>
    </row>
    <row r="550" spans="1:2">
      <c r="A550" t="s">
        <v>6403</v>
      </c>
      <c r="B550">
        <v>0</v>
      </c>
    </row>
    <row r="551" spans="1:2">
      <c r="A551" t="s">
        <v>6404</v>
      </c>
      <c r="B551" t="s">
        <v>3330</v>
      </c>
    </row>
    <row r="552" spans="1:2">
      <c r="A552" t="s">
        <v>6405</v>
      </c>
      <c r="B552" t="s">
        <v>3331</v>
      </c>
    </row>
    <row r="553" spans="1:2">
      <c r="A553" t="s">
        <v>6406</v>
      </c>
      <c r="B553" t="s">
        <v>3331</v>
      </c>
    </row>
    <row r="554" spans="1:2">
      <c r="A554" t="s">
        <v>6407</v>
      </c>
      <c r="B554"/>
    </row>
    <row r="555" spans="1:2">
      <c r="A555" t="s">
        <v>6408</v>
      </c>
      <c r="B555"/>
    </row>
    <row r="556" spans="1:2">
      <c r="A556" t="s">
        <v>6409</v>
      </c>
      <c r="B556"/>
    </row>
    <row r="557" spans="1:2">
      <c r="A557" t="s">
        <v>6410</v>
      </c>
      <c r="B557">
        <v>5300</v>
      </c>
    </row>
    <row r="558" spans="1:2">
      <c r="A558" t="s">
        <v>6411</v>
      </c>
      <c r="B558">
        <v>2500</v>
      </c>
    </row>
    <row r="559" spans="1:2">
      <c r="A559" t="s">
        <v>6412</v>
      </c>
      <c r="B559">
        <v>22000</v>
      </c>
    </row>
    <row r="560" spans="1:2">
      <c r="A560" t="s">
        <v>6413</v>
      </c>
      <c r="B560"/>
    </row>
    <row r="561" spans="1:2">
      <c r="A561" t="s">
        <v>6414</v>
      </c>
      <c r="B561"/>
    </row>
    <row r="562" spans="1:2">
      <c r="A562" t="s">
        <v>6415</v>
      </c>
      <c r="B562"/>
    </row>
    <row r="563" spans="1:2">
      <c r="A563" t="s">
        <v>6416</v>
      </c>
      <c r="B563">
        <v>2500</v>
      </c>
    </row>
    <row r="564" spans="1:2">
      <c r="A564" t="s">
        <v>6417</v>
      </c>
      <c r="B564">
        <v>2200</v>
      </c>
    </row>
    <row r="565" spans="1:2">
      <c r="A565" t="s">
        <v>6418</v>
      </c>
      <c r="B565">
        <v>3500</v>
      </c>
    </row>
    <row r="566" spans="1:2">
      <c r="A566" t="s">
        <v>6419</v>
      </c>
      <c r="B566" t="s">
        <v>3331</v>
      </c>
    </row>
    <row r="567" spans="1:2">
      <c r="A567" t="s">
        <v>6420</v>
      </c>
      <c r="B567" t="s">
        <v>3331</v>
      </c>
    </row>
    <row r="568" spans="1:2">
      <c r="A568" t="s">
        <v>6421</v>
      </c>
      <c r="B568" t="s">
        <v>3331</v>
      </c>
    </row>
    <row r="569" spans="1:2">
      <c r="A569" t="s">
        <v>6422</v>
      </c>
      <c r="B569">
        <v>2000</v>
      </c>
    </row>
    <row r="570" spans="1:2">
      <c r="A570" t="s">
        <v>6423</v>
      </c>
      <c r="B570">
        <v>1800</v>
      </c>
    </row>
    <row r="571" spans="1:2">
      <c r="A571" t="s">
        <v>6424</v>
      </c>
      <c r="B571">
        <v>900</v>
      </c>
    </row>
    <row r="572" spans="1:2">
      <c r="A572" t="s">
        <v>6425</v>
      </c>
      <c r="B572">
        <v>7000</v>
      </c>
    </row>
    <row r="573" spans="1:2">
      <c r="A573" t="s">
        <v>6426</v>
      </c>
      <c r="B573">
        <v>8500</v>
      </c>
    </row>
    <row r="574" spans="1:2">
      <c r="A574" t="s">
        <v>6427</v>
      </c>
      <c r="B574">
        <v>3200</v>
      </c>
    </row>
    <row r="575" spans="1:2">
      <c r="A575" t="s">
        <v>6428</v>
      </c>
      <c r="B575">
        <v>16000</v>
      </c>
    </row>
    <row r="576" spans="1:2">
      <c r="A576" t="s">
        <v>6429</v>
      </c>
      <c r="B576">
        <v>25000</v>
      </c>
    </row>
    <row r="577" spans="1:2">
      <c r="A577" t="s">
        <v>6430</v>
      </c>
      <c r="B577">
        <v>4000</v>
      </c>
    </row>
    <row r="578" spans="1:2">
      <c r="A578" t="s">
        <v>6431</v>
      </c>
      <c r="B578">
        <v>2000</v>
      </c>
    </row>
    <row r="579" spans="1:2">
      <c r="A579" t="s">
        <v>6432</v>
      </c>
      <c r="B579">
        <v>1</v>
      </c>
    </row>
    <row r="580" spans="1:2">
      <c r="A580" t="s">
        <v>6433</v>
      </c>
      <c r="B580">
        <v>2</v>
      </c>
    </row>
    <row r="581" spans="1:2">
      <c r="A581" t="s">
        <v>6434</v>
      </c>
      <c r="B581">
        <v>0</v>
      </c>
    </row>
    <row r="582" spans="1:2">
      <c r="A582" t="s">
        <v>6435</v>
      </c>
      <c r="B582">
        <v>0</v>
      </c>
    </row>
    <row r="583" spans="1:2">
      <c r="A583" t="s">
        <v>6436</v>
      </c>
      <c r="B583">
        <v>0</v>
      </c>
    </row>
    <row r="584" spans="1:2">
      <c r="A584" t="s">
        <v>6437</v>
      </c>
      <c r="B584">
        <v>0</v>
      </c>
    </row>
    <row r="585" spans="1:2">
      <c r="A585" t="s">
        <v>6438</v>
      </c>
      <c r="B585">
        <v>0</v>
      </c>
    </row>
    <row r="586" spans="1:2">
      <c r="A586" t="s">
        <v>6439</v>
      </c>
      <c r="B586" t="b">
        <v>1</v>
      </c>
    </row>
    <row r="587" spans="1:2">
      <c r="A587" t="s">
        <v>6440</v>
      </c>
      <c r="B587" t="b">
        <v>0</v>
      </c>
    </row>
    <row r="588" spans="1:2">
      <c r="A588" t="s">
        <v>6441</v>
      </c>
      <c r="B588" t="b">
        <v>0</v>
      </c>
    </row>
    <row r="589" spans="1:2">
      <c r="A589" t="s">
        <v>6442</v>
      </c>
      <c r="B589" t="b">
        <v>0</v>
      </c>
    </row>
    <row r="590" spans="1:2">
      <c r="A590" t="s">
        <v>6443</v>
      </c>
      <c r="B590" t="b">
        <v>0</v>
      </c>
    </row>
    <row r="591" spans="1:2">
      <c r="A591" t="s">
        <v>6444</v>
      </c>
      <c r="B591" t="b">
        <v>0</v>
      </c>
    </row>
    <row r="592" spans="1:2">
      <c r="A592" t="s">
        <v>6445</v>
      </c>
      <c r="B592" t="b">
        <v>0</v>
      </c>
    </row>
    <row r="593" spans="1:2">
      <c r="A593" t="s">
        <v>6446</v>
      </c>
      <c r="B593" t="b">
        <v>0</v>
      </c>
    </row>
    <row r="594" spans="1:2">
      <c r="A594" t="s">
        <v>6447</v>
      </c>
      <c r="B594" t="b">
        <v>0</v>
      </c>
    </row>
    <row r="595" spans="1:2">
      <c r="A595" t="s">
        <v>6448</v>
      </c>
      <c r="B595">
        <v>1</v>
      </c>
    </row>
    <row r="596" spans="1:2">
      <c r="A596" t="s">
        <v>6449</v>
      </c>
      <c r="B596">
        <v>1</v>
      </c>
    </row>
    <row r="597" spans="1:2">
      <c r="A597" t="s">
        <v>6450</v>
      </c>
      <c r="B597">
        <v>1</v>
      </c>
    </row>
    <row r="598" spans="1:2">
      <c r="A598" t="s">
        <v>6451</v>
      </c>
      <c r="B598">
        <v>1</v>
      </c>
    </row>
    <row r="599" spans="1:2">
      <c r="A599" t="s">
        <v>6452</v>
      </c>
      <c r="B599">
        <v>1</v>
      </c>
    </row>
    <row r="600" spans="1:2">
      <c r="A600" t="s">
        <v>6453</v>
      </c>
      <c r="B600">
        <v>1</v>
      </c>
    </row>
    <row r="601" spans="1:2">
      <c r="A601" t="s">
        <v>6454</v>
      </c>
      <c r="B601">
        <v>1</v>
      </c>
    </row>
    <row r="602" spans="1:2">
      <c r="A602" t="s">
        <v>6455</v>
      </c>
      <c r="B602">
        <v>1</v>
      </c>
    </row>
    <row r="603" spans="1:2">
      <c r="A603" t="s">
        <v>6456</v>
      </c>
      <c r="B603">
        <v>1</v>
      </c>
    </row>
    <row r="604" spans="1:2">
      <c r="A604" t="s">
        <v>6457</v>
      </c>
      <c r="B604">
        <v>0</v>
      </c>
    </row>
    <row r="605" spans="1:2">
      <c r="A605" t="s">
        <v>6458</v>
      </c>
      <c r="B605">
        <v>0</v>
      </c>
    </row>
    <row r="606" spans="1:2">
      <c r="A606" t="s">
        <v>6459</v>
      </c>
      <c r="B606">
        <v>0</v>
      </c>
    </row>
    <row r="607" spans="1:2">
      <c r="A607" t="s">
        <v>6460</v>
      </c>
      <c r="B607">
        <v>0</v>
      </c>
    </row>
    <row r="608" spans="1:2">
      <c r="A608" t="s">
        <v>6461</v>
      </c>
      <c r="B608">
        <v>0</v>
      </c>
    </row>
    <row r="609" spans="1:2">
      <c r="A609" t="s">
        <v>6462</v>
      </c>
      <c r="B609">
        <v>0</v>
      </c>
    </row>
    <row r="610" spans="1:2">
      <c r="A610" t="s">
        <v>6463</v>
      </c>
      <c r="B610">
        <v>0</v>
      </c>
    </row>
    <row r="611" spans="1:2">
      <c r="A611" t="s">
        <v>6464</v>
      </c>
      <c r="B611">
        <v>0</v>
      </c>
    </row>
    <row r="612" spans="1:2">
      <c r="A612" t="s">
        <v>6465</v>
      </c>
      <c r="B612">
        <v>0</v>
      </c>
    </row>
    <row r="613" spans="1:2">
      <c r="A613" t="s">
        <v>6466</v>
      </c>
      <c r="B613">
        <v>450000</v>
      </c>
    </row>
    <row r="614" spans="1:2">
      <c r="A614" t="s">
        <v>6467</v>
      </c>
      <c r="B614">
        <v>900000</v>
      </c>
    </row>
    <row r="615" spans="1:2">
      <c r="A615" t="s">
        <v>6468</v>
      </c>
      <c r="B615">
        <v>250000</v>
      </c>
    </row>
    <row r="616" spans="1:2">
      <c r="A616" t="s">
        <v>6469</v>
      </c>
      <c r="B616">
        <v>400000</v>
      </c>
    </row>
    <row r="617" spans="1:2">
      <c r="A617" t="s">
        <v>6470</v>
      </c>
      <c r="B617">
        <v>600000</v>
      </c>
    </row>
    <row r="618" spans="1:2">
      <c r="A618" t="s">
        <v>6471</v>
      </c>
      <c r="B618">
        <v>200000</v>
      </c>
    </row>
    <row r="619" spans="1:2">
      <c r="A619" t="s">
        <v>6472</v>
      </c>
      <c r="B619">
        <v>400000</v>
      </c>
    </row>
    <row r="620" spans="1:2">
      <c r="A620" t="s">
        <v>6473</v>
      </c>
      <c r="B620">
        <v>500000</v>
      </c>
    </row>
    <row r="621" spans="1:2">
      <c r="A621" t="s">
        <v>6474</v>
      </c>
      <c r="B621">
        <v>150000</v>
      </c>
    </row>
    <row r="622" spans="1:2">
      <c r="A622" t="s">
        <v>6475</v>
      </c>
      <c r="B622">
        <v>1200</v>
      </c>
    </row>
    <row r="623" spans="1:2">
      <c r="A623" t="s">
        <v>6476</v>
      </c>
      <c r="B623">
        <v>0</v>
      </c>
    </row>
    <row r="624" spans="1:2">
      <c r="A624" t="s">
        <v>6477</v>
      </c>
      <c r="B624">
        <v>0</v>
      </c>
    </row>
    <row r="625" spans="1:2">
      <c r="A625" t="s">
        <v>6478</v>
      </c>
      <c r="B625">
        <v>0</v>
      </c>
    </row>
    <row r="626" spans="1:2">
      <c r="A626" t="s">
        <v>6479</v>
      </c>
      <c r="B626">
        <v>0</v>
      </c>
    </row>
    <row r="627" spans="1:2">
      <c r="A627" t="s">
        <v>6480</v>
      </c>
      <c r="B627">
        <v>0</v>
      </c>
    </row>
    <row r="628" spans="1:2">
      <c r="A628" t="s">
        <v>6481</v>
      </c>
      <c r="B628">
        <v>0</v>
      </c>
    </row>
    <row r="629" spans="1:2">
      <c r="A629" t="s">
        <v>6482</v>
      </c>
      <c r="B629">
        <v>0</v>
      </c>
    </row>
    <row r="630" spans="1:2">
      <c r="A630" t="s">
        <v>6483</v>
      </c>
      <c r="B630">
        <v>0</v>
      </c>
    </row>
    <row r="631" spans="1:2">
      <c r="A631" t="s">
        <v>6484</v>
      </c>
      <c r="B631">
        <v>1800</v>
      </c>
    </row>
    <row r="632" spans="1:2">
      <c r="A632" t="s">
        <v>6485</v>
      </c>
      <c r="B632">
        <v>0</v>
      </c>
    </row>
    <row r="633" spans="1:2">
      <c r="A633" t="s">
        <v>6486</v>
      </c>
      <c r="B633">
        <v>0</v>
      </c>
    </row>
    <row r="634" spans="1:2">
      <c r="A634" t="s">
        <v>6487</v>
      </c>
      <c r="B634">
        <v>0</v>
      </c>
    </row>
    <row r="635" spans="1:2">
      <c r="A635" t="s">
        <v>6488</v>
      </c>
      <c r="B635">
        <v>0</v>
      </c>
    </row>
    <row r="636" spans="1:2">
      <c r="A636" t="s">
        <v>6489</v>
      </c>
      <c r="B636">
        <v>0</v>
      </c>
    </row>
    <row r="637" spans="1:2">
      <c r="A637" t="s">
        <v>6490</v>
      </c>
      <c r="B637">
        <v>0</v>
      </c>
    </row>
    <row r="638" spans="1:2">
      <c r="A638" t="s">
        <v>6491</v>
      </c>
      <c r="B638">
        <v>0</v>
      </c>
    </row>
    <row r="639" spans="1:2">
      <c r="A639" t="s">
        <v>6492</v>
      </c>
      <c r="B639">
        <v>0</v>
      </c>
    </row>
    <row r="640" spans="1:2">
      <c r="A640" t="s">
        <v>6493</v>
      </c>
      <c r="B640">
        <v>2200</v>
      </c>
    </row>
    <row r="641" spans="1:2">
      <c r="A641" t="s">
        <v>6494</v>
      </c>
      <c r="B641">
        <v>0</v>
      </c>
    </row>
    <row r="642" spans="1:2">
      <c r="A642" t="s">
        <v>6495</v>
      </c>
      <c r="B642">
        <v>0</v>
      </c>
    </row>
    <row r="643" spans="1:2">
      <c r="A643" t="s">
        <v>6496</v>
      </c>
      <c r="B643">
        <v>0</v>
      </c>
    </row>
    <row r="644" spans="1:2">
      <c r="A644" t="s">
        <v>6497</v>
      </c>
      <c r="B644">
        <v>0</v>
      </c>
    </row>
    <row r="645" spans="1:2">
      <c r="A645" t="s">
        <v>6498</v>
      </c>
      <c r="B645">
        <v>0</v>
      </c>
    </row>
    <row r="646" spans="1:2">
      <c r="A646" t="s">
        <v>6499</v>
      </c>
      <c r="B646">
        <v>0</v>
      </c>
    </row>
    <row r="647" spans="1:2">
      <c r="A647" t="s">
        <v>6500</v>
      </c>
      <c r="B647">
        <v>0</v>
      </c>
    </row>
    <row r="648" spans="1:2">
      <c r="A648" t="s">
        <v>6501</v>
      </c>
      <c r="B648">
        <v>0</v>
      </c>
    </row>
    <row r="649" spans="1:2">
      <c r="A649" t="s">
        <v>6502</v>
      </c>
      <c r="B649">
        <v>825</v>
      </c>
    </row>
    <row r="650" spans="1:2">
      <c r="A650" t="s">
        <v>6503</v>
      </c>
      <c r="B650">
        <v>0</v>
      </c>
    </row>
    <row r="651" spans="1:2">
      <c r="A651" t="s">
        <v>6504</v>
      </c>
      <c r="B651">
        <v>0</v>
      </c>
    </row>
    <row r="652" spans="1:2">
      <c r="A652" t="s">
        <v>6505</v>
      </c>
      <c r="B652">
        <v>0</v>
      </c>
    </row>
    <row r="653" spans="1:2">
      <c r="A653" t="s">
        <v>6506</v>
      </c>
      <c r="B653">
        <v>0</v>
      </c>
    </row>
    <row r="654" spans="1:2">
      <c r="A654" t="s">
        <v>6507</v>
      </c>
      <c r="B654">
        <v>0</v>
      </c>
    </row>
    <row r="655" spans="1:2">
      <c r="A655" t="s">
        <v>6508</v>
      </c>
      <c r="B655">
        <v>0</v>
      </c>
    </row>
    <row r="656" spans="1:2">
      <c r="A656" t="s">
        <v>6509</v>
      </c>
      <c r="B656">
        <v>0</v>
      </c>
    </row>
    <row r="657" spans="1:2">
      <c r="A657" t="s">
        <v>6510</v>
      </c>
      <c r="B657">
        <v>0</v>
      </c>
    </row>
    <row r="658" spans="1:2">
      <c r="A658" t="s">
        <v>6511</v>
      </c>
      <c r="B658">
        <v>0</v>
      </c>
    </row>
    <row r="659" spans="1:2">
      <c r="A659" t="s">
        <v>6512</v>
      </c>
      <c r="B659">
        <v>0</v>
      </c>
    </row>
    <row r="660" spans="1:2">
      <c r="A660" t="s">
        <v>6513</v>
      </c>
      <c r="B660">
        <v>0</v>
      </c>
    </row>
    <row r="661" spans="1:2">
      <c r="A661" t="s">
        <v>6514</v>
      </c>
      <c r="B661">
        <v>0</v>
      </c>
    </row>
    <row r="662" spans="1:2">
      <c r="A662" t="s">
        <v>6515</v>
      </c>
      <c r="B662">
        <v>2700</v>
      </c>
    </row>
    <row r="663" spans="1:2">
      <c r="A663" t="s">
        <v>6516</v>
      </c>
      <c r="B663">
        <v>4500</v>
      </c>
    </row>
    <row r="664" spans="1:2">
      <c r="A664" t="s">
        <v>6517</v>
      </c>
      <c r="B664">
        <v>7200</v>
      </c>
    </row>
    <row r="665" spans="1:2">
      <c r="A665" t="s">
        <v>6518</v>
      </c>
      <c r="B665">
        <v>3000</v>
      </c>
    </row>
    <row r="666" spans="1:2">
      <c r="A666" t="s">
        <v>6519</v>
      </c>
      <c r="B666">
        <v>20</v>
      </c>
    </row>
    <row r="667" spans="1:2">
      <c r="A667" t="s">
        <v>6520</v>
      </c>
      <c r="B667">
        <v>136</v>
      </c>
    </row>
    <row r="668" spans="1:2">
      <c r="A668" t="s">
        <v>6521</v>
      </c>
      <c r="B668">
        <v>204</v>
      </c>
    </row>
    <row r="669" spans="1:2">
      <c r="A669" t="s">
        <v>6522</v>
      </c>
      <c r="B669">
        <v>0</v>
      </c>
    </row>
    <row r="670" spans="1:2">
      <c r="A670" t="s">
        <v>6523</v>
      </c>
      <c r="B670">
        <v>0</v>
      </c>
    </row>
    <row r="671" spans="1:2">
      <c r="A671" t="s">
        <v>6524</v>
      </c>
      <c r="B671">
        <v>0</v>
      </c>
    </row>
    <row r="672" spans="1:2">
      <c r="A672" t="s">
        <v>6525</v>
      </c>
      <c r="B672">
        <v>26</v>
      </c>
    </row>
    <row r="673" spans="1:2">
      <c r="A673" t="s">
        <v>6526</v>
      </c>
      <c r="B673" t="s">
        <v>2295</v>
      </c>
    </row>
    <row r="674" spans="1:2">
      <c r="A674" t="s">
        <v>6527</v>
      </c>
      <c r="B674" t="s">
        <v>2295</v>
      </c>
    </row>
    <row r="675" spans="1:2">
      <c r="A675" t="s">
        <v>6528</v>
      </c>
      <c r="B675" t="s">
        <v>2295</v>
      </c>
    </row>
    <row r="676" spans="1:2">
      <c r="A676" t="s">
        <v>6529</v>
      </c>
      <c r="B676">
        <v>0</v>
      </c>
    </row>
    <row r="677" spans="1:2">
      <c r="A677" t="s">
        <v>6530</v>
      </c>
      <c r="B677">
        <v>0</v>
      </c>
    </row>
    <row r="678" spans="1:2">
      <c r="A678" t="s">
        <v>6531</v>
      </c>
      <c r="B678">
        <v>0</v>
      </c>
    </row>
    <row r="679" spans="1:2">
      <c r="A679" t="s">
        <v>6532</v>
      </c>
      <c r="B679" t="s">
        <v>2295</v>
      </c>
    </row>
    <row r="680" spans="1:2">
      <c r="A680" t="s">
        <v>6533</v>
      </c>
      <c r="B680">
        <v>0</v>
      </c>
    </row>
    <row r="681" spans="1:2">
      <c r="A681" t="s">
        <v>6534</v>
      </c>
      <c r="B681">
        <v>0</v>
      </c>
    </row>
    <row r="682" spans="1:2">
      <c r="A682" t="s">
        <v>6535</v>
      </c>
      <c r="B682">
        <v>0</v>
      </c>
    </row>
    <row r="683" spans="1:2">
      <c r="A683" t="s">
        <v>6536</v>
      </c>
      <c r="B683">
        <v>0</v>
      </c>
    </row>
    <row r="684" spans="1:2">
      <c r="A684" t="s">
        <v>6537</v>
      </c>
      <c r="B684">
        <v>0</v>
      </c>
    </row>
    <row r="685" spans="1:2">
      <c r="A685" t="s">
        <v>6538</v>
      </c>
      <c r="B685">
        <v>0</v>
      </c>
    </row>
    <row r="686" spans="1:2">
      <c r="A686" t="s">
        <v>6539</v>
      </c>
      <c r="B686">
        <v>0</v>
      </c>
    </row>
    <row r="687" spans="1:2">
      <c r="A687" t="s">
        <v>6540</v>
      </c>
      <c r="B687">
        <v>0</v>
      </c>
    </row>
    <row r="688" spans="1:2">
      <c r="A688" t="s">
        <v>6541</v>
      </c>
      <c r="B688">
        <v>194</v>
      </c>
    </row>
    <row r="689" spans="1:2">
      <c r="A689" t="s">
        <v>6542</v>
      </c>
      <c r="B689" t="s">
        <v>2295</v>
      </c>
    </row>
    <row r="690" spans="1:2">
      <c r="A690" t="s">
        <v>6543</v>
      </c>
      <c r="B690">
        <v>80</v>
      </c>
    </row>
    <row r="691" spans="1:2">
      <c r="A691" t="s">
        <v>6544</v>
      </c>
      <c r="B691">
        <v>120</v>
      </c>
    </row>
    <row r="692" spans="1:2">
      <c r="A692" t="s">
        <v>6545</v>
      </c>
      <c r="B692">
        <v>120</v>
      </c>
    </row>
    <row r="693" spans="1:2">
      <c r="A693" t="s">
        <v>6546</v>
      </c>
      <c r="B693">
        <v>120</v>
      </c>
    </row>
    <row r="694" spans="1:2">
      <c r="A694" t="s">
        <v>6547</v>
      </c>
      <c r="B694">
        <v>120</v>
      </c>
    </row>
    <row r="695" spans="1:2">
      <c r="A695" t="s">
        <v>6548</v>
      </c>
      <c r="B695">
        <v>4250</v>
      </c>
    </row>
    <row r="696" spans="1:2">
      <c r="A696" t="s">
        <v>6549</v>
      </c>
      <c r="B696">
        <v>4250</v>
      </c>
    </row>
    <row r="697" spans="1:2">
      <c r="A697" t="s">
        <v>6550</v>
      </c>
      <c r="B697">
        <v>4250</v>
      </c>
    </row>
    <row r="698" spans="1:2">
      <c r="A698" t="s">
        <v>6551</v>
      </c>
      <c r="B698">
        <v>1000</v>
      </c>
    </row>
    <row r="699" spans="1:2">
      <c r="A699" t="s">
        <v>6552</v>
      </c>
      <c r="B699">
        <v>1500</v>
      </c>
    </row>
    <row r="700" spans="1:2">
      <c r="A700" t="s">
        <v>6553</v>
      </c>
      <c r="B700" t="s">
        <v>2450</v>
      </c>
    </row>
    <row r="701" spans="1:2">
      <c r="A701" t="s">
        <v>6554</v>
      </c>
      <c r="B701" t="s">
        <v>2450</v>
      </c>
    </row>
    <row r="702" spans="1:2">
      <c r="A702" t="s">
        <v>6555</v>
      </c>
      <c r="B702" t="s">
        <v>2450</v>
      </c>
    </row>
    <row r="703" spans="1:2">
      <c r="A703" t="s">
        <v>6556</v>
      </c>
      <c r="B703"/>
    </row>
    <row r="704" spans="1:2">
      <c r="A704" t="s">
        <v>6557</v>
      </c>
      <c r="B704">
        <v>7500</v>
      </c>
    </row>
    <row r="705" spans="1:2">
      <c r="A705" t="s">
        <v>6575</v>
      </c>
      <c r="B705">
        <v>90000</v>
      </c>
    </row>
    <row r="706" spans="1:2">
      <c r="A706" t="s">
        <v>6576</v>
      </c>
      <c r="B706">
        <v>40000</v>
      </c>
    </row>
    <row r="707" spans="1:2">
      <c r="A707" t="s">
        <v>6577</v>
      </c>
      <c r="B707">
        <v>15000</v>
      </c>
    </row>
    <row r="708" spans="1:2">
      <c r="A708" t="s">
        <v>6558</v>
      </c>
      <c r="B708">
        <v>3</v>
      </c>
    </row>
    <row r="709" spans="1:2">
      <c r="A709" t="s">
        <v>6559</v>
      </c>
      <c r="B709">
        <v>3</v>
      </c>
    </row>
    <row r="710" spans="1:2">
      <c r="A710" t="s">
        <v>6560</v>
      </c>
      <c r="B710"/>
    </row>
    <row r="711" spans="1:2">
      <c r="A711" t="s">
        <v>6561</v>
      </c>
      <c r="B711"/>
    </row>
    <row r="712" spans="1:2">
      <c r="A712" t="s">
        <v>6562</v>
      </c>
      <c r="B712"/>
    </row>
    <row r="713" spans="1:2">
      <c r="A713" t="s">
        <v>6563</v>
      </c>
      <c r="B713"/>
    </row>
    <row r="714" spans="1:2">
      <c r="A714" t="s">
        <v>6564</v>
      </c>
      <c r="B714"/>
    </row>
    <row r="715" spans="1:2">
      <c r="A715" t="s">
        <v>6565</v>
      </c>
      <c r="B715" t="s">
        <v>6571</v>
      </c>
    </row>
    <row r="716" spans="1:2">
      <c r="A716" t="s">
        <v>6566</v>
      </c>
      <c r="B716" t="s">
        <v>6571</v>
      </c>
    </row>
    <row r="717" spans="1:2">
      <c r="A717" t="s">
        <v>6567</v>
      </c>
      <c r="B717">
        <v>0</v>
      </c>
    </row>
    <row r="718" spans="1:2">
      <c r="A718" t="s">
        <v>6568</v>
      </c>
      <c r="B718">
        <v>0</v>
      </c>
    </row>
    <row r="719" spans="1:2">
      <c r="A719" t="s">
        <v>6569</v>
      </c>
      <c r="B719">
        <v>0</v>
      </c>
    </row>
    <row r="720" spans="1:2">
      <c r="A720" t="s">
        <v>6570</v>
      </c>
      <c r="B720">
        <v>0</v>
      </c>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row r="810" spans="1:2">
      <c r="A810"/>
      <c r="B810"/>
    </row>
    <row r="811" spans="1:2">
      <c r="A811"/>
      <c r="B811"/>
    </row>
    <row r="812" spans="1:2">
      <c r="A812"/>
      <c r="B812"/>
    </row>
    <row r="813" spans="1:2">
      <c r="A813"/>
      <c r="B813"/>
    </row>
    <row r="814" spans="1:2">
      <c r="A814"/>
      <c r="B814"/>
    </row>
    <row r="815" spans="1:2">
      <c r="A815"/>
      <c r="B815"/>
    </row>
    <row r="816" spans="1:2">
      <c r="A816"/>
      <c r="B816"/>
    </row>
    <row r="817" spans="1:2">
      <c r="A817"/>
      <c r="B817"/>
    </row>
    <row r="818" spans="1:2">
      <c r="A818"/>
      <c r="B818"/>
    </row>
    <row r="819" spans="1:2">
      <c r="A819"/>
      <c r="B819"/>
    </row>
    <row r="820" spans="1:2">
      <c r="A820"/>
      <c r="B820"/>
    </row>
    <row r="821" spans="1:2">
      <c r="A821"/>
      <c r="B821"/>
    </row>
    <row r="822" spans="1:2">
      <c r="A822"/>
      <c r="B822"/>
    </row>
    <row r="823" spans="1:2">
      <c r="A823"/>
      <c r="B823"/>
    </row>
    <row r="824" spans="1:2">
      <c r="A824"/>
      <c r="B824"/>
    </row>
    <row r="825" spans="1:2">
      <c r="A825"/>
      <c r="B825"/>
    </row>
    <row r="826" spans="1:2">
      <c r="A826"/>
      <c r="B826"/>
    </row>
    <row r="827" spans="1:2">
      <c r="A827"/>
      <c r="B827"/>
    </row>
    <row r="828" spans="1:2">
      <c r="A828"/>
      <c r="B828"/>
    </row>
    <row r="829" spans="1:2">
      <c r="A829"/>
      <c r="B829"/>
    </row>
    <row r="830" spans="1:2">
      <c r="A830"/>
      <c r="B830"/>
    </row>
    <row r="831" spans="1:2">
      <c r="A831"/>
      <c r="B831"/>
    </row>
    <row r="832" spans="1:2">
      <c r="A832"/>
      <c r="B832"/>
    </row>
    <row r="833" spans="1:2">
      <c r="A833"/>
      <c r="B833"/>
    </row>
    <row r="834" spans="1:2">
      <c r="A834"/>
      <c r="B834"/>
    </row>
    <row r="835" spans="1:2">
      <c r="A835"/>
      <c r="B835"/>
    </row>
    <row r="836" spans="1:2">
      <c r="A836"/>
      <c r="B836"/>
    </row>
    <row r="837" spans="1:2">
      <c r="A837"/>
      <c r="B837"/>
    </row>
    <row r="838" spans="1:2">
      <c r="A838"/>
      <c r="B838"/>
    </row>
    <row r="839" spans="1:2">
      <c r="A839"/>
      <c r="B839"/>
    </row>
    <row r="840" spans="1:2">
      <c r="A840"/>
      <c r="B840"/>
    </row>
    <row r="841" spans="1:2">
      <c r="A841"/>
      <c r="B841"/>
    </row>
    <row r="842" spans="1:2">
      <c r="A842"/>
      <c r="B842"/>
    </row>
    <row r="843" spans="1:2">
      <c r="A843"/>
      <c r="B843"/>
    </row>
    <row r="844" spans="1:2">
      <c r="A844"/>
      <c r="B844"/>
    </row>
    <row r="845" spans="1:2">
      <c r="A845"/>
      <c r="B845"/>
    </row>
    <row r="846" spans="1:2">
      <c r="A846"/>
      <c r="B846"/>
    </row>
    <row r="847" spans="1:2">
      <c r="A847"/>
      <c r="B847"/>
    </row>
    <row r="848" spans="1:2">
      <c r="A848"/>
      <c r="B848"/>
    </row>
    <row r="849" spans="1:2">
      <c r="A849"/>
      <c r="B849"/>
    </row>
    <row r="850" spans="1:2">
      <c r="A850"/>
      <c r="B850"/>
    </row>
    <row r="851" spans="1:2">
      <c r="A851"/>
      <c r="B851"/>
    </row>
    <row r="852" spans="1:2">
      <c r="A852"/>
      <c r="B852"/>
    </row>
    <row r="853" spans="1:2">
      <c r="A853"/>
      <c r="B853"/>
    </row>
    <row r="854" spans="1:2">
      <c r="A854"/>
      <c r="B854"/>
    </row>
    <row r="855" spans="1:2">
      <c r="A855"/>
      <c r="B855"/>
    </row>
    <row r="856" spans="1:2">
      <c r="A856"/>
      <c r="B856"/>
    </row>
    <row r="857" spans="1:2">
      <c r="A857"/>
      <c r="B857"/>
    </row>
    <row r="858" spans="1:2">
      <c r="A858"/>
      <c r="B858"/>
    </row>
    <row r="859" spans="1:2">
      <c r="A859"/>
      <c r="B859"/>
    </row>
    <row r="860" spans="1:2">
      <c r="A860"/>
      <c r="B860"/>
    </row>
    <row r="861" spans="1:2">
      <c r="A861"/>
      <c r="B861"/>
    </row>
    <row r="862" spans="1:2">
      <c r="A862"/>
      <c r="B862"/>
    </row>
    <row r="863" spans="1:2">
      <c r="A863"/>
      <c r="B863"/>
    </row>
    <row r="864" spans="1:2">
      <c r="A864"/>
      <c r="B864"/>
    </row>
    <row r="865" spans="1:2">
      <c r="A865"/>
      <c r="B865"/>
    </row>
    <row r="866" spans="1:2">
      <c r="A866"/>
      <c r="B866"/>
    </row>
    <row r="867" spans="1:2">
      <c r="A867"/>
      <c r="B867"/>
    </row>
    <row r="868" spans="1:2">
      <c r="A868"/>
      <c r="B868"/>
    </row>
    <row r="869" spans="1:2">
      <c r="A869"/>
      <c r="B869"/>
    </row>
    <row r="870" spans="1:2">
      <c r="A870"/>
      <c r="B870"/>
    </row>
    <row r="871" spans="1:2">
      <c r="A871"/>
      <c r="B871"/>
    </row>
    <row r="872" spans="1:2">
      <c r="A872"/>
      <c r="B872"/>
    </row>
    <row r="873" spans="1:2">
      <c r="A873"/>
      <c r="B873"/>
    </row>
    <row r="874" spans="1:2">
      <c r="A874"/>
      <c r="B874"/>
    </row>
    <row r="875" spans="1:2">
      <c r="A875"/>
      <c r="B875"/>
    </row>
    <row r="876" spans="1:2">
      <c r="A876"/>
      <c r="B876"/>
    </row>
    <row r="877" spans="1:2">
      <c r="A877"/>
      <c r="B877"/>
    </row>
    <row r="878" spans="1:2">
      <c r="A878"/>
      <c r="B878"/>
    </row>
    <row r="879" spans="1:2">
      <c r="A879"/>
      <c r="B879"/>
    </row>
    <row r="880" spans="1:2">
      <c r="A880"/>
      <c r="B880"/>
    </row>
    <row r="881" spans="1:2">
      <c r="A881"/>
      <c r="B881"/>
    </row>
    <row r="882" spans="1:2">
      <c r="A882"/>
      <c r="B882"/>
    </row>
    <row r="883" spans="1:2">
      <c r="A883"/>
      <c r="B883"/>
    </row>
    <row r="884" spans="1:2">
      <c r="A884"/>
      <c r="B884"/>
    </row>
    <row r="885" spans="1:2">
      <c r="A885"/>
      <c r="B885"/>
    </row>
    <row r="886" spans="1:2">
      <c r="A886"/>
      <c r="B886"/>
    </row>
    <row r="887" spans="1:2">
      <c r="A887"/>
      <c r="B887"/>
    </row>
    <row r="888" spans="1:2">
      <c r="A888"/>
      <c r="B888"/>
    </row>
    <row r="889" spans="1:2">
      <c r="A889"/>
      <c r="B889"/>
    </row>
    <row r="890" spans="1:2">
      <c r="A890"/>
      <c r="B890"/>
    </row>
    <row r="891" spans="1:2">
      <c r="A891"/>
      <c r="B891"/>
    </row>
    <row r="892" spans="1:2">
      <c r="A892"/>
      <c r="B892"/>
    </row>
    <row r="893" spans="1:2">
      <c r="A893"/>
      <c r="B893"/>
    </row>
    <row r="894" spans="1:2">
      <c r="A894"/>
      <c r="B894"/>
    </row>
    <row r="895" spans="1:2">
      <c r="A895"/>
      <c r="B895"/>
    </row>
    <row r="896" spans="1:2">
      <c r="A896"/>
      <c r="B896"/>
    </row>
    <row r="897" spans="1:2">
      <c r="A897"/>
      <c r="B897"/>
    </row>
    <row r="898" spans="1:2">
      <c r="A898"/>
      <c r="B898"/>
    </row>
    <row r="899" spans="1:2">
      <c r="A899"/>
      <c r="B899"/>
    </row>
    <row r="900" spans="1:2">
      <c r="A900"/>
      <c r="B900"/>
    </row>
    <row r="901" spans="1:2">
      <c r="A901"/>
      <c r="B901"/>
    </row>
    <row r="902" spans="1:2">
      <c r="A902"/>
      <c r="B902"/>
    </row>
    <row r="903" spans="1:2">
      <c r="A903"/>
      <c r="B903"/>
    </row>
    <row r="904" spans="1:2">
      <c r="A904"/>
      <c r="B904"/>
    </row>
    <row r="905" spans="1:2">
      <c r="A905"/>
      <c r="B905"/>
    </row>
    <row r="906" spans="1:2">
      <c r="A906"/>
      <c r="B906"/>
    </row>
    <row r="907" spans="1:2">
      <c r="A907"/>
      <c r="B907"/>
    </row>
    <row r="908" spans="1:2">
      <c r="A908"/>
      <c r="B908"/>
    </row>
    <row r="909" spans="1:2">
      <c r="A909"/>
      <c r="B909"/>
    </row>
    <row r="910" spans="1:2">
      <c r="A910"/>
      <c r="B910"/>
    </row>
    <row r="911" spans="1:2">
      <c r="A911"/>
      <c r="B911"/>
    </row>
    <row r="912" spans="1:2">
      <c r="A912"/>
      <c r="B912"/>
    </row>
    <row r="913" spans="1:2">
      <c r="A913"/>
      <c r="B913"/>
    </row>
    <row r="914" spans="1:2">
      <c r="A914"/>
      <c r="B914"/>
    </row>
    <row r="915" spans="1:2">
      <c r="A915"/>
      <c r="B915"/>
    </row>
    <row r="916" spans="1:2">
      <c r="A916"/>
      <c r="B916"/>
    </row>
    <row r="917" spans="1:2">
      <c r="A917"/>
      <c r="B917"/>
    </row>
    <row r="918" spans="1:2">
      <c r="A918"/>
      <c r="B918"/>
    </row>
    <row r="919" spans="1:2">
      <c r="A919"/>
      <c r="B919"/>
    </row>
    <row r="920" spans="1:2">
      <c r="A920"/>
      <c r="B920"/>
    </row>
    <row r="921" spans="1:2">
      <c r="A921"/>
      <c r="B921"/>
    </row>
    <row r="922" spans="1:2">
      <c r="A922"/>
      <c r="B922"/>
    </row>
    <row r="923" spans="1:2">
      <c r="A923"/>
      <c r="B923"/>
    </row>
    <row r="924" spans="1:2">
      <c r="A924"/>
      <c r="B924"/>
    </row>
    <row r="925" spans="1:2">
      <c r="A925"/>
      <c r="B925"/>
    </row>
    <row r="926" spans="1:2">
      <c r="A926"/>
      <c r="B926"/>
    </row>
    <row r="927" spans="1:2">
      <c r="A927"/>
      <c r="B927"/>
    </row>
    <row r="928" spans="1:2">
      <c r="A928"/>
      <c r="B928"/>
    </row>
    <row r="929" spans="1:2">
      <c r="A929"/>
      <c r="B929"/>
    </row>
    <row r="930" spans="1:2">
      <c r="A930"/>
      <c r="B930"/>
    </row>
    <row r="931" spans="1:2">
      <c r="A931"/>
      <c r="B931"/>
    </row>
    <row r="932" spans="1:2">
      <c r="A932"/>
      <c r="B932"/>
    </row>
    <row r="933" spans="1:2">
      <c r="A933"/>
      <c r="B933"/>
    </row>
    <row r="934" spans="1:2">
      <c r="A934"/>
      <c r="B934"/>
    </row>
    <row r="935" spans="1:2">
      <c r="A935"/>
      <c r="B935"/>
    </row>
    <row r="936" spans="1:2">
      <c r="A936"/>
      <c r="B936"/>
    </row>
    <row r="937" spans="1:2">
      <c r="A937"/>
      <c r="B937"/>
    </row>
    <row r="938" spans="1:2">
      <c r="A938"/>
      <c r="B938"/>
    </row>
    <row r="939" spans="1:2">
      <c r="A939"/>
      <c r="B939"/>
    </row>
    <row r="940" spans="1:2">
      <c r="A940"/>
      <c r="B940"/>
    </row>
    <row r="941" spans="1:2">
      <c r="A941"/>
      <c r="B941"/>
    </row>
    <row r="942" spans="1:2">
      <c r="A942"/>
      <c r="B942"/>
    </row>
    <row r="943" spans="1:2">
      <c r="A943"/>
      <c r="B943"/>
    </row>
    <row r="944" spans="1:2">
      <c r="A944"/>
      <c r="B944"/>
    </row>
    <row r="945" spans="1:2">
      <c r="A945"/>
      <c r="B945"/>
    </row>
    <row r="946" spans="1:2">
      <c r="A946"/>
      <c r="B946"/>
    </row>
    <row r="947" spans="1:2">
      <c r="A947"/>
      <c r="B947"/>
    </row>
    <row r="948" spans="1:2">
      <c r="A948"/>
      <c r="B948"/>
    </row>
    <row r="949" spans="1:2">
      <c r="A949"/>
      <c r="B949"/>
    </row>
    <row r="950" spans="1:2">
      <c r="A950"/>
      <c r="B950"/>
    </row>
    <row r="951" spans="1:2">
      <c r="A951"/>
      <c r="B951"/>
    </row>
    <row r="952" spans="1:2">
      <c r="A952"/>
      <c r="B952"/>
    </row>
    <row r="953" spans="1:2">
      <c r="A953"/>
      <c r="B953"/>
    </row>
    <row r="954" spans="1:2">
      <c r="A954"/>
      <c r="B954"/>
    </row>
    <row r="955" spans="1:2">
      <c r="A955"/>
      <c r="B955"/>
    </row>
    <row r="956" spans="1:2">
      <c r="A956"/>
      <c r="B956"/>
    </row>
    <row r="957" spans="1:2">
      <c r="A957"/>
      <c r="B957"/>
    </row>
    <row r="958" spans="1:2">
      <c r="A958"/>
      <c r="B958"/>
    </row>
    <row r="959" spans="1:2">
      <c r="A959"/>
      <c r="B959"/>
    </row>
    <row r="960" spans="1:2">
      <c r="A960"/>
      <c r="B960"/>
    </row>
    <row r="961" spans="1:2">
      <c r="A961"/>
      <c r="B961"/>
    </row>
    <row r="962" spans="1:2">
      <c r="A962"/>
      <c r="B962"/>
    </row>
    <row r="963" spans="1:2">
      <c r="A963"/>
      <c r="B963"/>
    </row>
    <row r="964" spans="1:2">
      <c r="A964"/>
      <c r="B964"/>
    </row>
    <row r="965" spans="1:2">
      <c r="A965"/>
      <c r="B965"/>
    </row>
    <row r="966" spans="1:2">
      <c r="A966"/>
      <c r="B966"/>
    </row>
    <row r="967" spans="1:2">
      <c r="A967"/>
      <c r="B967"/>
    </row>
    <row r="968" spans="1:2">
      <c r="A968"/>
      <c r="B968"/>
    </row>
    <row r="969" spans="1:2">
      <c r="A969"/>
      <c r="B969"/>
    </row>
    <row r="970" spans="1:2">
      <c r="A970"/>
      <c r="B970"/>
    </row>
    <row r="971" spans="1:2">
      <c r="A971"/>
      <c r="B971"/>
    </row>
    <row r="972" spans="1:2">
      <c r="A972"/>
      <c r="B972"/>
    </row>
    <row r="973" spans="1:2">
      <c r="A973"/>
      <c r="B973"/>
    </row>
    <row r="974" spans="1:2">
      <c r="A974"/>
      <c r="B974"/>
    </row>
    <row r="975" spans="1:2">
      <c r="A975"/>
      <c r="B975"/>
    </row>
    <row r="976" spans="1:2">
      <c r="A976"/>
      <c r="B976"/>
    </row>
    <row r="977" spans="1:2">
      <c r="A977"/>
      <c r="B977"/>
    </row>
    <row r="978" spans="1:2">
      <c r="A978"/>
      <c r="B978"/>
    </row>
    <row r="979" spans="1:2">
      <c r="A979"/>
      <c r="B979"/>
    </row>
    <row r="980" spans="1:2">
      <c r="A980"/>
      <c r="B980"/>
    </row>
    <row r="981" spans="1:2">
      <c r="A981"/>
      <c r="B981"/>
    </row>
    <row r="982" spans="1:2">
      <c r="A982"/>
      <c r="B982"/>
    </row>
    <row r="983" spans="1:2">
      <c r="A983"/>
      <c r="B983"/>
    </row>
    <row r="984" spans="1:2">
      <c r="A984"/>
      <c r="B984"/>
    </row>
    <row r="985" spans="1:2">
      <c r="A985"/>
      <c r="B985"/>
    </row>
    <row r="986" spans="1:2">
      <c r="A986"/>
      <c r="B986"/>
    </row>
    <row r="987" spans="1:2">
      <c r="A987"/>
      <c r="B987"/>
    </row>
    <row r="988" spans="1:2">
      <c r="A988"/>
      <c r="B988"/>
    </row>
    <row r="989" spans="1:2">
      <c r="A989"/>
      <c r="B989"/>
    </row>
    <row r="990" spans="1:2">
      <c r="A990"/>
      <c r="B990"/>
    </row>
    <row r="991" spans="1:2">
      <c r="A991"/>
      <c r="B991"/>
    </row>
    <row r="992" spans="1:2">
      <c r="A992"/>
      <c r="B992"/>
    </row>
    <row r="993" spans="1:2">
      <c r="A993"/>
      <c r="B993"/>
    </row>
    <row r="994" spans="1:2">
      <c r="A994"/>
      <c r="B994"/>
    </row>
    <row r="995" spans="1:2">
      <c r="A995"/>
      <c r="B995"/>
    </row>
    <row r="996" spans="1:2">
      <c r="A996"/>
      <c r="B996"/>
    </row>
    <row r="997" spans="1:2">
      <c r="A997"/>
      <c r="B997"/>
    </row>
    <row r="998" spans="1:2">
      <c r="A998"/>
      <c r="B998"/>
    </row>
    <row r="999" spans="1:2">
      <c r="A999"/>
      <c r="B999"/>
    </row>
    <row r="1000" spans="1:2">
      <c r="A1000"/>
      <c r="B1000"/>
    </row>
    <row r="1001" spans="1:2">
      <c r="A1001"/>
      <c r="B1001"/>
    </row>
    <row r="1002" spans="1:2">
      <c r="A1002"/>
      <c r="B1002"/>
    </row>
    <row r="1003" spans="1:2">
      <c r="A1003"/>
      <c r="B1003"/>
    </row>
    <row r="1004" spans="1:2">
      <c r="A1004"/>
      <c r="B1004"/>
    </row>
    <row r="1005" spans="1:2">
      <c r="A1005"/>
      <c r="B1005"/>
    </row>
    <row r="1006" spans="1:2">
      <c r="A1006"/>
      <c r="B1006"/>
    </row>
    <row r="1007" spans="1:2">
      <c r="A1007"/>
      <c r="B1007"/>
    </row>
    <row r="1008" spans="1:2">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row r="1083" spans="1:2">
      <c r="A1083"/>
      <c r="B1083"/>
    </row>
    <row r="1084" spans="1:2">
      <c r="A1084"/>
      <c r="B1084"/>
    </row>
    <row r="1085" spans="1:2">
      <c r="A1085"/>
      <c r="B1085"/>
    </row>
    <row r="1086" spans="1:2">
      <c r="A1086"/>
      <c r="B1086"/>
    </row>
    <row r="1087" spans="1:2">
      <c r="A1087"/>
      <c r="B1087"/>
    </row>
    <row r="1088" spans="1:2">
      <c r="A1088"/>
      <c r="B1088"/>
    </row>
    <row r="1089" spans="1:2">
      <c r="A1089"/>
      <c r="B1089"/>
    </row>
    <row r="1090" spans="1:2">
      <c r="A1090"/>
      <c r="B1090"/>
    </row>
    <row r="1091" spans="1:2">
      <c r="A1091"/>
      <c r="B1091"/>
    </row>
    <row r="1092" spans="1:2">
      <c r="A1092"/>
      <c r="B1092"/>
    </row>
    <row r="1093" spans="1:2">
      <c r="A1093"/>
      <c r="B1093"/>
    </row>
    <row r="1094" spans="1:2">
      <c r="A1094"/>
      <c r="B1094"/>
    </row>
    <row r="1095" spans="1:2">
      <c r="A1095"/>
      <c r="B1095"/>
    </row>
    <row r="1096" spans="1:2">
      <c r="A1096"/>
      <c r="B1096"/>
    </row>
    <row r="1097" spans="1:2">
      <c r="A1097"/>
      <c r="B1097"/>
    </row>
    <row r="1098" spans="1:2">
      <c r="A1098"/>
      <c r="B1098"/>
    </row>
    <row r="1099" spans="1:2">
      <c r="A1099"/>
      <c r="B1099"/>
    </row>
    <row r="1100" spans="1:2">
      <c r="A1100"/>
      <c r="B1100"/>
    </row>
    <row r="1101" spans="1:2">
      <c r="A1101"/>
      <c r="B1101"/>
    </row>
    <row r="1102" spans="1:2">
      <c r="A1102"/>
      <c r="B1102"/>
    </row>
    <row r="1103" spans="1:2">
      <c r="A1103"/>
      <c r="B1103"/>
    </row>
    <row r="1104" spans="1:2">
      <c r="A1104"/>
      <c r="B1104"/>
    </row>
    <row r="1105" spans="1:2">
      <c r="A1105"/>
      <c r="B1105"/>
    </row>
    <row r="1106" spans="1:2">
      <c r="A1106"/>
      <c r="B1106"/>
    </row>
    <row r="1107" spans="1:2">
      <c r="A1107"/>
      <c r="B1107"/>
    </row>
    <row r="1108" spans="1:2">
      <c r="A1108"/>
      <c r="B1108"/>
    </row>
    <row r="1109" spans="1:2">
      <c r="A1109"/>
      <c r="B1109"/>
    </row>
    <row r="1110" spans="1:2">
      <c r="A1110"/>
      <c r="B1110"/>
    </row>
    <row r="1111" spans="1:2">
      <c r="A1111"/>
      <c r="B1111"/>
    </row>
    <row r="1112" spans="1:2">
      <c r="A1112"/>
      <c r="B1112"/>
    </row>
    <row r="1113" spans="1:2">
      <c r="A1113"/>
      <c r="B1113"/>
    </row>
    <row r="1114" spans="1:2">
      <c r="A1114"/>
      <c r="B1114"/>
    </row>
    <row r="1115" spans="1:2">
      <c r="A1115"/>
      <c r="B1115"/>
    </row>
    <row r="1116" spans="1:2">
      <c r="A1116"/>
      <c r="B1116"/>
    </row>
    <row r="1117" spans="1:2">
      <c r="A1117"/>
      <c r="B1117"/>
    </row>
    <row r="1118" spans="1:2">
      <c r="A1118"/>
      <c r="B1118"/>
    </row>
    <row r="1119" spans="1:2">
      <c r="A1119"/>
      <c r="B1119"/>
    </row>
    <row r="1120" spans="1:2">
      <c r="A1120"/>
      <c r="B1120"/>
    </row>
    <row r="1121" spans="1:2">
      <c r="A1121"/>
      <c r="B1121"/>
    </row>
    <row r="1122" spans="1:2">
      <c r="A1122"/>
      <c r="B1122"/>
    </row>
    <row r="1123" spans="1:2">
      <c r="A1123"/>
      <c r="B1123"/>
    </row>
    <row r="1124" spans="1:2">
      <c r="A1124"/>
      <c r="B1124"/>
    </row>
    <row r="1125" spans="1:2">
      <c r="A1125"/>
      <c r="B1125"/>
    </row>
    <row r="1126" spans="1:2">
      <c r="A1126"/>
      <c r="B1126"/>
    </row>
    <row r="1127" spans="1:2">
      <c r="A1127"/>
      <c r="B1127"/>
    </row>
    <row r="1128" spans="1:2">
      <c r="A1128"/>
      <c r="B1128"/>
    </row>
    <row r="1129" spans="1:2">
      <c r="A1129"/>
      <c r="B1129"/>
    </row>
    <row r="1130" spans="1:2">
      <c r="A1130"/>
      <c r="B1130"/>
    </row>
    <row r="1131" spans="1:2">
      <c r="A1131"/>
      <c r="B1131"/>
    </row>
    <row r="1132" spans="1:2">
      <c r="A1132"/>
      <c r="B1132"/>
    </row>
    <row r="1133" spans="1:2">
      <c r="A1133"/>
      <c r="B1133"/>
    </row>
    <row r="1134" spans="1:2">
      <c r="A1134"/>
      <c r="B1134"/>
    </row>
    <row r="1135" spans="1:2">
      <c r="A1135"/>
      <c r="B1135"/>
    </row>
    <row r="1136" spans="1:2">
      <c r="A1136"/>
      <c r="B1136"/>
    </row>
    <row r="1137" spans="1:2">
      <c r="A1137"/>
      <c r="B1137"/>
    </row>
    <row r="1138" spans="1:2">
      <c r="A1138"/>
      <c r="B1138"/>
    </row>
    <row r="1139" spans="1:2">
      <c r="A1139"/>
      <c r="B1139"/>
    </row>
    <row r="1140" spans="1:2">
      <c r="A1140"/>
      <c r="B1140"/>
    </row>
    <row r="1141" spans="1:2">
      <c r="A1141"/>
      <c r="B1141"/>
    </row>
    <row r="1142" spans="1:2">
      <c r="A1142"/>
      <c r="B1142"/>
    </row>
    <row r="1143" spans="1:2">
      <c r="A1143"/>
      <c r="B1143"/>
    </row>
    <row r="1144" spans="1:2">
      <c r="A1144"/>
      <c r="B1144"/>
    </row>
    <row r="1145" spans="1:2">
      <c r="A1145"/>
      <c r="B1145"/>
    </row>
    <row r="1146" spans="1:2">
      <c r="A1146"/>
      <c r="B1146"/>
    </row>
    <row r="1147" spans="1:2">
      <c r="A1147"/>
      <c r="B1147"/>
    </row>
    <row r="1148" spans="1:2">
      <c r="A1148"/>
      <c r="B1148"/>
    </row>
    <row r="1149" spans="1:2">
      <c r="A1149"/>
      <c r="B1149"/>
    </row>
    <row r="1150" spans="1:2">
      <c r="A1150"/>
      <c r="B1150"/>
    </row>
    <row r="1151" spans="1:2">
      <c r="A1151"/>
      <c r="B1151"/>
    </row>
    <row r="1152" spans="1:2">
      <c r="A1152"/>
      <c r="B1152"/>
    </row>
    <row r="1153" spans="1:2">
      <c r="A1153"/>
      <c r="B1153"/>
    </row>
    <row r="1154" spans="1:2">
      <c r="A1154"/>
      <c r="B1154"/>
    </row>
    <row r="1155" spans="1:2">
      <c r="A1155"/>
      <c r="B1155"/>
    </row>
    <row r="1156" spans="1:2">
      <c r="A1156"/>
      <c r="B1156"/>
    </row>
    <row r="1157" spans="1:2">
      <c r="A1157"/>
      <c r="B1157"/>
    </row>
    <row r="1158" spans="1:2">
      <c r="A1158"/>
      <c r="B1158"/>
    </row>
    <row r="1159" spans="1:2">
      <c r="A1159"/>
      <c r="B1159"/>
    </row>
    <row r="1160" spans="1:2">
      <c r="A1160"/>
      <c r="B1160"/>
    </row>
    <row r="1161" spans="1:2">
      <c r="A1161"/>
      <c r="B1161"/>
    </row>
    <row r="1162" spans="1:2">
      <c r="A1162"/>
      <c r="B1162"/>
    </row>
    <row r="1163" spans="1:2">
      <c r="A1163"/>
      <c r="B1163"/>
    </row>
    <row r="1164" spans="1:2">
      <c r="A1164"/>
      <c r="B1164"/>
    </row>
    <row r="1165" spans="1:2">
      <c r="A1165"/>
      <c r="B1165"/>
    </row>
    <row r="1166" spans="1:2">
      <c r="A1166"/>
      <c r="B1166"/>
    </row>
    <row r="1167" spans="1:2">
      <c r="A1167"/>
      <c r="B1167"/>
    </row>
    <row r="1168" spans="1:2">
      <c r="A1168"/>
      <c r="B1168"/>
    </row>
    <row r="1169" spans="1:2">
      <c r="A1169"/>
      <c r="B1169"/>
    </row>
    <row r="1170" spans="1:2">
      <c r="A1170"/>
      <c r="B1170"/>
    </row>
    <row r="1171" spans="1:2">
      <c r="A1171"/>
      <c r="B1171"/>
    </row>
    <row r="1172" spans="1:2">
      <c r="A1172"/>
      <c r="B1172"/>
    </row>
    <row r="1173" spans="1:2">
      <c r="A1173"/>
      <c r="B1173"/>
    </row>
    <row r="1174" spans="1:2">
      <c r="A1174"/>
      <c r="B1174"/>
    </row>
    <row r="1175" spans="1:2">
      <c r="A1175"/>
      <c r="B1175"/>
    </row>
    <row r="1176" spans="1:2">
      <c r="A1176"/>
      <c r="B1176"/>
    </row>
    <row r="1177" spans="1:2">
      <c r="A1177"/>
      <c r="B1177"/>
    </row>
    <row r="1178" spans="1:2">
      <c r="A1178"/>
      <c r="B1178"/>
    </row>
    <row r="1179" spans="1:2">
      <c r="A1179"/>
      <c r="B1179"/>
    </row>
    <row r="1180" spans="1:2">
      <c r="A1180"/>
      <c r="B1180"/>
    </row>
    <row r="1181" spans="1:2">
      <c r="A1181"/>
      <c r="B1181"/>
    </row>
    <row r="1182" spans="1:2">
      <c r="A1182"/>
      <c r="B1182"/>
    </row>
    <row r="1183" spans="1:2">
      <c r="A1183"/>
      <c r="B1183"/>
    </row>
    <row r="1184" spans="1:2">
      <c r="A1184"/>
      <c r="B1184"/>
    </row>
    <row r="1185" spans="1:2">
      <c r="A1185"/>
      <c r="B1185"/>
    </row>
    <row r="1186" spans="1:2">
      <c r="A1186"/>
      <c r="B1186"/>
    </row>
    <row r="1187" spans="1:2">
      <c r="A1187"/>
      <c r="B1187"/>
    </row>
    <row r="1188" spans="1:2">
      <c r="A1188"/>
      <c r="B1188"/>
    </row>
    <row r="1189" spans="1:2">
      <c r="A1189"/>
      <c r="B1189"/>
    </row>
    <row r="1190" spans="1:2">
      <c r="A1190"/>
      <c r="B1190"/>
    </row>
    <row r="1191" spans="1:2">
      <c r="A1191"/>
      <c r="B1191"/>
    </row>
    <row r="1192" spans="1:2">
      <c r="A1192"/>
      <c r="B1192"/>
    </row>
    <row r="1193" spans="1:2">
      <c r="A1193"/>
      <c r="B1193"/>
    </row>
    <row r="1194" spans="1:2">
      <c r="A1194"/>
      <c r="B1194"/>
    </row>
    <row r="1195" spans="1:2">
      <c r="A1195"/>
      <c r="B1195"/>
    </row>
    <row r="1196" spans="1:2">
      <c r="A1196"/>
      <c r="B1196"/>
    </row>
    <row r="1197" spans="1:2">
      <c r="A1197"/>
      <c r="B1197"/>
    </row>
    <row r="1198" spans="1:2">
      <c r="A1198"/>
      <c r="B1198"/>
    </row>
    <row r="1199" spans="1:2">
      <c r="A1199"/>
      <c r="B1199"/>
    </row>
    <row r="1200" spans="1:2">
      <c r="A1200"/>
      <c r="B1200"/>
    </row>
    <row r="1201" spans="1:2">
      <c r="A1201"/>
      <c r="B1201"/>
    </row>
    <row r="1202" spans="1:2">
      <c r="A1202"/>
      <c r="B1202"/>
    </row>
    <row r="1203" spans="1:2">
      <c r="A1203"/>
      <c r="B1203"/>
    </row>
    <row r="1204" spans="1:2">
      <c r="A1204"/>
      <c r="B1204"/>
    </row>
    <row r="1205" spans="1:2">
      <c r="A1205"/>
      <c r="B1205"/>
    </row>
    <row r="1206" spans="1:2">
      <c r="A1206"/>
      <c r="B1206"/>
    </row>
    <row r="1207" spans="1:2">
      <c r="A1207"/>
      <c r="B1207"/>
    </row>
    <row r="1208" spans="1:2">
      <c r="A1208"/>
      <c r="B1208"/>
    </row>
    <row r="1209" spans="1:2">
      <c r="A1209"/>
      <c r="B1209"/>
    </row>
    <row r="1210" spans="1:2">
      <c r="A1210"/>
      <c r="B1210"/>
    </row>
    <row r="1211" spans="1:2">
      <c r="A1211"/>
      <c r="B1211"/>
    </row>
    <row r="1212" spans="1:2">
      <c r="A1212"/>
      <c r="B1212"/>
    </row>
    <row r="1213" spans="1:2">
      <c r="A1213"/>
      <c r="B1213"/>
    </row>
    <row r="1214" spans="1:2">
      <c r="A1214"/>
      <c r="B1214"/>
    </row>
    <row r="1215" spans="1:2">
      <c r="A1215"/>
      <c r="B1215"/>
    </row>
    <row r="1216" spans="1:2">
      <c r="A1216"/>
      <c r="B1216"/>
    </row>
    <row r="1217" spans="1:2">
      <c r="A1217"/>
      <c r="B1217"/>
    </row>
    <row r="1218" spans="1:2">
      <c r="A1218"/>
      <c r="B1218"/>
    </row>
    <row r="1219" spans="1:2">
      <c r="A1219"/>
      <c r="B1219"/>
    </row>
    <row r="1220" spans="1:2">
      <c r="A1220"/>
      <c r="B1220"/>
    </row>
    <row r="1221" spans="1:2">
      <c r="A1221"/>
      <c r="B1221"/>
    </row>
    <row r="1222" spans="1:2">
      <c r="A1222"/>
      <c r="B1222"/>
    </row>
    <row r="1223" spans="1:2">
      <c r="A1223"/>
      <c r="B1223"/>
    </row>
    <row r="1224" spans="1:2">
      <c r="A1224"/>
      <c r="B1224"/>
    </row>
    <row r="1225" spans="1:2">
      <c r="A1225"/>
      <c r="B1225"/>
    </row>
    <row r="1226" spans="1:2">
      <c r="A1226"/>
      <c r="B1226"/>
    </row>
    <row r="1227" spans="1:2">
      <c r="A1227"/>
      <c r="B1227"/>
    </row>
    <row r="1228" spans="1:2">
      <c r="A1228"/>
      <c r="B1228"/>
    </row>
    <row r="1229" spans="1:2">
      <c r="A1229"/>
      <c r="B1229"/>
    </row>
    <row r="1230" spans="1:2">
      <c r="A1230"/>
      <c r="B1230"/>
    </row>
    <row r="1231" spans="1:2">
      <c r="A1231"/>
      <c r="B1231"/>
    </row>
    <row r="1232" spans="1:2">
      <c r="A1232"/>
      <c r="B1232"/>
    </row>
    <row r="1233" spans="1:2">
      <c r="A1233"/>
      <c r="B1233"/>
    </row>
    <row r="1234" spans="1:2">
      <c r="A1234"/>
      <c r="B1234"/>
    </row>
    <row r="1235" spans="1:2">
      <c r="A1235"/>
      <c r="B1235"/>
    </row>
    <row r="1236" spans="1:2">
      <c r="A1236"/>
      <c r="B1236"/>
    </row>
    <row r="1237" spans="1:2">
      <c r="A1237"/>
      <c r="B1237"/>
    </row>
    <row r="1238" spans="1:2">
      <c r="A1238"/>
      <c r="B1238"/>
    </row>
    <row r="1239" spans="1:2">
      <c r="A1239"/>
      <c r="B1239"/>
    </row>
    <row r="1240" spans="1:2">
      <c r="A1240"/>
      <c r="B1240"/>
    </row>
    <row r="1241" spans="1:2">
      <c r="A1241"/>
      <c r="B1241"/>
    </row>
    <row r="1242" spans="1:2">
      <c r="A1242"/>
      <c r="B1242"/>
    </row>
    <row r="1243" spans="1:2">
      <c r="A1243"/>
      <c r="B1243"/>
    </row>
    <row r="1244" spans="1:2">
      <c r="A1244"/>
      <c r="B1244"/>
    </row>
    <row r="1245" spans="1:2">
      <c r="A1245"/>
      <c r="B1245"/>
    </row>
    <row r="1246" spans="1:2">
      <c r="A1246"/>
      <c r="B1246"/>
    </row>
    <row r="1247" spans="1:2">
      <c r="A1247"/>
      <c r="B1247"/>
    </row>
    <row r="1248" spans="1:2">
      <c r="A1248"/>
      <c r="B1248"/>
    </row>
    <row r="1249" spans="1:2">
      <c r="A1249"/>
      <c r="B1249"/>
    </row>
    <row r="1250" spans="1:2">
      <c r="A1250"/>
      <c r="B1250"/>
    </row>
    <row r="1251" spans="1:2">
      <c r="A1251"/>
      <c r="B1251"/>
    </row>
    <row r="1252" spans="1:2">
      <c r="A1252"/>
      <c r="B1252"/>
    </row>
    <row r="1253" spans="1:2">
      <c r="A1253"/>
      <c r="B1253"/>
    </row>
    <row r="1254" spans="1:2">
      <c r="A1254"/>
      <c r="B1254"/>
    </row>
    <row r="1255" spans="1:2">
      <c r="A1255"/>
      <c r="B1255"/>
    </row>
    <row r="1256" spans="1:2">
      <c r="A1256"/>
      <c r="B1256"/>
    </row>
    <row r="1257" spans="1:2">
      <c r="A1257"/>
      <c r="B1257"/>
    </row>
    <row r="1258" spans="1:2">
      <c r="A1258"/>
      <c r="B1258"/>
    </row>
    <row r="1259" spans="1:2">
      <c r="A1259"/>
      <c r="B1259"/>
    </row>
    <row r="1260" spans="1:2">
      <c r="A1260"/>
      <c r="B1260"/>
    </row>
    <row r="1261" spans="1:2">
      <c r="A1261"/>
      <c r="B1261"/>
    </row>
    <row r="1262" spans="1:2">
      <c r="A1262"/>
      <c r="B1262"/>
    </row>
    <row r="1263" spans="1:2">
      <c r="A1263"/>
      <c r="B1263"/>
    </row>
    <row r="1264" spans="1:2">
      <c r="A1264"/>
      <c r="B1264"/>
    </row>
    <row r="1265" spans="1:2">
      <c r="A1265"/>
      <c r="B1265"/>
    </row>
    <row r="1266" spans="1:2">
      <c r="A1266"/>
      <c r="B1266"/>
    </row>
    <row r="1267" spans="1:2">
      <c r="A1267"/>
      <c r="B1267"/>
    </row>
    <row r="1268" spans="1:2">
      <c r="A1268"/>
      <c r="B1268"/>
    </row>
    <row r="1269" spans="1:2">
      <c r="A1269"/>
      <c r="B1269"/>
    </row>
    <row r="1270" spans="1:2">
      <c r="A1270"/>
      <c r="B1270"/>
    </row>
    <row r="1271" spans="1:2">
      <c r="A1271"/>
      <c r="B1271"/>
    </row>
    <row r="1272" spans="1:2">
      <c r="A1272"/>
      <c r="B1272"/>
    </row>
    <row r="1273" spans="1:2">
      <c r="A1273"/>
      <c r="B1273"/>
    </row>
    <row r="1274" spans="1:2">
      <c r="A1274"/>
      <c r="B1274"/>
    </row>
    <row r="1275" spans="1:2">
      <c r="A1275"/>
      <c r="B1275"/>
    </row>
    <row r="1276" spans="1:2">
      <c r="A1276"/>
      <c r="B1276"/>
    </row>
    <row r="1277" spans="1:2">
      <c r="A1277"/>
      <c r="B1277"/>
    </row>
    <row r="1278" spans="1:2">
      <c r="A1278"/>
      <c r="B1278"/>
    </row>
    <row r="1279" spans="1:2">
      <c r="A1279"/>
      <c r="B1279"/>
    </row>
    <row r="1280" spans="1:2">
      <c r="A1280"/>
      <c r="B1280"/>
    </row>
    <row r="1281" spans="1:2">
      <c r="A1281"/>
      <c r="B1281"/>
    </row>
    <row r="1282" spans="1:2">
      <c r="A1282"/>
      <c r="B1282"/>
    </row>
    <row r="1283" spans="1:2">
      <c r="A1283"/>
      <c r="B1283"/>
    </row>
    <row r="1284" spans="1:2">
      <c r="A1284"/>
      <c r="B1284"/>
    </row>
    <row r="1285" spans="1:2">
      <c r="A1285"/>
      <c r="B1285"/>
    </row>
    <row r="1286" spans="1:2">
      <c r="A1286"/>
      <c r="B1286"/>
    </row>
    <row r="1287" spans="1:2">
      <c r="A1287"/>
      <c r="B1287"/>
    </row>
    <row r="1288" spans="1:2">
      <c r="A1288"/>
      <c r="B1288"/>
    </row>
    <row r="1289" spans="1:2">
      <c r="A1289"/>
      <c r="B1289"/>
    </row>
    <row r="1290" spans="1:2">
      <c r="A1290"/>
      <c r="B1290"/>
    </row>
    <row r="1291" spans="1:2">
      <c r="A1291"/>
      <c r="B1291"/>
    </row>
    <row r="1292" spans="1:2">
      <c r="A1292"/>
      <c r="B1292"/>
    </row>
    <row r="1293" spans="1:2">
      <c r="A1293"/>
      <c r="B1293"/>
    </row>
    <row r="1294" spans="1:2">
      <c r="A1294"/>
      <c r="B1294"/>
    </row>
    <row r="1295" spans="1:2">
      <c r="A1295"/>
      <c r="B1295"/>
    </row>
    <row r="1296" spans="1:2">
      <c r="A1296"/>
      <c r="B1296"/>
    </row>
    <row r="1297" spans="1:2">
      <c r="A1297"/>
      <c r="B1297"/>
    </row>
    <row r="1298" spans="1:2">
      <c r="A1298"/>
      <c r="B1298"/>
    </row>
    <row r="1299" spans="1:2">
      <c r="A1299"/>
      <c r="B1299"/>
    </row>
    <row r="1300" spans="1:2">
      <c r="A1300"/>
      <c r="B1300"/>
    </row>
    <row r="1301" spans="1:2">
      <c r="A1301"/>
      <c r="B1301"/>
    </row>
    <row r="1302" spans="1:2">
      <c r="A1302"/>
      <c r="B1302"/>
    </row>
    <row r="1303" spans="1:2">
      <c r="A1303"/>
      <c r="B1303"/>
    </row>
    <row r="1304" spans="1:2">
      <c r="A1304"/>
      <c r="B1304"/>
    </row>
    <row r="1305" spans="1:2">
      <c r="A1305"/>
      <c r="B1305"/>
    </row>
    <row r="1306" spans="1:2">
      <c r="A1306"/>
      <c r="B1306"/>
    </row>
    <row r="1307" spans="1:2">
      <c r="A1307"/>
      <c r="B1307"/>
    </row>
    <row r="1308" spans="1:2">
      <c r="A1308"/>
      <c r="B1308"/>
    </row>
    <row r="1309" spans="1:2">
      <c r="A1309"/>
      <c r="B1309"/>
    </row>
    <row r="1310" spans="1:2">
      <c r="A1310"/>
      <c r="B1310"/>
    </row>
    <row r="1311" spans="1:2">
      <c r="A1311"/>
      <c r="B1311"/>
    </row>
    <row r="1312" spans="1:2">
      <c r="A1312"/>
      <c r="B1312"/>
    </row>
    <row r="1313" spans="1:2">
      <c r="A1313"/>
      <c r="B1313"/>
    </row>
    <row r="1314" spans="1:2">
      <c r="A1314"/>
      <c r="B1314"/>
    </row>
    <row r="1315" spans="1:2">
      <c r="A1315"/>
      <c r="B1315"/>
    </row>
    <row r="1316" spans="1:2">
      <c r="A1316"/>
      <c r="B1316"/>
    </row>
    <row r="1317" spans="1:2">
      <c r="A1317"/>
      <c r="B1317"/>
    </row>
    <row r="1318" spans="1:2">
      <c r="A1318"/>
      <c r="B1318"/>
    </row>
    <row r="1319" spans="1:2">
      <c r="A1319"/>
      <c r="B1319"/>
    </row>
    <row r="1320" spans="1:2">
      <c r="A1320"/>
      <c r="B1320"/>
    </row>
    <row r="1321" spans="1:2">
      <c r="A1321"/>
      <c r="B1321"/>
    </row>
    <row r="1322" spans="1:2">
      <c r="A1322"/>
      <c r="B1322"/>
    </row>
    <row r="1323" spans="1:2">
      <c r="A1323"/>
      <c r="B1323"/>
    </row>
    <row r="1324" spans="1:2">
      <c r="A1324"/>
      <c r="B1324"/>
    </row>
    <row r="1325" spans="1:2">
      <c r="A1325"/>
      <c r="B1325"/>
    </row>
    <row r="1326" spans="1:2">
      <c r="A1326"/>
      <c r="B1326"/>
    </row>
    <row r="1327" spans="1:2">
      <c r="A1327"/>
      <c r="B1327"/>
    </row>
    <row r="1328" spans="1:2">
      <c r="A1328"/>
      <c r="B1328"/>
    </row>
    <row r="1329" spans="1:2">
      <c r="A1329"/>
      <c r="B1329"/>
    </row>
    <row r="1330" spans="1:2">
      <c r="A1330"/>
      <c r="B1330"/>
    </row>
    <row r="1331" spans="1:2">
      <c r="A1331"/>
      <c r="B1331"/>
    </row>
    <row r="1332" spans="1:2">
      <c r="A1332"/>
      <c r="B1332"/>
    </row>
    <row r="1333" spans="1:2">
      <c r="A1333"/>
      <c r="B1333"/>
    </row>
    <row r="1334" spans="1:2">
      <c r="A1334"/>
      <c r="B1334"/>
    </row>
    <row r="1335" spans="1:2">
      <c r="A1335"/>
      <c r="B1335"/>
    </row>
    <row r="1336" spans="1:2">
      <c r="A1336"/>
      <c r="B1336"/>
    </row>
    <row r="1337" spans="1:2">
      <c r="A1337"/>
      <c r="B1337"/>
    </row>
    <row r="1338" spans="1:2">
      <c r="A1338"/>
      <c r="B1338"/>
    </row>
    <row r="1339" spans="1:2">
      <c r="A1339"/>
      <c r="B1339"/>
    </row>
    <row r="1340" spans="1:2">
      <c r="A1340"/>
      <c r="B1340"/>
    </row>
    <row r="1341" spans="1:2">
      <c r="A1341"/>
      <c r="B1341"/>
    </row>
    <row r="1342" spans="1:2">
      <c r="A1342"/>
      <c r="B1342"/>
    </row>
    <row r="1343" spans="1:2">
      <c r="A1343"/>
      <c r="B1343"/>
    </row>
    <row r="1344" spans="1:2">
      <c r="A1344"/>
      <c r="B1344"/>
    </row>
    <row r="1345" spans="1:2">
      <c r="A1345"/>
      <c r="B1345"/>
    </row>
    <row r="1346" spans="1:2">
      <c r="A1346"/>
      <c r="B1346"/>
    </row>
    <row r="1347" spans="1:2">
      <c r="A1347"/>
      <c r="B1347"/>
    </row>
    <row r="1348" spans="1:2">
      <c r="A1348"/>
      <c r="B1348"/>
    </row>
    <row r="1349" spans="1:2">
      <c r="A1349"/>
      <c r="B1349"/>
    </row>
    <row r="1350" spans="1:2">
      <c r="A1350"/>
      <c r="B1350"/>
    </row>
    <row r="1351" spans="1:2">
      <c r="A1351"/>
      <c r="B1351"/>
    </row>
    <row r="1352" spans="1:2">
      <c r="A1352"/>
      <c r="B1352"/>
    </row>
    <row r="1353" spans="1:2">
      <c r="A1353"/>
      <c r="B1353"/>
    </row>
    <row r="1354" spans="1:2">
      <c r="A1354"/>
      <c r="B1354"/>
    </row>
    <row r="1355" spans="1:2">
      <c r="A1355"/>
      <c r="B1355"/>
    </row>
    <row r="1356" spans="1:2">
      <c r="A1356"/>
      <c r="B1356"/>
    </row>
    <row r="1357" spans="1:2">
      <c r="A1357"/>
      <c r="B1357"/>
    </row>
    <row r="1358" spans="1:2">
      <c r="A1358"/>
      <c r="B1358"/>
    </row>
    <row r="1359" spans="1:2">
      <c r="A1359"/>
      <c r="B1359"/>
    </row>
    <row r="1360" spans="1:2">
      <c r="A1360"/>
      <c r="B1360"/>
    </row>
    <row r="1361" spans="1:2">
      <c r="A1361"/>
      <c r="B1361"/>
    </row>
    <row r="1362" spans="1:2">
      <c r="A1362"/>
      <c r="B1362"/>
    </row>
    <row r="1363" spans="1:2">
      <c r="A1363"/>
      <c r="B1363"/>
    </row>
    <row r="1364" spans="1:2">
      <c r="A1364"/>
      <c r="B1364"/>
    </row>
    <row r="1365" spans="1:2">
      <c r="A1365"/>
      <c r="B1365"/>
    </row>
    <row r="1366" spans="1:2">
      <c r="A1366"/>
      <c r="B1366"/>
    </row>
    <row r="1367" spans="1:2">
      <c r="A1367"/>
      <c r="B1367"/>
    </row>
    <row r="1368" spans="1:2">
      <c r="A1368"/>
      <c r="B1368"/>
    </row>
    <row r="1369" spans="1:2">
      <c r="A1369"/>
      <c r="B1369"/>
    </row>
    <row r="1370" spans="1:2">
      <c r="A1370"/>
      <c r="B1370"/>
    </row>
    <row r="1371" spans="1:2">
      <c r="A1371"/>
      <c r="B1371"/>
    </row>
    <row r="1372" spans="1:2">
      <c r="A1372"/>
      <c r="B1372"/>
    </row>
    <row r="1373" spans="1:2">
      <c r="A1373"/>
      <c r="B1373"/>
    </row>
    <row r="1374" spans="1:2">
      <c r="A1374"/>
      <c r="B1374"/>
    </row>
    <row r="1375" spans="1:2">
      <c r="A1375"/>
      <c r="B1375"/>
    </row>
    <row r="1376" spans="1:2">
      <c r="A1376"/>
      <c r="B1376"/>
    </row>
    <row r="1377" spans="1:2">
      <c r="A1377"/>
      <c r="B1377"/>
    </row>
    <row r="1378" spans="1:2">
      <c r="A1378"/>
      <c r="B1378"/>
    </row>
    <row r="1379" spans="1:2">
      <c r="A1379"/>
      <c r="B1379"/>
    </row>
    <row r="1380" spans="1:2">
      <c r="A1380"/>
      <c r="B1380"/>
    </row>
    <row r="1381" spans="1:2">
      <c r="A1381"/>
      <c r="B1381"/>
    </row>
    <row r="1382" spans="1:2">
      <c r="A1382"/>
      <c r="B1382"/>
    </row>
    <row r="1383" spans="1:2">
      <c r="A1383"/>
      <c r="B1383"/>
    </row>
    <row r="1384" spans="1:2">
      <c r="A1384"/>
      <c r="B1384"/>
    </row>
    <row r="1385" spans="1:2">
      <c r="A1385"/>
      <c r="B1385"/>
    </row>
    <row r="1386" spans="1:2">
      <c r="A1386"/>
      <c r="B1386"/>
    </row>
    <row r="1387" spans="1:2">
      <c r="A1387"/>
      <c r="B1387"/>
    </row>
    <row r="1388" spans="1:2">
      <c r="A1388"/>
      <c r="B1388"/>
    </row>
    <row r="1389" spans="1:2">
      <c r="A1389"/>
      <c r="B1389"/>
    </row>
    <row r="1390" spans="1:2">
      <c r="A1390"/>
      <c r="B1390"/>
    </row>
    <row r="1391" spans="1:2">
      <c r="A1391"/>
      <c r="B1391"/>
    </row>
    <row r="1392" spans="1:2">
      <c r="A1392"/>
      <c r="B1392"/>
    </row>
    <row r="1393" spans="1:2">
      <c r="A1393"/>
      <c r="B1393"/>
    </row>
    <row r="1394" spans="1:2">
      <c r="A1394"/>
      <c r="B1394"/>
    </row>
    <row r="1395" spans="1:2">
      <c r="A1395"/>
      <c r="B1395"/>
    </row>
    <row r="1396" spans="1:2">
      <c r="A1396"/>
      <c r="B1396"/>
    </row>
    <row r="1397" spans="1:2">
      <c r="A1397"/>
      <c r="B1397"/>
    </row>
    <row r="1398" spans="1:2">
      <c r="A1398"/>
      <c r="B1398"/>
    </row>
    <row r="1399" spans="1:2">
      <c r="A1399"/>
      <c r="B1399"/>
    </row>
    <row r="1400" spans="1:2">
      <c r="A1400"/>
      <c r="B1400"/>
    </row>
    <row r="1401" spans="1:2">
      <c r="A1401"/>
      <c r="B1401"/>
    </row>
    <row r="1402" spans="1:2">
      <c r="A1402"/>
      <c r="B1402"/>
    </row>
    <row r="1403" spans="1:2">
      <c r="A1403"/>
      <c r="B1403"/>
    </row>
    <row r="1404" spans="1:2">
      <c r="A1404"/>
      <c r="B1404"/>
    </row>
    <row r="1405" spans="1:2">
      <c r="A1405"/>
      <c r="B1405"/>
    </row>
    <row r="1406" spans="1:2">
      <c r="A1406"/>
      <c r="B1406"/>
    </row>
    <row r="1407" spans="1:2">
      <c r="A1407"/>
      <c r="B1407"/>
    </row>
    <row r="1408" spans="1:2">
      <c r="A1408"/>
      <c r="B1408"/>
    </row>
    <row r="1409" spans="1:2">
      <c r="A1409"/>
      <c r="B1409"/>
    </row>
    <row r="1410" spans="1:2">
      <c r="A1410"/>
      <c r="B1410"/>
    </row>
    <row r="1411" spans="1:2">
      <c r="A1411"/>
      <c r="B1411"/>
    </row>
    <row r="1412" spans="1:2">
      <c r="A1412"/>
      <c r="B1412"/>
    </row>
    <row r="1413" spans="1:2">
      <c r="A1413"/>
      <c r="B1413"/>
    </row>
    <row r="1414" spans="1:2">
      <c r="A1414"/>
      <c r="B1414"/>
    </row>
    <row r="1415" spans="1:2">
      <c r="A1415"/>
      <c r="B1415"/>
    </row>
    <row r="1416" spans="1:2">
      <c r="A1416"/>
      <c r="B1416"/>
    </row>
    <row r="1417" spans="1:2">
      <c r="A1417"/>
      <c r="B1417"/>
    </row>
    <row r="1418" spans="1:2">
      <c r="A1418"/>
      <c r="B1418"/>
    </row>
    <row r="1419" spans="1:2">
      <c r="A1419"/>
      <c r="B1419"/>
    </row>
    <row r="1420" spans="1:2">
      <c r="A1420"/>
      <c r="B1420"/>
    </row>
    <row r="1421" spans="1:2">
      <c r="A1421"/>
      <c r="B1421"/>
    </row>
    <row r="1422" spans="1:2">
      <c r="A1422"/>
      <c r="B1422"/>
    </row>
    <row r="1423" spans="1:2">
      <c r="A1423"/>
      <c r="B1423"/>
    </row>
    <row r="1424" spans="1:2">
      <c r="A1424"/>
      <c r="B1424"/>
    </row>
    <row r="1425" spans="1:2">
      <c r="A1425"/>
      <c r="B1425"/>
    </row>
    <row r="1426" spans="1:2">
      <c r="A1426"/>
      <c r="B1426"/>
    </row>
    <row r="1427" spans="1:2">
      <c r="A1427"/>
      <c r="B1427"/>
    </row>
    <row r="1428" spans="1:2">
      <c r="A1428"/>
      <c r="B1428"/>
    </row>
    <row r="1429" spans="1:2">
      <c r="A1429"/>
      <c r="B1429"/>
    </row>
    <row r="1430" spans="1:2">
      <c r="A1430"/>
      <c r="B1430"/>
    </row>
    <row r="1431" spans="1:2">
      <c r="A1431"/>
      <c r="B1431"/>
    </row>
    <row r="1432" spans="1:2">
      <c r="A1432"/>
      <c r="B1432"/>
    </row>
    <row r="1433" spans="1:2">
      <c r="A1433"/>
      <c r="B1433"/>
    </row>
    <row r="1434" spans="1:2">
      <c r="A1434"/>
      <c r="B1434"/>
    </row>
    <row r="1435" spans="1:2">
      <c r="A1435"/>
      <c r="B1435"/>
    </row>
    <row r="1436" spans="1:2">
      <c r="A1436"/>
      <c r="B1436"/>
    </row>
    <row r="1437" spans="1:2">
      <c r="A1437"/>
      <c r="B1437"/>
    </row>
    <row r="1438" spans="1:2">
      <c r="A1438"/>
      <c r="B1438"/>
    </row>
    <row r="1439" spans="1:2">
      <c r="A1439"/>
      <c r="B1439"/>
    </row>
    <row r="1440" spans="1:2">
      <c r="A1440"/>
      <c r="B1440"/>
    </row>
    <row r="1441" spans="1:2">
      <c r="A1441"/>
      <c r="B1441"/>
    </row>
    <row r="1442" spans="1:2">
      <c r="A1442"/>
      <c r="B1442"/>
    </row>
    <row r="1443" spans="1:2">
      <c r="A1443"/>
      <c r="B1443"/>
    </row>
    <row r="1444" spans="1:2">
      <c r="A1444"/>
      <c r="B1444"/>
    </row>
    <row r="1445" spans="1:2">
      <c r="A1445"/>
      <c r="B1445"/>
    </row>
    <row r="1446" spans="1:2">
      <c r="A1446"/>
      <c r="B1446"/>
    </row>
    <row r="1447" spans="1:2">
      <c r="A1447"/>
      <c r="B1447"/>
    </row>
    <row r="1448" spans="1:2">
      <c r="A1448"/>
      <c r="B1448"/>
    </row>
    <row r="1449" spans="1:2">
      <c r="A1449"/>
      <c r="B1449"/>
    </row>
    <row r="1450" spans="1:2">
      <c r="A1450"/>
      <c r="B1450"/>
    </row>
    <row r="1451" spans="1:2">
      <c r="A1451"/>
      <c r="B1451"/>
    </row>
    <row r="1452" spans="1:2">
      <c r="A1452"/>
      <c r="B1452"/>
    </row>
    <row r="1453" spans="1:2">
      <c r="A1453"/>
      <c r="B1453"/>
    </row>
    <row r="1454" spans="1:2">
      <c r="A1454"/>
      <c r="B1454"/>
    </row>
    <row r="1455" spans="1:2">
      <c r="A1455"/>
      <c r="B1455"/>
    </row>
    <row r="1456" spans="1:2">
      <c r="A1456"/>
      <c r="B1456"/>
    </row>
    <row r="1457" spans="1:2">
      <c r="A1457"/>
      <c r="B1457"/>
    </row>
    <row r="1458" spans="1:2">
      <c r="A1458"/>
      <c r="B1458"/>
    </row>
    <row r="1459" spans="1:2">
      <c r="A1459"/>
      <c r="B1459"/>
    </row>
    <row r="1460" spans="1:2">
      <c r="A1460"/>
      <c r="B1460"/>
    </row>
    <row r="1461" spans="1:2">
      <c r="A1461"/>
      <c r="B1461"/>
    </row>
    <row r="1462" spans="1:2">
      <c r="A1462"/>
      <c r="B1462"/>
    </row>
    <row r="1463" spans="1:2">
      <c r="A1463"/>
      <c r="B1463"/>
    </row>
    <row r="1464" spans="1:2">
      <c r="A1464"/>
      <c r="B1464"/>
    </row>
    <row r="1465" spans="1:2">
      <c r="A1465"/>
      <c r="B1465"/>
    </row>
    <row r="1466" spans="1:2">
      <c r="A1466"/>
      <c r="B1466"/>
    </row>
    <row r="1467" spans="1:2">
      <c r="A1467"/>
      <c r="B1467"/>
    </row>
    <row r="1468" spans="1:2">
      <c r="A1468"/>
      <c r="B1468"/>
    </row>
    <row r="1469" spans="1:2">
      <c r="A1469"/>
      <c r="B1469"/>
    </row>
    <row r="1470" spans="1:2">
      <c r="A1470"/>
      <c r="B1470"/>
    </row>
    <row r="1471" spans="1:2">
      <c r="A1471"/>
      <c r="B1471"/>
    </row>
    <row r="1472" spans="1:2">
      <c r="A1472"/>
      <c r="B1472"/>
    </row>
    <row r="1473" spans="1:2">
      <c r="A1473"/>
      <c r="B1473"/>
    </row>
    <row r="1474" spans="1:2">
      <c r="A1474"/>
      <c r="B1474"/>
    </row>
    <row r="1475" spans="1:2">
      <c r="A1475"/>
      <c r="B1475"/>
    </row>
    <row r="1476" spans="1:2">
      <c r="A1476"/>
      <c r="B1476"/>
    </row>
    <row r="1477" spans="1:2">
      <c r="A1477"/>
      <c r="B1477"/>
    </row>
    <row r="1478" spans="1:2">
      <c r="A1478"/>
      <c r="B1478"/>
    </row>
    <row r="1479" spans="1:2">
      <c r="A1479"/>
      <c r="B1479"/>
    </row>
    <row r="1480" spans="1:2">
      <c r="A1480"/>
      <c r="B1480"/>
    </row>
    <row r="1481" spans="1:2">
      <c r="A1481"/>
      <c r="B1481"/>
    </row>
    <row r="1482" spans="1:2">
      <c r="A1482"/>
      <c r="B1482"/>
    </row>
    <row r="1483" spans="1:2">
      <c r="A1483"/>
      <c r="B1483"/>
    </row>
    <row r="1484" spans="1:2">
      <c r="A1484"/>
      <c r="B1484"/>
    </row>
    <row r="1485" spans="1:2">
      <c r="A1485"/>
      <c r="B1485"/>
    </row>
    <row r="1486" spans="1:2">
      <c r="A1486"/>
      <c r="B1486"/>
    </row>
    <row r="1487" spans="1:2">
      <c r="A1487"/>
      <c r="B1487"/>
    </row>
    <row r="1488" spans="1:2">
      <c r="A1488"/>
      <c r="B1488"/>
    </row>
    <row r="1489" spans="1:2">
      <c r="A1489"/>
      <c r="B1489"/>
    </row>
    <row r="1490" spans="1:2">
      <c r="A1490"/>
      <c r="B1490"/>
    </row>
    <row r="1491" spans="1:2">
      <c r="A1491"/>
      <c r="B1491"/>
    </row>
    <row r="1492" spans="1:2">
      <c r="A1492"/>
      <c r="B1492"/>
    </row>
    <row r="1493" spans="1:2">
      <c r="A1493"/>
      <c r="B1493"/>
    </row>
    <row r="1494" spans="1:2">
      <c r="A1494"/>
      <c r="B1494"/>
    </row>
    <row r="1495" spans="1:2">
      <c r="A1495"/>
      <c r="B1495"/>
    </row>
    <row r="1496" spans="1:2">
      <c r="A1496"/>
      <c r="B1496"/>
    </row>
    <row r="1497" spans="1:2">
      <c r="A1497"/>
      <c r="B1497"/>
    </row>
    <row r="1498" spans="1:2">
      <c r="A1498"/>
      <c r="B1498"/>
    </row>
    <row r="1499" spans="1:2">
      <c r="A1499"/>
      <c r="B1499"/>
    </row>
    <row r="1500" spans="1:2">
      <c r="A1500"/>
      <c r="B150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trols">
    <tabColor rgb="FFFFFF00"/>
  </sheetPr>
  <dimension ref="A1:V215"/>
  <sheetViews>
    <sheetView topLeftCell="A6" workbookViewId="0">
      <selection activeCell="E11" sqref="E11:I11"/>
    </sheetView>
  </sheetViews>
  <sheetFormatPr defaultColWidth="18.83203125" defaultRowHeight="12.75" customHeight="1"/>
  <cols>
    <col min="1" max="1" width="9.33203125" customWidth="1"/>
    <col min="2" max="3" width="4.6640625" customWidth="1"/>
    <col min="4" max="4" width="26.6640625" customWidth="1"/>
    <col min="5" max="5" width="16.1640625" customWidth="1"/>
    <col min="6" max="6" width="11" customWidth="1"/>
    <col min="7" max="7" width="11.6640625" customWidth="1"/>
    <col min="8" max="8" width="26.6640625" bestFit="1" customWidth="1"/>
    <col min="9" max="9" width="9.33203125" customWidth="1"/>
    <col min="10" max="10" width="20.5" customWidth="1"/>
    <col min="11" max="11" width="15.5" customWidth="1"/>
    <col min="12" max="12" width="9.33203125" customWidth="1"/>
    <col min="13" max="13" width="13.6640625" customWidth="1"/>
    <col min="14" max="18" width="9.33203125" customWidth="1"/>
    <col min="19" max="21" width="12.5" customWidth="1"/>
    <col min="22" max="22" width="9.33203125" customWidth="1"/>
  </cols>
  <sheetData>
    <row r="1" spans="1:18" s="92" customFormat="1" ht="15.75">
      <c r="A1" s="91" t="s">
        <v>3555</v>
      </c>
      <c r="B1" s="93"/>
      <c r="C1" s="93"/>
      <c r="D1" s="93"/>
      <c r="E1" s="91"/>
      <c r="F1" s="91"/>
      <c r="G1" s="91"/>
      <c r="H1" s="91"/>
      <c r="I1" s="91"/>
    </row>
    <row r="2" spans="1:18" ht="12" thickBot="1"/>
    <row r="3" spans="1:18" ht="12" thickBot="1">
      <c r="D3" s="2" t="s">
        <v>3556</v>
      </c>
      <c r="E3" s="9">
        <v>1</v>
      </c>
      <c r="K3" s="2" t="s">
        <v>3253</v>
      </c>
      <c r="M3" s="5" t="s">
        <v>4530</v>
      </c>
      <c r="N3" s="251">
        <f>VLOOKUP(M3,Q3:R8,2,FALSE)</f>
        <v>1033</v>
      </c>
      <c r="Q3" t="s">
        <v>4530</v>
      </c>
      <c r="R3">
        <v>1033</v>
      </c>
    </row>
    <row r="4" spans="1:18" ht="12" thickBot="1">
      <c r="Q4" t="s">
        <v>4531</v>
      </c>
      <c r="R4">
        <v>2057</v>
      </c>
    </row>
    <row r="5" spans="1:18" ht="12" thickBot="1">
      <c r="D5" s="2" t="s">
        <v>1101</v>
      </c>
      <c r="E5" s="9">
        <v>5</v>
      </c>
      <c r="K5" s="2" t="s">
        <v>2409</v>
      </c>
      <c r="M5" s="5" t="s">
        <v>2908</v>
      </c>
      <c r="N5" s="251">
        <f>VLOOKUP(M5,Q10:R14,2,FALSE)</f>
        <v>9</v>
      </c>
      <c r="Q5" t="s">
        <v>2697</v>
      </c>
      <c r="R5">
        <v>3081</v>
      </c>
    </row>
    <row r="6" spans="1:18" ht="12" thickBot="1">
      <c r="Q6" t="s">
        <v>2698</v>
      </c>
      <c r="R6">
        <v>7177</v>
      </c>
    </row>
    <row r="7" spans="1:18" ht="12" thickBot="1">
      <c r="D7" s="2" t="s">
        <v>1102</v>
      </c>
      <c r="E7" s="9">
        <v>1</v>
      </c>
      <c r="Q7" t="s">
        <v>313</v>
      </c>
      <c r="R7">
        <v>1053</v>
      </c>
    </row>
    <row r="8" spans="1:18" ht="12" thickBot="1">
      <c r="Q8" t="s">
        <v>3937</v>
      </c>
      <c r="R8">
        <v>1034</v>
      </c>
    </row>
    <row r="9" spans="1:18" ht="12" thickBot="1">
      <c r="D9" s="2" t="s">
        <v>1103</v>
      </c>
      <c r="E9" s="9">
        <v>1</v>
      </c>
      <c r="K9" s="700" t="s">
        <v>5741</v>
      </c>
      <c r="L9" t="s">
        <v>5740</v>
      </c>
    </row>
    <row r="10" spans="1:18" ht="12" thickBot="1">
      <c r="K10" s="700" t="s">
        <v>5739</v>
      </c>
      <c r="L10" t="s">
        <v>5738</v>
      </c>
      <c r="Q10" t="s">
        <v>160</v>
      </c>
      <c r="R10">
        <v>8</v>
      </c>
    </row>
    <row r="11" spans="1:18" ht="12" thickBot="1">
      <c r="D11" s="2" t="s">
        <v>3481</v>
      </c>
      <c r="E11" s="6" t="s">
        <v>5681</v>
      </c>
      <c r="F11" s="7" t="s">
        <v>5681</v>
      </c>
      <c r="G11" s="7" t="s">
        <v>5681</v>
      </c>
      <c r="H11" s="7" t="s">
        <v>5681</v>
      </c>
      <c r="I11" s="8" t="s">
        <v>5681</v>
      </c>
      <c r="Q11" t="s">
        <v>2908</v>
      </c>
      <c r="R11">
        <v>9</v>
      </c>
    </row>
    <row r="12" spans="1:18" ht="15.75" thickBot="1">
      <c r="K12" t="b">
        <v>1</v>
      </c>
      <c r="L12" s="758" t="s">
        <v>4584</v>
      </c>
      <c r="Q12" t="s">
        <v>3373</v>
      </c>
      <c r="R12">
        <v>10</v>
      </c>
    </row>
    <row r="13" spans="1:18" ht="12" thickBot="1">
      <c r="D13" s="86" t="s">
        <v>3936</v>
      </c>
      <c r="E13" s="9">
        <v>1</v>
      </c>
      <c r="Q13" t="s">
        <v>3374</v>
      </c>
      <c r="R13">
        <v>10</v>
      </c>
    </row>
    <row r="14" spans="1:18" ht="12" thickBot="1">
      <c r="Q14" t="s">
        <v>3375</v>
      </c>
      <c r="R14">
        <v>11</v>
      </c>
    </row>
    <row r="15" spans="1:18" ht="12" thickBot="1">
      <c r="D15" s="2" t="s">
        <v>2960</v>
      </c>
      <c r="E15" s="9" t="s">
        <v>4732</v>
      </c>
    </row>
    <row r="16" spans="1:18" ht="12" thickBot="1">
      <c r="E16" s="251"/>
    </row>
    <row r="17" spans="4:13" ht="12" thickBot="1">
      <c r="D17" s="2" t="s">
        <v>3946</v>
      </c>
      <c r="E17" s="9" t="s">
        <v>4706</v>
      </c>
    </row>
    <row r="18" spans="4:13" ht="11.25"/>
    <row r="19" spans="4:13" ht="11.25">
      <c r="D19" s="2" t="s">
        <v>4104</v>
      </c>
    </row>
    <row r="20" spans="4:13" ht="11.25">
      <c r="D20" s="4" t="s">
        <v>739</v>
      </c>
      <c r="E20" s="1264" t="s">
        <v>5297</v>
      </c>
      <c r="F20" s="1265"/>
      <c r="G20" s="1265"/>
      <c r="H20" s="1265"/>
      <c r="I20" s="1265"/>
      <c r="J20" s="1265"/>
      <c r="K20" s="1265"/>
      <c r="L20" s="1265"/>
      <c r="M20" s="700" t="s">
        <v>5314</v>
      </c>
    </row>
    <row r="21" spans="4:13" ht="11.25">
      <c r="D21" s="4" t="s">
        <v>4527</v>
      </c>
      <c r="E21" s="1264" t="s">
        <v>6313</v>
      </c>
      <c r="F21" s="1265"/>
      <c r="G21" s="1265"/>
      <c r="H21" s="1265"/>
      <c r="I21" s="1265"/>
      <c r="J21" s="1265"/>
      <c r="K21" s="1265"/>
      <c r="L21" s="1265"/>
      <c r="M21" s="700" t="s">
        <v>6314</v>
      </c>
    </row>
    <row r="22" spans="4:13" ht="11.25">
      <c r="D22" s="4" t="s">
        <v>4526</v>
      </c>
      <c r="E22" s="1264" t="s">
        <v>5298</v>
      </c>
      <c r="F22" s="1265"/>
      <c r="G22" s="1265"/>
      <c r="H22" s="1265"/>
      <c r="I22" s="1265"/>
      <c r="J22" s="1265"/>
      <c r="K22" s="1265"/>
      <c r="L22" s="1265"/>
      <c r="M22" t="s">
        <v>5315</v>
      </c>
    </row>
    <row r="23" spans="4:13" ht="11.25">
      <c r="D23" s="4" t="s">
        <v>4528</v>
      </c>
      <c r="E23" s="1264" t="s">
        <v>5299</v>
      </c>
      <c r="F23" s="1265"/>
      <c r="G23" s="1265"/>
      <c r="H23" s="1265"/>
      <c r="I23" s="1265"/>
      <c r="J23" s="1265"/>
      <c r="K23" s="1265"/>
      <c r="L23" s="1265"/>
      <c r="M23" t="s">
        <v>5316</v>
      </c>
    </row>
    <row r="24" spans="4:13" ht="11.25">
      <c r="D24" s="4" t="s">
        <v>4529</v>
      </c>
      <c r="E24" s="1264" t="s">
        <v>5300</v>
      </c>
      <c r="F24" s="1265"/>
      <c r="G24" s="1265"/>
      <c r="H24" s="1265"/>
      <c r="I24" s="1265"/>
      <c r="J24" s="1265"/>
      <c r="K24" s="1265"/>
      <c r="L24" s="1265"/>
      <c r="M24" t="s">
        <v>5317</v>
      </c>
    </row>
    <row r="25" spans="4:13" ht="11.25">
      <c r="D25" s="4" t="s">
        <v>2851</v>
      </c>
      <c r="E25" s="1264" t="s">
        <v>5301</v>
      </c>
      <c r="F25" s="1265"/>
      <c r="G25" s="1265"/>
      <c r="H25" s="1265"/>
      <c r="I25" s="1265"/>
      <c r="J25" s="1265"/>
      <c r="K25" s="1265"/>
      <c r="L25" s="1265"/>
      <c r="M25" t="s">
        <v>5318</v>
      </c>
    </row>
    <row r="26" spans="4:13" ht="11.25">
      <c r="D26" s="4" t="s">
        <v>280</v>
      </c>
      <c r="E26" s="1265" t="s">
        <v>5302</v>
      </c>
      <c r="F26" s="1265"/>
      <c r="G26" s="1265"/>
      <c r="H26" s="1265"/>
      <c r="I26" s="1265"/>
      <c r="J26" s="1265"/>
      <c r="K26" s="1265"/>
      <c r="L26" s="1265"/>
      <c r="M26" t="s">
        <v>5319</v>
      </c>
    </row>
    <row r="27" spans="4:13" ht="12" thickBot="1">
      <c r="E27" s="1264" t="s">
        <v>5303</v>
      </c>
      <c r="F27" s="1265"/>
      <c r="G27" s="1265"/>
      <c r="H27" s="1265"/>
      <c r="I27" s="1265"/>
      <c r="J27" s="1265"/>
      <c r="K27" s="1265"/>
      <c r="L27" s="1265"/>
      <c r="M27" t="s">
        <v>5320</v>
      </c>
    </row>
    <row r="28" spans="4:13" ht="12" thickBot="1">
      <c r="D28" s="2" t="s">
        <v>3539</v>
      </c>
      <c r="E28" s="5" t="b">
        <v>0</v>
      </c>
    </row>
    <row r="29" spans="4:13" ht="11.25"/>
    <row r="30" spans="4:13" ht="11.25">
      <c r="D30" s="2" t="s">
        <v>3250</v>
      </c>
      <c r="E30" s="141"/>
    </row>
    <row r="31" spans="4:13" ht="11.25"/>
    <row r="32" spans="4:13" ht="11.25">
      <c r="D32" s="2" t="s">
        <v>3251</v>
      </c>
      <c r="E32" s="170"/>
    </row>
    <row r="33" spans="4:12" ht="11.25">
      <c r="D33" s="115"/>
    </row>
    <row r="34" spans="4:12" ht="11.25">
      <c r="D34" s="2" t="s">
        <v>3217</v>
      </c>
      <c r="I34" s="18"/>
    </row>
    <row r="35" spans="4:12" ht="11.25"/>
    <row r="36" spans="4:12" ht="11.25"/>
    <row r="37" spans="4:12" ht="11.25"/>
    <row r="38" spans="4:12" ht="11.25"/>
    <row r="39" spans="4:12" ht="11.25"/>
    <row r="40" spans="4:12" ht="11.25"/>
    <row r="41" spans="4:12" ht="12" thickBot="1">
      <c r="D41" s="2" t="s">
        <v>4106</v>
      </c>
    </row>
    <row r="42" spans="4:12" ht="11.25">
      <c r="D42" s="154"/>
      <c r="E42" s="113"/>
      <c r="F42" s="113"/>
      <c r="G42" s="113"/>
      <c r="H42" s="113"/>
      <c r="I42" s="113"/>
      <c r="J42" s="113"/>
      <c r="K42" s="113"/>
      <c r="L42" s="114"/>
    </row>
    <row r="43" spans="4:12" ht="11.25">
      <c r="D43" s="35" t="s">
        <v>4107</v>
      </c>
      <c r="E43" s="80"/>
      <c r="F43" s="18" t="s">
        <v>269</v>
      </c>
      <c r="G43" s="18"/>
      <c r="H43" s="18"/>
      <c r="I43" s="149"/>
      <c r="K43" s="167"/>
      <c r="L43" s="82"/>
    </row>
    <row r="44" spans="4:12" ht="11.25">
      <c r="D44" s="35" t="s">
        <v>4108</v>
      </c>
      <c r="E44" s="149"/>
      <c r="F44" s="18" t="s">
        <v>4113</v>
      </c>
      <c r="G44" s="18"/>
      <c r="H44" s="18"/>
      <c r="I44" s="155"/>
      <c r="K44" s="168"/>
      <c r="L44" s="82"/>
    </row>
    <row r="45" spans="4:12" ht="11.25">
      <c r="D45" s="35" t="s">
        <v>2751</v>
      </c>
      <c r="E45" s="156"/>
      <c r="F45" s="18" t="s">
        <v>2752</v>
      </c>
      <c r="G45" s="18"/>
      <c r="H45" s="18"/>
      <c r="I45" s="156"/>
      <c r="K45" s="80"/>
      <c r="L45" s="82"/>
    </row>
    <row r="46" spans="4:12">
      <c r="D46" s="35" t="s">
        <v>4109</v>
      </c>
      <c r="E46" s="175" t="s">
        <v>272</v>
      </c>
      <c r="F46" s="18" t="s">
        <v>1402</v>
      </c>
      <c r="G46" s="18"/>
      <c r="H46" s="18"/>
      <c r="I46" s="36" t="s">
        <v>272</v>
      </c>
      <c r="K46" s="2" t="s">
        <v>272</v>
      </c>
      <c r="L46" s="82"/>
    </row>
    <row r="47" spans="4:12" ht="19.5">
      <c r="D47" s="35" t="s">
        <v>270</v>
      </c>
      <c r="E47" s="157" t="s">
        <v>272</v>
      </c>
      <c r="F47" s="18" t="s">
        <v>271</v>
      </c>
      <c r="G47" s="18"/>
      <c r="H47" s="18"/>
      <c r="I47" s="157" t="s">
        <v>272</v>
      </c>
      <c r="K47" s="2" t="s">
        <v>272</v>
      </c>
      <c r="L47" s="82"/>
    </row>
    <row r="48" spans="4:12" ht="13.5" thickBot="1">
      <c r="D48" s="35"/>
      <c r="E48" s="158"/>
      <c r="F48" s="18"/>
      <c r="G48" s="18"/>
      <c r="H48" s="18"/>
      <c r="I48" s="158"/>
      <c r="L48" s="82"/>
    </row>
    <row r="49" spans="4:22" thickTop="1" thickBot="1">
      <c r="D49" s="35" t="s">
        <v>4100</v>
      </c>
      <c r="E49" s="152"/>
      <c r="F49" s="18" t="s">
        <v>788</v>
      </c>
      <c r="G49" s="18"/>
      <c r="H49" s="18"/>
      <c r="I49" s="150"/>
      <c r="K49" s="152"/>
      <c r="L49" s="82"/>
    </row>
    <row r="50" spans="4:22" thickTop="1" thickBot="1">
      <c r="D50" s="35"/>
      <c r="E50" s="18"/>
      <c r="F50" s="18"/>
      <c r="G50" s="18"/>
      <c r="H50" s="18"/>
      <c r="I50" s="18"/>
      <c r="K50" s="18"/>
      <c r="L50" s="82"/>
    </row>
    <row r="51" spans="4:22" thickTop="1" thickBot="1">
      <c r="D51" s="35" t="s">
        <v>1496</v>
      </c>
      <c r="E51" s="152"/>
      <c r="F51" s="18" t="s">
        <v>2753</v>
      </c>
      <c r="G51" s="18"/>
      <c r="H51" s="18"/>
      <c r="I51" s="151"/>
      <c r="K51" s="152"/>
      <c r="L51" s="82"/>
    </row>
    <row r="52" spans="4:22" ht="12" thickTop="1">
      <c r="D52" s="35"/>
      <c r="E52" s="18"/>
      <c r="F52" s="18"/>
      <c r="G52" s="18"/>
      <c r="H52" s="18"/>
      <c r="I52" s="18"/>
      <c r="L52" s="82"/>
    </row>
    <row r="53" spans="4:22" ht="11.25">
      <c r="D53" s="35" t="s">
        <v>4110</v>
      </c>
      <c r="E53" s="76"/>
      <c r="F53" s="18" t="s">
        <v>789</v>
      </c>
      <c r="G53" s="18"/>
      <c r="H53" s="18"/>
      <c r="I53" s="76"/>
      <c r="K53" s="168"/>
      <c r="L53" s="82"/>
    </row>
    <row r="54" spans="4:22" ht="11.25">
      <c r="D54" s="35" t="s">
        <v>1494</v>
      </c>
      <c r="E54" s="159"/>
      <c r="F54" s="18" t="s">
        <v>899</v>
      </c>
      <c r="G54" s="18"/>
      <c r="H54" s="18"/>
      <c r="I54" s="159"/>
      <c r="K54" s="169"/>
      <c r="L54" s="82"/>
    </row>
    <row r="55" spans="4:22">
      <c r="D55" s="35" t="s">
        <v>4111</v>
      </c>
      <c r="E55" s="175" t="s">
        <v>272</v>
      </c>
      <c r="F55" s="18" t="s">
        <v>790</v>
      </c>
      <c r="G55" s="18"/>
      <c r="H55" s="18"/>
      <c r="I55" s="160" t="s">
        <v>272</v>
      </c>
      <c r="K55" s="2" t="s">
        <v>272</v>
      </c>
      <c r="L55" s="82"/>
    </row>
    <row r="56" spans="4:22" ht="19.5">
      <c r="D56" s="35" t="s">
        <v>1495</v>
      </c>
      <c r="E56" s="176" t="s">
        <v>272</v>
      </c>
      <c r="F56" s="18" t="s">
        <v>898</v>
      </c>
      <c r="G56" s="18"/>
      <c r="H56" s="18"/>
      <c r="I56" s="161" t="s">
        <v>272</v>
      </c>
      <c r="K56" s="2" t="s">
        <v>272</v>
      </c>
      <c r="L56" s="82"/>
    </row>
    <row r="57" spans="4:22" ht="17.25" thickBot="1">
      <c r="D57" s="35"/>
      <c r="E57" s="161"/>
      <c r="F57" s="18"/>
      <c r="G57" s="18"/>
      <c r="H57" s="18"/>
      <c r="I57" s="161"/>
      <c r="L57" s="82"/>
    </row>
    <row r="58" spans="4:22" thickTop="1" thickBot="1">
      <c r="D58" s="35" t="s">
        <v>4101</v>
      </c>
      <c r="E58" s="150"/>
      <c r="F58" s="18" t="s">
        <v>791</v>
      </c>
      <c r="G58" s="18"/>
      <c r="H58" s="18"/>
      <c r="I58" s="152"/>
      <c r="K58" s="152"/>
      <c r="L58" s="82"/>
    </row>
    <row r="59" spans="4:22" thickTop="1" thickBot="1">
      <c r="D59" s="35"/>
      <c r="E59" s="18"/>
      <c r="F59" s="18"/>
      <c r="G59" s="18"/>
      <c r="H59" s="18"/>
      <c r="I59" s="18"/>
      <c r="L59" s="82"/>
    </row>
    <row r="60" spans="4:22" thickTop="1" thickBot="1">
      <c r="D60" s="35" t="s">
        <v>896</v>
      </c>
      <c r="E60" s="151"/>
      <c r="F60" s="18" t="s">
        <v>897</v>
      </c>
      <c r="G60" s="18"/>
      <c r="H60" s="18"/>
      <c r="I60" s="153"/>
      <c r="K60" s="152"/>
      <c r="L60" s="82"/>
    </row>
    <row r="61" spans="4:22" ht="12" thickTop="1">
      <c r="D61" s="35"/>
      <c r="E61" s="18"/>
      <c r="F61" s="18"/>
      <c r="G61" s="18"/>
      <c r="H61" s="18"/>
      <c r="I61" s="18"/>
      <c r="L61" s="82"/>
    </row>
    <row r="62" spans="4:22" ht="11.25">
      <c r="D62" s="35" t="s">
        <v>4112</v>
      </c>
      <c r="E62" s="182"/>
      <c r="F62" s="18" t="s">
        <v>792</v>
      </c>
      <c r="G62" s="18"/>
      <c r="H62" s="18"/>
      <c r="I62" s="145"/>
      <c r="K62" s="170"/>
      <c r="L62" s="82"/>
    </row>
    <row r="63" spans="4:22">
      <c r="D63" s="35" t="s">
        <v>4102</v>
      </c>
      <c r="E63" s="175" t="s">
        <v>272</v>
      </c>
      <c r="F63" s="18" t="s">
        <v>793</v>
      </c>
      <c r="G63" s="18"/>
      <c r="H63" s="18"/>
      <c r="I63" s="162" t="s">
        <v>272</v>
      </c>
      <c r="K63" s="2" t="s">
        <v>272</v>
      </c>
      <c r="L63" s="82"/>
    </row>
    <row r="64" spans="4:22" thickBot="1">
      <c r="D64" s="35"/>
      <c r="E64" s="162"/>
      <c r="F64" s="18"/>
      <c r="G64" s="18"/>
      <c r="H64" s="18"/>
      <c r="I64" s="162"/>
      <c r="L64" s="82"/>
      <c r="R64" s="75"/>
      <c r="S64" s="75"/>
      <c r="V64" s="3"/>
    </row>
    <row r="65" spans="1:22" ht="12" thickBot="1">
      <c r="D65" s="35" t="s">
        <v>4103</v>
      </c>
      <c r="E65" s="5"/>
      <c r="F65" s="18" t="s">
        <v>794</v>
      </c>
      <c r="G65" s="18"/>
      <c r="H65" s="18"/>
      <c r="I65" s="163"/>
      <c r="K65" s="152"/>
      <c r="L65" s="82"/>
      <c r="R65" s="18"/>
      <c r="V65" s="75"/>
    </row>
    <row r="66" spans="1:22" ht="11.25">
      <c r="D66" s="35"/>
      <c r="E66" s="18"/>
      <c r="F66" s="18"/>
      <c r="G66" s="18"/>
      <c r="H66" s="18"/>
      <c r="I66" s="18"/>
      <c r="L66" s="82"/>
      <c r="R66" s="18"/>
      <c r="V66" s="75"/>
    </row>
    <row r="67" spans="1:22" ht="11.25">
      <c r="D67" s="35" t="s">
        <v>4104</v>
      </c>
      <c r="E67" s="76"/>
      <c r="F67" s="18" t="s">
        <v>268</v>
      </c>
      <c r="G67" s="18"/>
      <c r="H67" s="18"/>
      <c r="I67" s="166"/>
      <c r="K67" s="70"/>
      <c r="L67" s="82"/>
      <c r="R67" s="3"/>
      <c r="V67" s="75"/>
    </row>
    <row r="68" spans="1:22" ht="20.25">
      <c r="D68" s="35" t="s">
        <v>4105</v>
      </c>
      <c r="E68" s="177" t="s">
        <v>272</v>
      </c>
      <c r="F68" s="18" t="s">
        <v>795</v>
      </c>
      <c r="G68" s="18"/>
      <c r="H68" s="18"/>
      <c r="I68" s="165" t="s">
        <v>272</v>
      </c>
      <c r="K68" s="2" t="s">
        <v>272</v>
      </c>
      <c r="L68" s="82"/>
      <c r="R68" s="3"/>
      <c r="V68" s="75"/>
    </row>
    <row r="69" spans="1:22" ht="12" thickBot="1">
      <c r="D69" s="35"/>
      <c r="E69" s="18"/>
      <c r="F69" s="18"/>
      <c r="G69" s="18"/>
      <c r="H69" s="18"/>
      <c r="I69" s="18"/>
      <c r="L69" s="82"/>
      <c r="R69" s="3"/>
      <c r="V69" s="75"/>
    </row>
    <row r="70" spans="1:22" thickTop="1" thickBot="1">
      <c r="D70" s="35" t="s">
        <v>267</v>
      </c>
      <c r="E70" s="164"/>
      <c r="F70" s="18" t="s">
        <v>1166</v>
      </c>
      <c r="G70" s="18"/>
      <c r="H70" s="18"/>
      <c r="I70" s="164"/>
      <c r="K70" s="5"/>
      <c r="L70" s="82"/>
      <c r="R70" s="3"/>
      <c r="V70" s="75"/>
    </row>
    <row r="71" spans="1:22" ht="12" thickTop="1">
      <c r="D71" s="81"/>
      <c r="E71" s="18"/>
      <c r="F71" s="18"/>
      <c r="G71" s="18"/>
      <c r="H71" s="18"/>
      <c r="I71" s="18"/>
      <c r="K71" s="18"/>
      <c r="L71" s="82"/>
      <c r="R71" s="3"/>
      <c r="V71" s="75"/>
    </row>
    <row r="72" spans="1:22" ht="12" thickBot="1">
      <c r="D72" s="83"/>
      <c r="E72" s="84"/>
      <c r="F72" s="84"/>
      <c r="G72" s="84"/>
      <c r="H72" s="84"/>
      <c r="I72" s="84"/>
      <c r="J72" s="84"/>
      <c r="K72" s="84"/>
      <c r="L72" s="85"/>
      <c r="R72" s="3"/>
      <c r="V72" s="75"/>
    </row>
    <row r="73" spans="1:22" ht="11.25">
      <c r="R73" s="3"/>
      <c r="V73" s="75"/>
    </row>
    <row r="74" spans="1:22" ht="12" thickBot="1">
      <c r="R74" s="3"/>
      <c r="V74" s="75"/>
    </row>
    <row r="75" spans="1:22" ht="11.25">
      <c r="A75" s="2" t="s">
        <v>342</v>
      </c>
      <c r="D75" s="112" t="s">
        <v>2949</v>
      </c>
      <c r="E75" s="113" t="s">
        <v>4078</v>
      </c>
      <c r="F75" s="113" t="s">
        <v>4072</v>
      </c>
      <c r="G75" s="113"/>
      <c r="H75" s="113"/>
      <c r="I75" s="113"/>
      <c r="J75" s="114"/>
      <c r="R75" s="3"/>
      <c r="V75" s="75"/>
    </row>
    <row r="76" spans="1:22" ht="11.25">
      <c r="D76" s="81" t="s">
        <v>4071</v>
      </c>
      <c r="E76" s="120" t="s">
        <v>4072</v>
      </c>
      <c r="F76" s="18"/>
      <c r="G76" s="18"/>
      <c r="H76" s="18"/>
      <c r="I76" s="18"/>
      <c r="J76" s="82"/>
      <c r="R76" s="3"/>
      <c r="V76" s="75"/>
    </row>
    <row r="77" spans="1:22" ht="11.25">
      <c r="D77" s="81"/>
      <c r="E77" s="18"/>
      <c r="F77" s="18"/>
      <c r="G77" s="18"/>
      <c r="H77" s="18"/>
      <c r="I77" s="18"/>
      <c r="J77" s="82"/>
      <c r="S77" s="18"/>
      <c r="T77" s="18"/>
      <c r="U77" s="18"/>
      <c r="V77" s="18"/>
    </row>
    <row r="78" spans="1:22" ht="11.25">
      <c r="D78" s="81"/>
      <c r="E78" s="18" t="s">
        <v>343</v>
      </c>
      <c r="F78" s="18" t="s">
        <v>345</v>
      </c>
      <c r="G78" s="18" t="s">
        <v>4079</v>
      </c>
      <c r="H78" s="18"/>
      <c r="I78" s="18"/>
      <c r="J78" s="82"/>
      <c r="S78" s="18"/>
      <c r="T78" s="18"/>
      <c r="U78" s="18"/>
      <c r="V78" s="18"/>
    </row>
    <row r="79" spans="1:22" ht="11.25">
      <c r="D79" s="81" t="s">
        <v>342</v>
      </c>
      <c r="E79" s="120" t="s">
        <v>4073</v>
      </c>
      <c r="F79" s="18">
        <v>1</v>
      </c>
      <c r="G79" s="18" t="b">
        <v>1</v>
      </c>
      <c r="H79" s="18"/>
      <c r="I79" s="18"/>
      <c r="J79" s="82"/>
      <c r="S79" s="18"/>
      <c r="T79" s="18"/>
      <c r="U79" s="18"/>
      <c r="V79" s="18"/>
    </row>
    <row r="80" spans="1:22" ht="11.25">
      <c r="D80" s="81"/>
      <c r="E80" s="18" t="s">
        <v>4074</v>
      </c>
      <c r="F80" s="18">
        <v>2</v>
      </c>
      <c r="G80" s="18" t="b">
        <v>1</v>
      </c>
      <c r="H80" s="18"/>
      <c r="I80" s="18"/>
      <c r="J80" s="82"/>
      <c r="S80" s="756"/>
      <c r="T80" s="96"/>
      <c r="U80" s="96"/>
      <c r="V80" s="27"/>
    </row>
    <row r="81" spans="4:22" ht="11.25">
      <c r="D81" s="81"/>
      <c r="E81" s="18" t="s">
        <v>4075</v>
      </c>
      <c r="F81" s="18">
        <v>3</v>
      </c>
      <c r="G81" s="18" t="b">
        <v>1</v>
      </c>
      <c r="H81" s="18"/>
      <c r="I81" s="18"/>
      <c r="J81" s="82"/>
      <c r="S81" s="75"/>
      <c r="T81" s="75"/>
    </row>
    <row r="82" spans="4:22" ht="11.25">
      <c r="D82" s="81"/>
      <c r="F82" s="18"/>
      <c r="G82" s="18"/>
      <c r="H82" s="18"/>
      <c r="I82" s="18"/>
      <c r="J82" s="82"/>
      <c r="S82" s="75"/>
      <c r="T82" s="75"/>
    </row>
    <row r="83" spans="4:22" ht="12" thickBot="1">
      <c r="D83" s="81"/>
      <c r="E83" s="18"/>
      <c r="F83" s="18"/>
      <c r="G83" s="18"/>
      <c r="H83" s="18"/>
      <c r="I83" s="18"/>
      <c r="J83" s="82"/>
      <c r="S83" s="75"/>
      <c r="T83" s="75"/>
    </row>
    <row r="84" spans="4:22" ht="11.25">
      <c r="D84" s="81"/>
      <c r="E84" s="145"/>
      <c r="F84" s="145"/>
      <c r="G84" s="145"/>
      <c r="H84" s="145"/>
      <c r="I84" s="145"/>
      <c r="J84" s="146"/>
      <c r="M84" s="112"/>
      <c r="N84" s="113"/>
      <c r="O84" s="113"/>
      <c r="P84" s="113"/>
      <c r="Q84" s="113"/>
      <c r="R84" s="113"/>
      <c r="S84" s="113"/>
      <c r="T84" s="113"/>
      <c r="U84" s="113"/>
      <c r="V84" s="113"/>
    </row>
    <row r="85" spans="4:22" ht="11.25">
      <c r="D85" s="81" t="s">
        <v>344</v>
      </c>
      <c r="E85" s="18" t="s">
        <v>346</v>
      </c>
      <c r="F85" s="18" t="s">
        <v>345</v>
      </c>
      <c r="G85" s="18" t="s">
        <v>346</v>
      </c>
      <c r="H85" s="18" t="s">
        <v>4076</v>
      </c>
      <c r="I85" s="18" t="s">
        <v>4079</v>
      </c>
      <c r="J85" s="82" t="s">
        <v>3928</v>
      </c>
      <c r="M85" s="81"/>
      <c r="N85" s="18"/>
      <c r="O85" s="18"/>
      <c r="P85" s="18"/>
      <c r="Q85" s="18"/>
      <c r="R85" s="18"/>
      <c r="S85" s="18"/>
      <c r="T85" s="18"/>
      <c r="U85" s="18"/>
      <c r="V85" s="18"/>
    </row>
    <row r="86" spans="4:22" ht="11.25">
      <c r="D86" s="81"/>
      <c r="E86" s="120" t="s">
        <v>3931</v>
      </c>
      <c r="F86" s="18">
        <v>1</v>
      </c>
      <c r="G86" s="18">
        <v>1</v>
      </c>
      <c r="H86" s="18" t="s">
        <v>3932</v>
      </c>
      <c r="I86" s="18" t="b">
        <v>1</v>
      </c>
      <c r="J86" s="82" t="b">
        <v>0</v>
      </c>
      <c r="M86" s="81"/>
      <c r="N86" s="18"/>
      <c r="O86" s="18"/>
      <c r="P86" s="18"/>
      <c r="Q86" s="18"/>
      <c r="R86" s="18"/>
      <c r="S86" s="18"/>
      <c r="T86" s="18"/>
      <c r="U86" s="18"/>
      <c r="V86" s="96"/>
    </row>
    <row r="87" spans="4:22" ht="22.5">
      <c r="D87" s="81"/>
      <c r="E87" s="18" t="s">
        <v>1184</v>
      </c>
      <c r="F87" s="18">
        <v>1</v>
      </c>
      <c r="G87" s="18">
        <v>2</v>
      </c>
      <c r="H87" s="18" t="s">
        <v>4496</v>
      </c>
      <c r="I87" s="18" t="b">
        <v>1</v>
      </c>
      <c r="J87" s="82" t="b">
        <v>0</v>
      </c>
      <c r="M87" s="81"/>
      <c r="N87" s="27" t="s">
        <v>3987</v>
      </c>
      <c r="O87" s="27" t="s">
        <v>3988</v>
      </c>
      <c r="P87" s="18"/>
      <c r="Q87" s="27" t="s">
        <v>3986</v>
      </c>
      <c r="R87" s="27" t="s">
        <v>4581</v>
      </c>
      <c r="S87" s="18"/>
      <c r="T87" s="18"/>
      <c r="U87" s="749" t="s">
        <v>3994</v>
      </c>
      <c r="V87" s="27" t="s">
        <v>3995</v>
      </c>
    </row>
    <row r="88" spans="4:22" ht="11.25">
      <c r="D88" s="81"/>
      <c r="E88" s="18" t="s">
        <v>4494</v>
      </c>
      <c r="F88" s="18">
        <v>1</v>
      </c>
      <c r="G88" s="18">
        <v>3</v>
      </c>
      <c r="H88" s="18" t="s">
        <v>4495</v>
      </c>
      <c r="I88" s="18" t="b">
        <v>1</v>
      </c>
      <c r="J88" s="82" t="b">
        <v>0</v>
      </c>
      <c r="M88" s="81"/>
      <c r="N88" s="750">
        <v>1</v>
      </c>
      <c r="O88" s="751" t="str">
        <f>INDEX(menuDecsMacro,menuDecsActive)</f>
        <v>GoToNone</v>
      </c>
      <c r="P88" s="18"/>
      <c r="Q88" s="750">
        <v>1</v>
      </c>
      <c r="R88" s="751" t="str">
        <f>INDEX(menuFinancialMacro,menuFinancialActive)</f>
        <v>GoToNone</v>
      </c>
      <c r="S88" s="18"/>
      <c r="T88" s="18"/>
      <c r="U88" s="750">
        <v>1</v>
      </c>
      <c r="V88" s="751" t="str">
        <f>INDEX(menuActionMacro,menuActionActive)</f>
        <v>GoToNone</v>
      </c>
    </row>
    <row r="89" spans="4:22" ht="22.5">
      <c r="D89" s="81"/>
      <c r="E89" s="18" t="s">
        <v>1841</v>
      </c>
      <c r="F89" s="18">
        <v>1</v>
      </c>
      <c r="G89" s="18">
        <v>4</v>
      </c>
      <c r="H89" s="18" t="s">
        <v>3658</v>
      </c>
      <c r="I89" s="18" t="b">
        <v>1</v>
      </c>
      <c r="J89" s="82" t="b">
        <v>0</v>
      </c>
      <c r="M89" s="81"/>
      <c r="N89" s="27" t="s">
        <v>3989</v>
      </c>
      <c r="O89" s="27" t="s">
        <v>3990</v>
      </c>
      <c r="P89" s="18"/>
      <c r="Q89" s="27" t="s">
        <v>3991</v>
      </c>
      <c r="R89" s="27" t="s">
        <v>3992</v>
      </c>
      <c r="S89" s="27" t="s">
        <v>3978</v>
      </c>
      <c r="T89" s="18"/>
      <c r="U89" s="749" t="s">
        <v>3996</v>
      </c>
      <c r="V89" s="749" t="s">
        <v>3997</v>
      </c>
    </row>
    <row r="90" spans="4:22" ht="11.25">
      <c r="D90" s="81"/>
      <c r="E90" s="96" t="s">
        <v>2316</v>
      </c>
      <c r="F90" s="96">
        <v>1</v>
      </c>
      <c r="G90" s="96">
        <v>5</v>
      </c>
      <c r="H90" s="18" t="s">
        <v>172</v>
      </c>
      <c r="I90" s="18" t="b">
        <v>1</v>
      </c>
      <c r="J90" s="82" t="b">
        <v>0</v>
      </c>
      <c r="M90" s="81"/>
      <c r="N90" s="752" t="s">
        <v>369</v>
      </c>
      <c r="O90" s="752" t="s">
        <v>3979</v>
      </c>
      <c r="P90" s="81"/>
      <c r="Q90" s="752" t="s">
        <v>4647</v>
      </c>
      <c r="R90" s="751" t="s">
        <v>3979</v>
      </c>
      <c r="S90" s="18">
        <f>MAX(R65:R76)</f>
        <v>0</v>
      </c>
      <c r="T90" s="18"/>
      <c r="U90" s="752" t="s">
        <v>4648</v>
      </c>
      <c r="V90" s="751" t="s">
        <v>3979</v>
      </c>
    </row>
    <row r="91" spans="4:22" ht="11.25">
      <c r="D91" s="81"/>
      <c r="E91" s="18" t="s">
        <v>2315</v>
      </c>
      <c r="F91" s="18">
        <v>1</v>
      </c>
      <c r="G91" s="18">
        <v>6</v>
      </c>
      <c r="H91" s="18" t="s">
        <v>4497</v>
      </c>
      <c r="I91" s="18" t="b">
        <v>1</v>
      </c>
      <c r="J91" s="82" t="b">
        <v>0</v>
      </c>
      <c r="M91" s="81"/>
      <c r="N91" s="752" t="s">
        <v>611</v>
      </c>
      <c r="O91" s="751" t="s">
        <v>3932</v>
      </c>
      <c r="P91" s="81">
        <v>1</v>
      </c>
      <c r="Q91" s="751" t="s">
        <v>3993</v>
      </c>
      <c r="R91" s="751" t="s">
        <v>4717</v>
      </c>
      <c r="S91" s="18"/>
      <c r="T91" s="18"/>
      <c r="U91" s="751" t="s">
        <v>3334</v>
      </c>
      <c r="V91" s="751" t="s">
        <v>992</v>
      </c>
    </row>
    <row r="92" spans="4:22" ht="11.25">
      <c r="D92" s="81"/>
      <c r="E92" s="18" t="s">
        <v>1826</v>
      </c>
      <c r="F92" s="18">
        <v>1</v>
      </c>
      <c r="G92" s="18">
        <v>7</v>
      </c>
      <c r="H92" s="18" t="s">
        <v>690</v>
      </c>
      <c r="I92" s="18" t="b">
        <v>1</v>
      </c>
      <c r="J92" s="82" t="b">
        <v>1</v>
      </c>
      <c r="M92" s="81"/>
      <c r="N92" s="752" t="s">
        <v>1608</v>
      </c>
      <c r="O92" s="751" t="s">
        <v>3982</v>
      </c>
      <c r="P92" s="81">
        <v>2</v>
      </c>
      <c r="Q92" s="752" t="s">
        <v>3216</v>
      </c>
      <c r="R92" s="751" t="s">
        <v>3985</v>
      </c>
      <c r="S92" s="18"/>
      <c r="T92" s="18"/>
      <c r="U92" s="752" t="s">
        <v>3980</v>
      </c>
      <c r="V92" s="751" t="s">
        <v>1974</v>
      </c>
    </row>
    <row r="93" spans="4:22" ht="11.25">
      <c r="D93" s="81"/>
      <c r="E93" s="18" t="s">
        <v>1827</v>
      </c>
      <c r="F93" s="18">
        <v>2</v>
      </c>
      <c r="G93" s="18">
        <v>1</v>
      </c>
      <c r="H93" s="18" t="s">
        <v>4077</v>
      </c>
      <c r="I93" s="18" t="b">
        <v>1</v>
      </c>
      <c r="J93" s="82" t="b">
        <v>0</v>
      </c>
      <c r="M93" s="81"/>
      <c r="N93" s="752" t="s">
        <v>4699</v>
      </c>
      <c r="O93" s="751" t="s">
        <v>4693</v>
      </c>
      <c r="P93" s="81">
        <v>3</v>
      </c>
      <c r="Q93" s="751"/>
      <c r="R93" s="751"/>
      <c r="S93" s="18"/>
      <c r="T93" s="18"/>
      <c r="U93" s="752" t="s">
        <v>3981</v>
      </c>
      <c r="V93" s="751" t="s">
        <v>4336</v>
      </c>
    </row>
    <row r="94" spans="4:22" ht="11.25">
      <c r="D94" s="81"/>
      <c r="E94" s="18" t="s">
        <v>2649</v>
      </c>
      <c r="F94" s="18">
        <v>2</v>
      </c>
      <c r="G94" s="18">
        <v>2</v>
      </c>
      <c r="H94" s="18" t="s">
        <v>993</v>
      </c>
      <c r="I94" s="18" t="b">
        <v>1</v>
      </c>
      <c r="J94" s="82" t="b">
        <v>0</v>
      </c>
      <c r="M94" s="81"/>
      <c r="N94" s="930" t="s">
        <v>4700</v>
      </c>
      <c r="O94" s="751" t="s">
        <v>4694</v>
      </c>
      <c r="P94" s="81">
        <v>4</v>
      </c>
      <c r="Q94" s="751"/>
      <c r="R94" s="751"/>
      <c r="S94" s="18"/>
      <c r="T94" s="18"/>
      <c r="U94" s="752" t="s">
        <v>3998</v>
      </c>
      <c r="V94" s="753" t="s">
        <v>2652</v>
      </c>
    </row>
    <row r="95" spans="4:22" ht="12" customHeight="1">
      <c r="D95" s="81"/>
      <c r="E95" s="18" t="s">
        <v>1875</v>
      </c>
      <c r="F95" s="18">
        <v>2</v>
      </c>
      <c r="G95" s="18">
        <v>3</v>
      </c>
      <c r="H95" s="18" t="s">
        <v>994</v>
      </c>
      <c r="I95" s="18" t="b">
        <v>1</v>
      </c>
      <c r="J95" s="82" t="b">
        <v>0</v>
      </c>
      <c r="M95" s="81"/>
      <c r="N95" s="930" t="s">
        <v>5157</v>
      </c>
      <c r="O95" s="751" t="s">
        <v>4695</v>
      </c>
      <c r="P95" s="81">
        <v>5</v>
      </c>
      <c r="Q95" s="751"/>
      <c r="R95" s="751"/>
      <c r="T95" s="18"/>
      <c r="U95" s="751"/>
      <c r="V95" s="751"/>
    </row>
    <row r="96" spans="4:22" ht="12" customHeight="1">
      <c r="D96" s="81"/>
      <c r="E96" s="96" t="s">
        <v>20</v>
      </c>
      <c r="F96" s="18">
        <v>2</v>
      </c>
      <c r="G96" s="18">
        <v>4</v>
      </c>
      <c r="H96" s="18" t="s">
        <v>22</v>
      </c>
      <c r="I96" s="18" t="b">
        <v>1</v>
      </c>
      <c r="J96" s="82" t="b">
        <v>0</v>
      </c>
      <c r="M96" s="81"/>
      <c r="N96" s="752" t="s">
        <v>4777</v>
      </c>
      <c r="O96" s="751" t="s">
        <v>3983</v>
      </c>
      <c r="P96" s="81">
        <v>6</v>
      </c>
      <c r="Q96" s="751"/>
      <c r="R96" s="751"/>
      <c r="S96" s="18"/>
      <c r="T96" s="18"/>
      <c r="U96" s="752"/>
      <c r="V96" s="751"/>
    </row>
    <row r="97" spans="4:22" ht="12" customHeight="1">
      <c r="D97" s="81"/>
      <c r="E97" s="96" t="s">
        <v>21</v>
      </c>
      <c r="F97" s="18">
        <v>2</v>
      </c>
      <c r="G97" s="18">
        <v>5</v>
      </c>
      <c r="H97" s="18" t="s">
        <v>23</v>
      </c>
      <c r="I97" s="18" t="b">
        <v>1</v>
      </c>
      <c r="J97" s="82" t="b">
        <v>0</v>
      </c>
      <c r="M97" s="81"/>
      <c r="N97" s="752" t="s">
        <v>949</v>
      </c>
      <c r="O97" s="751" t="s">
        <v>3984</v>
      </c>
      <c r="P97" s="81">
        <v>7</v>
      </c>
      <c r="Q97" s="751"/>
      <c r="R97" s="751"/>
      <c r="S97" s="18"/>
      <c r="T97" s="18"/>
    </row>
    <row r="98" spans="4:22" ht="11.25">
      <c r="D98" s="81"/>
      <c r="E98" s="18" t="s">
        <v>1973</v>
      </c>
      <c r="F98" s="18">
        <v>3</v>
      </c>
      <c r="G98" s="18">
        <v>1</v>
      </c>
      <c r="H98" s="18" t="s">
        <v>992</v>
      </c>
      <c r="I98" s="18" t="b">
        <v>1</v>
      </c>
      <c r="J98" s="82" t="b">
        <v>0</v>
      </c>
      <c r="M98" s="81"/>
      <c r="P98" s="81">
        <v>8</v>
      </c>
      <c r="Q98" s="751"/>
      <c r="R98" s="751"/>
      <c r="S98" s="18"/>
      <c r="T98" s="18"/>
    </row>
    <row r="99" spans="4:22" ht="11.25">
      <c r="D99" s="81"/>
      <c r="E99" s="18" t="s">
        <v>1876</v>
      </c>
      <c r="F99" s="18">
        <v>3</v>
      </c>
      <c r="G99" s="18">
        <v>2</v>
      </c>
      <c r="H99" s="18" t="s">
        <v>1974</v>
      </c>
      <c r="I99" s="18" t="b">
        <v>1</v>
      </c>
      <c r="J99" s="82" t="b">
        <v>0</v>
      </c>
      <c r="M99" s="81"/>
      <c r="N99" s="18"/>
      <c r="O99" s="18"/>
      <c r="P99" s="81">
        <v>9</v>
      </c>
      <c r="Q99" s="751"/>
      <c r="R99" s="751"/>
      <c r="S99" s="18"/>
      <c r="T99" s="18"/>
    </row>
    <row r="100" spans="4:22" ht="11.25">
      <c r="D100" s="81"/>
      <c r="E100" s="18" t="s">
        <v>678</v>
      </c>
      <c r="F100" s="18">
        <v>3</v>
      </c>
      <c r="G100" s="18">
        <v>3</v>
      </c>
      <c r="H100" s="18" t="s">
        <v>4336</v>
      </c>
      <c r="I100" s="18" t="b">
        <v>1</v>
      </c>
      <c r="J100" s="82" t="b">
        <v>1</v>
      </c>
      <c r="M100" s="81"/>
      <c r="N100" s="18"/>
      <c r="O100" s="18"/>
      <c r="P100" s="81">
        <v>10</v>
      </c>
      <c r="Q100" s="751"/>
      <c r="R100" s="751"/>
      <c r="S100" s="18"/>
      <c r="T100" s="18"/>
    </row>
    <row r="101" spans="4:22" ht="11.25">
      <c r="D101" s="81"/>
      <c r="E101" s="96" t="s">
        <v>2651</v>
      </c>
      <c r="F101" s="18">
        <v>3</v>
      </c>
      <c r="G101" s="18">
        <v>4</v>
      </c>
      <c r="H101" s="18" t="s">
        <v>2652</v>
      </c>
      <c r="I101" s="18" t="b">
        <v>1</v>
      </c>
      <c r="J101" s="82" t="b">
        <v>0</v>
      </c>
      <c r="M101" s="81"/>
      <c r="N101" s="18"/>
      <c r="O101" s="18"/>
      <c r="P101" s="81">
        <v>11</v>
      </c>
      <c r="Q101" s="751"/>
      <c r="R101" s="751"/>
      <c r="S101" s="18"/>
      <c r="T101" s="18"/>
    </row>
    <row r="102" spans="4:22" ht="11.25">
      <c r="D102" s="81"/>
      <c r="E102" s="145"/>
      <c r="F102" s="145"/>
      <c r="G102" s="145"/>
      <c r="H102" s="145"/>
      <c r="I102" s="145"/>
      <c r="J102" s="146"/>
      <c r="M102" s="81"/>
      <c r="N102" s="18"/>
      <c r="O102" s="18"/>
      <c r="P102" s="81">
        <v>12</v>
      </c>
      <c r="Q102" s="751"/>
      <c r="R102" s="18"/>
      <c r="S102" s="18"/>
      <c r="T102" s="18"/>
    </row>
    <row r="103" spans="4:22" ht="11.25">
      <c r="D103" s="81" t="s">
        <v>3929</v>
      </c>
      <c r="E103" s="18" t="s">
        <v>3930</v>
      </c>
      <c r="F103" s="18" t="s">
        <v>345</v>
      </c>
      <c r="G103" s="18" t="s">
        <v>346</v>
      </c>
      <c r="H103" s="18" t="s">
        <v>4076</v>
      </c>
      <c r="I103" s="18" t="s">
        <v>4079</v>
      </c>
      <c r="J103" s="82"/>
      <c r="M103" s="81"/>
      <c r="N103" s="18"/>
      <c r="O103" s="18"/>
      <c r="P103" s="18"/>
      <c r="Q103" s="18"/>
      <c r="R103" s="18"/>
      <c r="S103" s="18"/>
      <c r="T103" s="18"/>
      <c r="U103" s="18"/>
      <c r="V103" s="754"/>
    </row>
    <row r="104" spans="4:22" ht="12" thickBot="1">
      <c r="D104" s="81"/>
      <c r="E104" s="120"/>
      <c r="F104" s="96"/>
      <c r="G104" s="18"/>
      <c r="H104" s="18"/>
      <c r="I104" s="18"/>
      <c r="J104" s="82"/>
      <c r="M104" s="83"/>
      <c r="N104" s="84"/>
      <c r="O104" s="84"/>
      <c r="P104" s="84"/>
      <c r="Q104" s="84"/>
      <c r="R104" s="84"/>
      <c r="S104" s="84"/>
      <c r="T104" s="84"/>
      <c r="U104" s="84"/>
      <c r="V104" s="755"/>
    </row>
    <row r="105" spans="4:22" ht="11.25">
      <c r="D105" s="81"/>
      <c r="E105" s="18"/>
      <c r="F105" s="18"/>
      <c r="G105" s="18"/>
      <c r="H105" s="18"/>
      <c r="I105" s="18"/>
      <c r="J105" s="82"/>
      <c r="S105" s="75"/>
      <c r="T105" s="75"/>
    </row>
    <row r="106" spans="4:22" ht="11.25">
      <c r="D106" s="81"/>
      <c r="E106" s="18"/>
      <c r="F106" s="18"/>
      <c r="G106" s="18"/>
      <c r="H106" s="18"/>
      <c r="I106" s="18"/>
      <c r="J106" s="82"/>
      <c r="S106" s="75"/>
      <c r="T106" s="75"/>
    </row>
    <row r="107" spans="4:22" ht="11.25">
      <c r="D107" s="81"/>
      <c r="E107" s="18"/>
      <c r="F107" s="18"/>
      <c r="G107" s="18"/>
      <c r="H107" s="18"/>
      <c r="I107" s="18"/>
      <c r="J107" s="82"/>
      <c r="S107" s="75"/>
      <c r="T107" s="75"/>
    </row>
    <row r="108" spans="4:22" ht="11.25">
      <c r="D108" s="81"/>
      <c r="E108" s="18"/>
      <c r="F108" s="18"/>
      <c r="G108" s="18"/>
      <c r="H108" s="18"/>
      <c r="I108" s="18"/>
      <c r="J108" s="82"/>
      <c r="S108" s="75"/>
      <c r="T108" s="75"/>
    </row>
    <row r="109" spans="4:22" ht="11.25">
      <c r="D109" s="81"/>
      <c r="E109" s="18"/>
      <c r="F109" s="18"/>
      <c r="G109" s="18"/>
      <c r="H109" s="18"/>
      <c r="I109" s="18"/>
      <c r="J109" s="82"/>
      <c r="S109" s="75"/>
      <c r="T109" s="75"/>
    </row>
    <row r="110" spans="4:22" ht="12" thickBot="1">
      <c r="D110" s="83"/>
      <c r="E110" s="147"/>
      <c r="F110" s="147"/>
      <c r="G110" s="147"/>
      <c r="H110" s="147"/>
      <c r="I110" s="147"/>
      <c r="J110" s="148"/>
      <c r="S110" s="75"/>
      <c r="T110" s="75"/>
    </row>
    <row r="111" spans="4:22" ht="12" thickBot="1">
      <c r="S111" s="75"/>
      <c r="T111" s="75"/>
    </row>
    <row r="112" spans="4:22" ht="11.25">
      <c r="D112" s="112" t="s">
        <v>2950</v>
      </c>
      <c r="E112" s="113" t="s">
        <v>4078</v>
      </c>
      <c r="F112" s="113" t="s">
        <v>4159</v>
      </c>
      <c r="G112" s="113"/>
      <c r="H112" s="113"/>
      <c r="I112" s="113"/>
      <c r="J112" s="114"/>
      <c r="S112" s="75"/>
      <c r="T112" s="75"/>
    </row>
    <row r="113" spans="4:20" ht="11.25">
      <c r="D113" s="81" t="s">
        <v>4071</v>
      </c>
      <c r="E113" s="120"/>
      <c r="F113" s="18"/>
      <c r="G113" s="18"/>
      <c r="H113" s="18"/>
      <c r="I113" s="18"/>
      <c r="J113" s="82"/>
      <c r="S113" s="75"/>
      <c r="T113" s="75"/>
    </row>
    <row r="114" spans="4:20" ht="11.25">
      <c r="D114" s="81"/>
      <c r="E114" s="18"/>
      <c r="F114" s="18"/>
      <c r="G114" s="18"/>
      <c r="H114" s="18"/>
      <c r="I114" s="18"/>
      <c r="J114" s="82"/>
      <c r="S114" s="75"/>
      <c r="T114" s="75"/>
    </row>
    <row r="115" spans="4:20" ht="11.25">
      <c r="D115" s="81"/>
      <c r="E115" s="18" t="s">
        <v>343</v>
      </c>
      <c r="F115" s="18" t="s">
        <v>345</v>
      </c>
      <c r="G115" s="18" t="s">
        <v>4079</v>
      </c>
      <c r="H115" s="18"/>
      <c r="I115" s="18"/>
      <c r="J115" s="82"/>
      <c r="S115" s="75"/>
      <c r="T115" s="75"/>
    </row>
    <row r="116" spans="4:20" ht="11.25">
      <c r="D116" s="81" t="s">
        <v>342</v>
      </c>
      <c r="E116" s="120" t="s">
        <v>2951</v>
      </c>
      <c r="F116" s="18">
        <v>1</v>
      </c>
      <c r="G116" s="18" t="b">
        <v>1</v>
      </c>
      <c r="H116" s="18"/>
      <c r="I116" s="18"/>
      <c r="J116" s="82"/>
      <c r="S116" s="75"/>
      <c r="T116" s="75"/>
    </row>
    <row r="117" spans="4:20" ht="11.25">
      <c r="D117" s="81"/>
      <c r="E117" s="145"/>
      <c r="F117" s="145"/>
      <c r="G117" s="145"/>
      <c r="H117" s="145"/>
      <c r="I117" s="145"/>
      <c r="J117" s="146"/>
      <c r="S117" s="75"/>
      <c r="T117" s="75"/>
    </row>
    <row r="118" spans="4:20" ht="11.25">
      <c r="D118" s="81" t="s">
        <v>344</v>
      </c>
      <c r="E118" s="18" t="s">
        <v>346</v>
      </c>
      <c r="F118" s="18" t="s">
        <v>345</v>
      </c>
      <c r="G118" s="18" t="s">
        <v>346</v>
      </c>
      <c r="H118" s="18" t="s">
        <v>4076</v>
      </c>
      <c r="I118" s="18" t="s">
        <v>4079</v>
      </c>
      <c r="J118" s="82" t="s">
        <v>3928</v>
      </c>
      <c r="S118" s="75"/>
      <c r="T118" s="75"/>
    </row>
    <row r="119" spans="4:20" ht="11.25">
      <c r="D119" s="81"/>
      <c r="E119" s="120" t="s">
        <v>2952</v>
      </c>
      <c r="F119" s="18">
        <v>1</v>
      </c>
      <c r="G119" s="18">
        <v>1</v>
      </c>
      <c r="H119" s="18"/>
      <c r="I119" s="18" t="b">
        <v>1</v>
      </c>
      <c r="J119" s="82" t="b">
        <v>0</v>
      </c>
      <c r="S119" s="75"/>
      <c r="T119" s="75"/>
    </row>
    <row r="120" spans="4:20" ht="11.25">
      <c r="D120" s="81"/>
      <c r="E120" s="18" t="s">
        <v>540</v>
      </c>
      <c r="F120" s="18">
        <v>1</v>
      </c>
      <c r="G120" s="18">
        <v>2</v>
      </c>
      <c r="H120" s="18"/>
      <c r="I120" s="18" t="b">
        <v>1</v>
      </c>
      <c r="J120" s="82" t="b">
        <v>0</v>
      </c>
      <c r="S120" s="75"/>
      <c r="T120" s="75"/>
    </row>
    <row r="121" spans="4:20" ht="11.25">
      <c r="D121" s="81"/>
      <c r="E121" s="18" t="s">
        <v>2953</v>
      </c>
      <c r="F121" s="18">
        <v>1</v>
      </c>
      <c r="G121" s="18">
        <v>3</v>
      </c>
      <c r="H121" s="18" t="s">
        <v>212</v>
      </c>
      <c r="I121" s="18" t="b">
        <v>1</v>
      </c>
      <c r="J121" s="82" t="b">
        <v>1</v>
      </c>
      <c r="S121" s="75"/>
      <c r="T121" s="75"/>
    </row>
    <row r="122" spans="4:20" ht="11.25">
      <c r="D122" s="81"/>
      <c r="E122" s="849" t="s">
        <v>5652</v>
      </c>
      <c r="F122" s="18">
        <v>1</v>
      </c>
      <c r="G122" s="18">
        <v>4</v>
      </c>
      <c r="H122" s="849" t="s">
        <v>5651</v>
      </c>
      <c r="I122" s="18" t="b">
        <v>1</v>
      </c>
      <c r="J122" s="82" t="b">
        <v>1</v>
      </c>
      <c r="S122" s="75"/>
      <c r="T122" s="75"/>
    </row>
    <row r="123" spans="4:20" ht="11.25">
      <c r="D123" s="81"/>
      <c r="E123" s="18" t="s">
        <v>2650</v>
      </c>
      <c r="F123" s="18">
        <v>1</v>
      </c>
      <c r="G123" s="18">
        <v>5</v>
      </c>
      <c r="H123" s="18" t="s">
        <v>213</v>
      </c>
      <c r="I123" s="18" t="b">
        <v>1</v>
      </c>
      <c r="J123" s="82" t="b">
        <v>0</v>
      </c>
      <c r="S123" s="75"/>
      <c r="T123" s="75"/>
    </row>
    <row r="124" spans="4:20" ht="11.25">
      <c r="D124" s="81"/>
      <c r="E124" s="96" t="s">
        <v>1425</v>
      </c>
      <c r="F124" s="18">
        <v>1</v>
      </c>
      <c r="G124" s="96">
        <v>6</v>
      </c>
      <c r="H124" t="s">
        <v>3974</v>
      </c>
      <c r="I124" s="18" t="b">
        <v>1</v>
      </c>
      <c r="J124" s="82" t="b">
        <v>0</v>
      </c>
      <c r="S124" s="75"/>
      <c r="T124" s="75"/>
    </row>
    <row r="125" spans="4:20" ht="11.25">
      <c r="D125" s="81"/>
      <c r="E125" s="18" t="s">
        <v>3141</v>
      </c>
      <c r="F125" s="18">
        <v>1</v>
      </c>
      <c r="G125" s="18">
        <v>7</v>
      </c>
      <c r="H125" s="18" t="s">
        <v>214</v>
      </c>
      <c r="I125" s="18" t="b">
        <v>1</v>
      </c>
      <c r="J125" s="82" t="b">
        <v>0</v>
      </c>
      <c r="S125" s="75"/>
      <c r="T125" s="75"/>
    </row>
    <row r="126" spans="4:20" ht="11.25">
      <c r="D126" s="81"/>
      <c r="E126" s="18" t="s">
        <v>3142</v>
      </c>
      <c r="F126" s="18">
        <v>1</v>
      </c>
      <c r="G126" s="18">
        <v>8</v>
      </c>
      <c r="H126" s="18"/>
      <c r="I126" s="18" t="b">
        <v>1</v>
      </c>
      <c r="J126" s="82" t="b">
        <v>0</v>
      </c>
      <c r="S126" s="75"/>
      <c r="T126" s="75"/>
    </row>
    <row r="127" spans="4:20" ht="11.25">
      <c r="D127" s="81"/>
      <c r="E127" s="96" t="s">
        <v>1754</v>
      </c>
      <c r="F127" s="18">
        <v>1</v>
      </c>
      <c r="G127" s="18">
        <v>9</v>
      </c>
      <c r="H127" s="18" t="s">
        <v>1755</v>
      </c>
      <c r="I127" s="18" t="b">
        <v>1</v>
      </c>
      <c r="J127" s="82" t="b">
        <v>0</v>
      </c>
      <c r="S127" s="75"/>
      <c r="T127" s="75"/>
    </row>
    <row r="128" spans="4:20" ht="11.25">
      <c r="D128" s="81"/>
      <c r="E128" s="18" t="s">
        <v>3143</v>
      </c>
      <c r="F128" s="18">
        <v>1</v>
      </c>
      <c r="G128" s="18">
        <v>10</v>
      </c>
      <c r="H128" s="18" t="s">
        <v>4098</v>
      </c>
      <c r="I128" s="18" t="b">
        <v>1</v>
      </c>
      <c r="J128" s="82" t="b">
        <v>0</v>
      </c>
      <c r="S128" s="75"/>
      <c r="T128" s="75"/>
    </row>
    <row r="129" spans="4:20" ht="11.25">
      <c r="D129" s="81"/>
      <c r="E129" s="849" t="s">
        <v>5653</v>
      </c>
      <c r="F129" s="18">
        <v>1</v>
      </c>
      <c r="G129" s="18">
        <v>10</v>
      </c>
      <c r="H129" s="849" t="s">
        <v>5654</v>
      </c>
      <c r="I129" s="18" t="b">
        <v>1</v>
      </c>
      <c r="J129" s="82" t="b">
        <v>0</v>
      </c>
      <c r="S129" s="75"/>
      <c r="T129" s="75"/>
    </row>
    <row r="130" spans="4:20" ht="11.25">
      <c r="D130" s="81"/>
      <c r="E130" s="18" t="s">
        <v>3144</v>
      </c>
      <c r="F130" s="18">
        <v>1</v>
      </c>
      <c r="G130" s="18">
        <v>11</v>
      </c>
      <c r="H130" s="18" t="s">
        <v>4099</v>
      </c>
      <c r="I130" s="18" t="b">
        <v>1</v>
      </c>
      <c r="J130" s="82" t="b">
        <v>1</v>
      </c>
      <c r="S130" s="75"/>
      <c r="T130" s="75"/>
    </row>
    <row r="131" spans="4:20" ht="11.25">
      <c r="D131" s="81"/>
      <c r="E131" s="18" t="s">
        <v>1877</v>
      </c>
      <c r="F131" s="18">
        <v>1</v>
      </c>
      <c r="G131" s="18">
        <v>12</v>
      </c>
      <c r="H131" s="18" t="s">
        <v>4161</v>
      </c>
      <c r="I131" s="18" t="b">
        <v>1</v>
      </c>
      <c r="J131" s="82" t="b">
        <v>0</v>
      </c>
      <c r="S131" s="75"/>
      <c r="T131" s="75"/>
    </row>
    <row r="132" spans="4:20" ht="11.25">
      <c r="D132" s="81"/>
      <c r="E132" s="145"/>
      <c r="F132" s="145"/>
      <c r="G132" s="145"/>
      <c r="H132" s="145"/>
      <c r="I132" s="145"/>
      <c r="J132" s="146"/>
      <c r="S132" s="75"/>
      <c r="T132" s="75"/>
    </row>
    <row r="133" spans="4:20" ht="11.25">
      <c r="D133" s="81" t="s">
        <v>3929</v>
      </c>
      <c r="E133" s="18" t="s">
        <v>3930</v>
      </c>
      <c r="F133" s="18" t="s">
        <v>345</v>
      </c>
      <c r="G133" s="18" t="s">
        <v>346</v>
      </c>
      <c r="H133" s="18" t="s">
        <v>4076</v>
      </c>
      <c r="I133" s="18" t="s">
        <v>4079</v>
      </c>
      <c r="J133" s="82" t="s">
        <v>3928</v>
      </c>
      <c r="S133" s="75"/>
      <c r="T133" s="75"/>
    </row>
    <row r="134" spans="4:20" ht="11.25">
      <c r="D134" s="81"/>
      <c r="E134" s="120" t="s">
        <v>1433</v>
      </c>
      <c r="F134" s="18">
        <v>1</v>
      </c>
      <c r="G134" s="18">
        <v>1</v>
      </c>
      <c r="H134" s="18" t="s">
        <v>4160</v>
      </c>
      <c r="I134" s="18" t="b">
        <v>1</v>
      </c>
      <c r="J134" s="82" t="b">
        <v>0</v>
      </c>
      <c r="S134" s="75"/>
      <c r="T134" s="75"/>
    </row>
    <row r="135" spans="4:20" ht="11.25">
      <c r="D135" s="81"/>
      <c r="E135" s="18" t="s">
        <v>1434</v>
      </c>
      <c r="F135" s="18">
        <v>1</v>
      </c>
      <c r="G135" s="18">
        <v>1</v>
      </c>
      <c r="H135" s="18" t="s">
        <v>4162</v>
      </c>
      <c r="I135" s="18" t="b">
        <v>1</v>
      </c>
      <c r="J135" s="82" t="b">
        <v>0</v>
      </c>
      <c r="S135" s="75"/>
      <c r="T135" s="75"/>
    </row>
    <row r="136" spans="4:20" ht="11.25">
      <c r="D136" s="81"/>
      <c r="E136" s="18" t="s">
        <v>1435</v>
      </c>
      <c r="F136" s="18">
        <v>1</v>
      </c>
      <c r="G136" s="18">
        <v>1</v>
      </c>
      <c r="H136" s="18" t="s">
        <v>4163</v>
      </c>
      <c r="I136" s="18" t="b">
        <v>1</v>
      </c>
      <c r="J136" s="82" t="b">
        <v>1</v>
      </c>
      <c r="S136" s="75"/>
      <c r="T136" s="75"/>
    </row>
    <row r="137" spans="4:20" ht="11.25">
      <c r="D137" s="81"/>
      <c r="E137" s="18" t="s">
        <v>1436</v>
      </c>
      <c r="F137" s="18">
        <v>1</v>
      </c>
      <c r="G137" s="18">
        <v>1</v>
      </c>
      <c r="H137" s="18" t="s">
        <v>4164</v>
      </c>
      <c r="I137" s="18" t="b">
        <v>1</v>
      </c>
      <c r="J137" s="82" t="b">
        <v>0</v>
      </c>
      <c r="S137" s="75"/>
      <c r="T137" s="75"/>
    </row>
    <row r="138" spans="4:20" ht="11.25">
      <c r="D138" s="81"/>
      <c r="E138" s="18" t="s">
        <v>1437</v>
      </c>
      <c r="F138" s="18">
        <v>1</v>
      </c>
      <c r="G138" s="18">
        <v>1</v>
      </c>
      <c r="H138" s="18" t="s">
        <v>4165</v>
      </c>
      <c r="I138" s="18" t="b">
        <v>1</v>
      </c>
      <c r="J138" s="82" t="b">
        <v>0</v>
      </c>
      <c r="S138" s="75"/>
      <c r="T138" s="75"/>
    </row>
    <row r="139" spans="4:20" ht="11.25">
      <c r="D139" s="81"/>
      <c r="E139" s="18" t="s">
        <v>2909</v>
      </c>
      <c r="F139" s="18">
        <v>1</v>
      </c>
      <c r="G139" s="18">
        <v>1</v>
      </c>
      <c r="H139" s="18" t="s">
        <v>4166</v>
      </c>
      <c r="I139" s="18" t="b">
        <v>1</v>
      </c>
      <c r="J139" s="82" t="b">
        <v>0</v>
      </c>
      <c r="S139" s="75"/>
      <c r="T139" s="75"/>
    </row>
    <row r="140" spans="4:20" ht="11.25">
      <c r="D140" s="81"/>
      <c r="E140" s="18" t="s">
        <v>2910</v>
      </c>
      <c r="F140" s="18">
        <v>1</v>
      </c>
      <c r="G140" s="18">
        <v>1</v>
      </c>
      <c r="H140" s="18" t="s">
        <v>4167</v>
      </c>
      <c r="I140" s="18" t="b">
        <v>1</v>
      </c>
      <c r="J140" s="82" t="b">
        <v>0</v>
      </c>
      <c r="S140" s="75"/>
      <c r="T140" s="75"/>
    </row>
    <row r="141" spans="4:20" ht="11.25">
      <c r="D141" s="81"/>
      <c r="E141" s="18" t="s">
        <v>1168</v>
      </c>
      <c r="F141" s="18">
        <v>1</v>
      </c>
      <c r="G141" s="18">
        <v>1</v>
      </c>
      <c r="H141" s="18" t="s">
        <v>1167</v>
      </c>
      <c r="I141" s="18" t="b">
        <v>1</v>
      </c>
      <c r="J141" s="82" t="b">
        <v>0</v>
      </c>
      <c r="S141" s="75"/>
      <c r="T141" s="75"/>
    </row>
    <row r="142" spans="4:20" ht="11.25">
      <c r="D142" s="81"/>
      <c r="E142" s="18" t="s">
        <v>1225</v>
      </c>
      <c r="F142" s="18">
        <v>1</v>
      </c>
      <c r="G142" s="18">
        <v>1</v>
      </c>
      <c r="H142" s="18" t="s">
        <v>210</v>
      </c>
      <c r="I142" s="18" t="b">
        <v>1</v>
      </c>
      <c r="J142" s="82" t="b">
        <v>0</v>
      </c>
      <c r="S142" s="75"/>
      <c r="T142" s="75"/>
    </row>
    <row r="143" spans="4:20" ht="11.25">
      <c r="D143" s="81"/>
      <c r="E143" s="18" t="s">
        <v>1438</v>
      </c>
      <c r="F143" s="18">
        <v>1</v>
      </c>
      <c r="G143" s="18">
        <v>1</v>
      </c>
      <c r="H143" s="18" t="s">
        <v>211</v>
      </c>
      <c r="I143" s="18" t="b">
        <v>1</v>
      </c>
      <c r="J143" s="82" t="b">
        <v>0</v>
      </c>
      <c r="S143" s="75"/>
      <c r="T143" s="75"/>
    </row>
    <row r="144" spans="4:20" ht="11.25">
      <c r="D144" s="81"/>
      <c r="E144" s="18" t="s">
        <v>4036</v>
      </c>
      <c r="F144" s="18">
        <v>1</v>
      </c>
      <c r="G144" s="18">
        <v>2</v>
      </c>
      <c r="H144" s="18" t="s">
        <v>4037</v>
      </c>
      <c r="I144" s="18" t="b">
        <v>1</v>
      </c>
      <c r="J144" s="82" t="b">
        <v>0</v>
      </c>
      <c r="S144" s="75"/>
      <c r="T144" s="75"/>
    </row>
    <row r="145" spans="4:20" ht="11.25">
      <c r="D145" s="81"/>
      <c r="E145" s="18" t="s">
        <v>4038</v>
      </c>
      <c r="F145" s="18">
        <v>1</v>
      </c>
      <c r="G145" s="18">
        <v>2</v>
      </c>
      <c r="H145" s="18" t="s">
        <v>4039</v>
      </c>
      <c r="I145" s="18" t="b">
        <v>1</v>
      </c>
      <c r="J145" s="82" t="b">
        <v>0</v>
      </c>
      <c r="S145" s="75"/>
      <c r="T145" s="75"/>
    </row>
    <row r="146" spans="4:20" ht="11.25">
      <c r="D146" s="81"/>
      <c r="E146" s="18" t="s">
        <v>1067</v>
      </c>
      <c r="F146" s="18">
        <v>1</v>
      </c>
      <c r="G146" s="18">
        <v>2</v>
      </c>
      <c r="H146" s="18" t="s">
        <v>1068</v>
      </c>
      <c r="I146" s="18" t="b">
        <v>1</v>
      </c>
      <c r="J146" s="82" t="b">
        <v>1</v>
      </c>
      <c r="S146" s="75"/>
      <c r="T146" s="75"/>
    </row>
    <row r="147" spans="4:20" ht="11.25">
      <c r="D147" s="81"/>
      <c r="E147" s="18" t="s">
        <v>1911</v>
      </c>
      <c r="F147" s="18">
        <v>1</v>
      </c>
      <c r="G147" s="18">
        <v>2</v>
      </c>
      <c r="H147" s="18" t="s">
        <v>1358</v>
      </c>
      <c r="I147" s="18" t="b">
        <v>1</v>
      </c>
      <c r="J147" s="82" t="b">
        <v>0</v>
      </c>
      <c r="S147" s="75"/>
      <c r="T147" s="75"/>
    </row>
    <row r="148" spans="4:20" ht="11.25">
      <c r="D148" s="81"/>
      <c r="E148" s="18" t="s">
        <v>1359</v>
      </c>
      <c r="F148" s="18">
        <v>1</v>
      </c>
      <c r="G148" s="18">
        <v>2</v>
      </c>
      <c r="H148" s="18" t="s">
        <v>1360</v>
      </c>
      <c r="I148" s="18" t="b">
        <v>1</v>
      </c>
      <c r="J148" s="82" t="b">
        <v>0</v>
      </c>
      <c r="S148" s="75"/>
      <c r="T148" s="75"/>
    </row>
    <row r="149" spans="4:20" ht="11.25">
      <c r="D149" s="81"/>
      <c r="E149" s="18" t="s">
        <v>1361</v>
      </c>
      <c r="F149" s="18">
        <v>1</v>
      </c>
      <c r="G149" s="18">
        <v>2</v>
      </c>
      <c r="H149" s="18" t="s">
        <v>1362</v>
      </c>
      <c r="I149" s="18" t="b">
        <v>1</v>
      </c>
      <c r="J149" s="82" t="b">
        <v>0</v>
      </c>
      <c r="S149" s="75"/>
      <c r="T149" s="75"/>
    </row>
    <row r="150" spans="4:20" ht="11.25">
      <c r="D150" s="81"/>
      <c r="E150" s="96" t="s">
        <v>3798</v>
      </c>
      <c r="F150" s="18">
        <v>1</v>
      </c>
      <c r="G150" s="18">
        <v>1</v>
      </c>
      <c r="H150" s="96" t="s">
        <v>3799</v>
      </c>
      <c r="I150" s="18" t="b">
        <v>1</v>
      </c>
      <c r="J150" s="82" t="b">
        <v>1</v>
      </c>
      <c r="S150" s="75"/>
      <c r="T150" s="75"/>
    </row>
    <row r="151" spans="4:20" ht="11.25">
      <c r="D151" s="81"/>
      <c r="E151" s="96" t="s">
        <v>3800</v>
      </c>
      <c r="F151" s="18">
        <v>1</v>
      </c>
      <c r="G151" s="18">
        <v>1</v>
      </c>
      <c r="H151" s="96" t="s">
        <v>3801</v>
      </c>
      <c r="I151" s="18" t="b">
        <v>1</v>
      </c>
      <c r="J151" s="82" t="b">
        <v>0</v>
      </c>
      <c r="S151" s="75"/>
      <c r="T151" s="75"/>
    </row>
    <row r="152" spans="4:20" ht="11.25">
      <c r="D152" s="81"/>
      <c r="E152" s="18" t="s">
        <v>3579</v>
      </c>
      <c r="F152" s="18">
        <v>1</v>
      </c>
      <c r="G152" s="18">
        <v>8</v>
      </c>
      <c r="H152" s="18" t="s">
        <v>215</v>
      </c>
      <c r="I152" s="18" t="b">
        <v>1</v>
      </c>
      <c r="J152" s="82" t="b">
        <v>0</v>
      </c>
      <c r="S152" s="75"/>
      <c r="T152" s="75"/>
    </row>
    <row r="153" spans="4:20" ht="11.25">
      <c r="D153" s="81"/>
      <c r="E153" s="18" t="s">
        <v>3580</v>
      </c>
      <c r="F153" s="18">
        <v>1</v>
      </c>
      <c r="G153" s="18">
        <v>8</v>
      </c>
      <c r="H153" s="18" t="s">
        <v>1347</v>
      </c>
      <c r="I153" s="18" t="b">
        <v>1</v>
      </c>
      <c r="J153" s="82" t="b">
        <v>0</v>
      </c>
      <c r="S153" s="75"/>
      <c r="T153" s="75"/>
    </row>
    <row r="154" spans="4:20" ht="11.25">
      <c r="D154" s="81"/>
      <c r="E154" s="18" t="s">
        <v>3345</v>
      </c>
      <c r="F154" s="18">
        <v>1</v>
      </c>
      <c r="G154" s="18">
        <v>8</v>
      </c>
      <c r="H154" s="18" t="s">
        <v>4093</v>
      </c>
      <c r="I154" s="18" t="b">
        <v>1</v>
      </c>
      <c r="J154" s="82" t="b">
        <v>0</v>
      </c>
      <c r="S154" s="75"/>
      <c r="T154" s="75"/>
    </row>
    <row r="155" spans="4:20" ht="11.25">
      <c r="D155" s="81"/>
      <c r="E155" s="18" t="s">
        <v>3346</v>
      </c>
      <c r="F155" s="18">
        <v>1</v>
      </c>
      <c r="G155" s="18">
        <v>8</v>
      </c>
      <c r="H155" s="18" t="s">
        <v>4094</v>
      </c>
      <c r="I155" s="18" t="b">
        <v>1</v>
      </c>
      <c r="J155" s="82" t="b">
        <v>0</v>
      </c>
      <c r="S155" s="75"/>
      <c r="T155" s="75"/>
    </row>
    <row r="156" spans="4:20" ht="11.25">
      <c r="D156" s="81"/>
      <c r="E156" s="18" t="s">
        <v>3347</v>
      </c>
      <c r="F156" s="18">
        <v>1</v>
      </c>
      <c r="G156" s="18">
        <v>8</v>
      </c>
      <c r="H156" s="18" t="s">
        <v>4095</v>
      </c>
      <c r="I156" s="18" t="b">
        <v>1</v>
      </c>
      <c r="J156" s="82" t="b">
        <v>0</v>
      </c>
      <c r="S156" s="75"/>
      <c r="T156" s="75"/>
    </row>
    <row r="157" spans="4:20" ht="11.25">
      <c r="D157" s="81"/>
      <c r="E157" s="18" t="s">
        <v>1221</v>
      </c>
      <c r="F157" s="18">
        <v>1</v>
      </c>
      <c r="G157" s="18">
        <v>8</v>
      </c>
      <c r="H157" s="18" t="s">
        <v>4096</v>
      </c>
      <c r="I157" s="18" t="b">
        <v>1</v>
      </c>
      <c r="J157" s="82" t="b">
        <v>0</v>
      </c>
      <c r="S157" s="75"/>
      <c r="T157" s="75"/>
    </row>
    <row r="158" spans="4:20" ht="11.25">
      <c r="D158" s="81"/>
      <c r="E158" s="18" t="s">
        <v>1222</v>
      </c>
      <c r="F158" s="18">
        <v>1</v>
      </c>
      <c r="G158" s="18">
        <v>8</v>
      </c>
      <c r="H158" s="18" t="s">
        <v>4097</v>
      </c>
      <c r="I158" s="18" t="b">
        <v>1</v>
      </c>
      <c r="J158" s="82" t="b">
        <v>1</v>
      </c>
      <c r="S158" s="75"/>
      <c r="T158" s="75"/>
    </row>
    <row r="159" spans="4:20" ht="12" thickBot="1">
      <c r="D159" s="83"/>
      <c r="E159" s="147"/>
      <c r="F159" s="147"/>
      <c r="G159" s="147"/>
      <c r="H159" s="147"/>
      <c r="I159" s="147"/>
      <c r="J159" s="148"/>
      <c r="S159" s="75"/>
      <c r="T159" s="75"/>
    </row>
    <row r="160" spans="4:20" ht="12" thickBot="1"/>
    <row r="161" spans="4:20" ht="11.25">
      <c r="D161" s="112" t="s">
        <v>1363</v>
      </c>
      <c r="E161" s="113" t="s">
        <v>4078</v>
      </c>
      <c r="F161" s="113" t="s">
        <v>1364</v>
      </c>
      <c r="G161" s="113"/>
      <c r="H161" s="113"/>
      <c r="I161" s="113"/>
      <c r="J161" s="114"/>
    </row>
    <row r="162" spans="4:20" ht="11.25">
      <c r="D162" s="81"/>
      <c r="E162" s="18"/>
      <c r="F162" s="18"/>
      <c r="G162" s="18"/>
      <c r="H162" s="18"/>
      <c r="I162" s="18"/>
      <c r="J162" s="82"/>
    </row>
    <row r="163" spans="4:20" ht="11.25">
      <c r="D163" s="81"/>
      <c r="E163" s="18" t="s">
        <v>1365</v>
      </c>
      <c r="F163" s="18" t="s">
        <v>1366</v>
      </c>
      <c r="G163" s="18" t="s">
        <v>4567</v>
      </c>
      <c r="H163" s="18" t="s">
        <v>4568</v>
      </c>
      <c r="I163" s="18" t="s">
        <v>4569</v>
      </c>
      <c r="J163" s="82"/>
    </row>
    <row r="164" spans="4:20" ht="11.25">
      <c r="D164" s="81"/>
      <c r="E164" s="182" t="s">
        <v>4570</v>
      </c>
      <c r="F164" s="182"/>
      <c r="G164" s="120">
        <v>3</v>
      </c>
      <c r="H164" s="182" t="s">
        <v>4571</v>
      </c>
      <c r="I164" s="182" t="s">
        <v>4572</v>
      </c>
      <c r="J164" s="82"/>
    </row>
    <row r="165" spans="4:20" ht="11.25">
      <c r="D165" s="81"/>
      <c r="E165" s="182" t="s">
        <v>14</v>
      </c>
      <c r="F165" s="182"/>
      <c r="G165" s="182">
        <v>960</v>
      </c>
      <c r="H165" s="182" t="s">
        <v>15</v>
      </c>
      <c r="I165" s="182" t="s">
        <v>16</v>
      </c>
      <c r="J165" s="82"/>
    </row>
    <row r="166" spans="4:20" ht="11.25">
      <c r="D166" s="81"/>
      <c r="E166" s="182" t="s">
        <v>17</v>
      </c>
      <c r="F166" s="182"/>
      <c r="G166" s="182">
        <v>1016</v>
      </c>
      <c r="H166" s="182" t="s">
        <v>18</v>
      </c>
      <c r="I166" s="182" t="s">
        <v>19</v>
      </c>
      <c r="J166" s="82"/>
    </row>
    <row r="167" spans="4:20" ht="12" thickBot="1">
      <c r="D167" s="83"/>
      <c r="E167" s="147"/>
      <c r="F167" s="147"/>
      <c r="G167" s="147"/>
      <c r="H167" s="147"/>
      <c r="I167" s="147"/>
      <c r="J167" s="148"/>
    </row>
    <row r="168" spans="4:20" ht="11.25">
      <c r="S168" s="75"/>
      <c r="T168" s="75"/>
    </row>
    <row r="169" spans="4:20" ht="11.25"/>
    <row r="170" spans="4:20" ht="12.75" customHeight="1">
      <c r="D170" s="2" t="s">
        <v>4104</v>
      </c>
      <c r="J170" s="2"/>
      <c r="K170" s="2" t="s">
        <v>5574</v>
      </c>
      <c r="O170" s="2" t="s">
        <v>5609</v>
      </c>
      <c r="P170" s="2"/>
      <c r="S170" s="2" t="s">
        <v>5643</v>
      </c>
      <c r="T170" s="2"/>
    </row>
    <row r="171" spans="4:20" ht="12.75" customHeight="1">
      <c r="D171" s="43" t="s">
        <v>4232</v>
      </c>
      <c r="J171" s="43" t="s">
        <v>4232</v>
      </c>
      <c r="O171" s="2"/>
      <c r="P171" s="43"/>
      <c r="S171" s="2"/>
      <c r="T171" s="43"/>
    </row>
    <row r="172" spans="4:20" ht="12.75" customHeight="1">
      <c r="D172" s="1473" t="s">
        <v>4726</v>
      </c>
      <c r="E172" s="1475">
        <f>INDEX(finBookings,xxIndexTeam)</f>
        <v>441261193.15301216</v>
      </c>
      <c r="F172" s="700" t="s">
        <v>5329</v>
      </c>
      <c r="J172" s="1473" t="s">
        <v>4726</v>
      </c>
      <c r="K172" s="1475">
        <f>INDEX(cbalDBYr0Bookings,xxIndexTeam)</f>
        <v>338154510</v>
      </c>
      <c r="L172" s="700" t="s">
        <v>5370</v>
      </c>
      <c r="O172" s="1475">
        <f>INDEX(cbalDBYr1Bookings,xxIndexTeam)</f>
        <v>441261193.15301216</v>
      </c>
      <c r="P172" s="700" t="s">
        <v>5576</v>
      </c>
      <c r="S172" s="1475">
        <f>INDEX(cbalDBYr2Bookings,xxIndexTeam)</f>
        <v>0</v>
      </c>
      <c r="T172" s="700" t="s">
        <v>5610</v>
      </c>
    </row>
    <row r="173" spans="4:20" ht="12.75" customHeight="1">
      <c r="D173" s="1473" t="s">
        <v>4826</v>
      </c>
      <c r="E173" s="1474">
        <f>INDEX(finBookingsCAGR,xxIndexTeam)</f>
        <v>0.30292902901643148</v>
      </c>
      <c r="F173" s="700" t="s">
        <v>5330</v>
      </c>
      <c r="J173" s="1473" t="s">
        <v>4826</v>
      </c>
      <c r="K173" s="1474">
        <f>INDEX(cbalDBYr0BookingsCAGR,xxIndexTeam)</f>
        <v>0</v>
      </c>
      <c r="L173" s="700" t="s">
        <v>5371</v>
      </c>
      <c r="O173" s="1474">
        <f>INDEX(cbalDBYr1BookingsCAGR,xxIndexTeam)</f>
        <v>0.30292902901643148</v>
      </c>
      <c r="P173" s="700" t="s">
        <v>5577</v>
      </c>
      <c r="S173" s="1474">
        <f>INDEX(cbalDBYr2BookingsCAGR,xxIndexTeam)</f>
        <v>0</v>
      </c>
      <c r="T173" s="700" t="s">
        <v>5611</v>
      </c>
    </row>
    <row r="174" spans="4:20" ht="12.75" customHeight="1">
      <c r="D174" s="1473" t="s">
        <v>1487</v>
      </c>
      <c r="E174" s="1475">
        <f>INDEX(finPNLTotalRev,xxIndexTeam)</f>
        <v>200512505.05278993</v>
      </c>
      <c r="F174" s="700" t="s">
        <v>5331</v>
      </c>
      <c r="J174" s="1473" t="s">
        <v>1487</v>
      </c>
      <c r="K174" s="1475">
        <f>INDEX(cbalDBYr0TotalRev,xxIndexTeam)</f>
        <v>338508633</v>
      </c>
      <c r="L174" s="700" t="s">
        <v>5372</v>
      </c>
      <c r="O174" s="1475">
        <f>INDEX(cbalDBYr1TotalRev,xxIndexTeam)</f>
        <v>200512505.05278993</v>
      </c>
      <c r="P174" s="700" t="s">
        <v>5578</v>
      </c>
      <c r="S174" s="1475">
        <f>INDEX(cbalDBYr2TotalRev,xxIndexTeam)</f>
        <v>0</v>
      </c>
      <c r="T174" s="700" t="s">
        <v>5612</v>
      </c>
    </row>
    <row r="175" spans="4:20" ht="12.75" customHeight="1">
      <c r="D175" s="1473" t="s">
        <v>4766</v>
      </c>
      <c r="E175" s="1474">
        <f>INDEX(finPNLTotalGrossProfit,xxIndexTeam)/INDEX(finPNLTotalRev,xxIndexTeam)</f>
        <v>0.52056309616670515</v>
      </c>
      <c r="F175" s="700" t="s">
        <v>5332</v>
      </c>
      <c r="J175" s="1473" t="s">
        <v>4766</v>
      </c>
      <c r="K175" s="1474">
        <f>INDEX(cbalDBYr0GM,xxIndexTeam)</f>
        <v>0.63426051642786396</v>
      </c>
      <c r="L175" s="700" t="s">
        <v>5373</v>
      </c>
      <c r="O175" s="1474">
        <f>INDEX(cbalDBYr1GM,xxIndexTeam)</f>
        <v>0.52056309616670515</v>
      </c>
      <c r="P175" s="700" t="s">
        <v>5579</v>
      </c>
      <c r="S175" s="1474">
        <f>INDEX(cbalDBYr2GM,xxIndexTeam)</f>
        <v>0</v>
      </c>
      <c r="T175" s="700" t="s">
        <v>5613</v>
      </c>
    </row>
    <row r="176" spans="4:20" ht="12.75" customHeight="1">
      <c r="D176" s="1473" t="s">
        <v>4767</v>
      </c>
      <c r="E176" s="1474">
        <f>INDEX(finPNLTotalOpIncome,xxIndexTeam)/INDEX(finPNLTotalRev,xxIndexTeam)</f>
        <v>-0.17954755335102615</v>
      </c>
      <c r="F176" s="700" t="s">
        <v>5333</v>
      </c>
      <c r="J176" s="1473" t="s">
        <v>4767</v>
      </c>
      <c r="K176" s="1474">
        <f>INDEX(cbalDBYr0OM,xxIndexTeam)</f>
        <v>0.22598085562419018</v>
      </c>
      <c r="L176" s="700" t="s">
        <v>5374</v>
      </c>
      <c r="O176" s="1474">
        <f>INDEX(cbalDBYr1OM,xxIndexTeam)</f>
        <v>-0.17954755335102615</v>
      </c>
      <c r="P176" s="700" t="s">
        <v>5580</v>
      </c>
      <c r="S176" s="1474">
        <f>INDEX(cbalDBYr2OM,xxIndexTeam)</f>
        <v>0</v>
      </c>
      <c r="T176" s="700" t="s">
        <v>5614</v>
      </c>
    </row>
    <row r="177" spans="4:20" ht="12.75" customHeight="1">
      <c r="D177" s="43" t="s">
        <v>5321</v>
      </c>
      <c r="J177" s="43" t="s">
        <v>5321</v>
      </c>
      <c r="K177" t="s">
        <v>5575</v>
      </c>
      <c r="O177" t="s">
        <v>5575</v>
      </c>
      <c r="S177" t="s">
        <v>5575</v>
      </c>
    </row>
    <row r="178" spans="4:20" ht="12.75" customHeight="1">
      <c r="D178" s="1071" t="s">
        <v>5322</v>
      </c>
      <c r="E178" s="1475">
        <f>INDEX(finPNLBusATotalQualityCost,xxIndexTeam)</f>
        <v>1270588.5916194911</v>
      </c>
      <c r="F178" s="700" t="s">
        <v>5334</v>
      </c>
      <c r="J178" s="1071" t="s">
        <v>5322</v>
      </c>
      <c r="K178" s="1475">
        <f>INDEX(cbalDBYr0BusATotalQualityCost,xxIndexTeam)</f>
        <v>1590280.0405952206</v>
      </c>
      <c r="L178" s="700" t="s">
        <v>5375</v>
      </c>
      <c r="O178" s="1475">
        <f>INDEX(cbalDBYr1BusATotalQualityCost,xxIndexTeam)</f>
        <v>1270588.5916194911</v>
      </c>
      <c r="P178" s="700" t="s">
        <v>5581</v>
      </c>
      <c r="S178" s="1475">
        <f>INDEX(cbalDBYr2BusATotalQualityCost,xxIndexTeam)</f>
        <v>0</v>
      </c>
      <c r="T178" s="700" t="s">
        <v>5615</v>
      </c>
    </row>
    <row r="179" spans="4:20" ht="12.75" customHeight="1">
      <c r="D179" s="1071" t="s">
        <v>4932</v>
      </c>
      <c r="E179" s="1474">
        <f ca="1">INDEX(capESATEnd,xxIndexTeam)</f>
        <v>0.6174379006842422</v>
      </c>
      <c r="F179" s="700" t="s">
        <v>5335</v>
      </c>
      <c r="J179" s="1071" t="s">
        <v>4932</v>
      </c>
      <c r="K179" s="1474">
        <f>INDEX(cbalDBYr0ESATEnd,xxIndexTeam)</f>
        <v>0.72606665772184575</v>
      </c>
      <c r="L179" s="700" t="s">
        <v>5376</v>
      </c>
      <c r="O179" s="1474">
        <f ca="1">INDEX(cbalDBYr1ESATEnd,xxIndexTeam)</f>
        <v>0.6174379006842422</v>
      </c>
      <c r="P179" s="700" t="s">
        <v>5582</v>
      </c>
      <c r="S179" s="1474">
        <f>INDEX(cbalDBYr2ESATEnd,xxIndexTeam)</f>
        <v>0</v>
      </c>
      <c r="T179" s="700" t="s">
        <v>5616</v>
      </c>
    </row>
    <row r="180" spans="4:20" ht="12.75" customHeight="1">
      <c r="D180" s="1071" t="s">
        <v>4933</v>
      </c>
      <c r="E180" s="1474">
        <f ca="1">INDEX(capCSATEnd,xxIndexTeam)</f>
        <v>0.67005549739544945</v>
      </c>
      <c r="F180" s="700" t="s">
        <v>5336</v>
      </c>
      <c r="J180" s="1071" t="s">
        <v>4933</v>
      </c>
      <c r="K180" s="1474">
        <f>INDEX(cbalDBYr0CSATEnd,xxIndexTeam)</f>
        <v>0.64303124999999983</v>
      </c>
      <c r="L180" s="700" t="s">
        <v>5377</v>
      </c>
      <c r="O180" s="1474">
        <f ca="1">INDEX(cbalDBYr1CSATEnd,xxIndexTeam)</f>
        <v>0.67005549739544945</v>
      </c>
      <c r="P180" s="700" t="s">
        <v>5583</v>
      </c>
      <c r="S180" s="1474">
        <f>INDEX(cbalDBYr2CSATEnd,xxIndexTeam)</f>
        <v>0</v>
      </c>
      <c r="T180" s="700" t="s">
        <v>5617</v>
      </c>
    </row>
    <row r="181" spans="4:20" ht="12.75" customHeight="1">
      <c r="D181" s="43" t="s">
        <v>4526</v>
      </c>
      <c r="J181" s="43" t="s">
        <v>4526</v>
      </c>
      <c r="K181" t="s">
        <v>5575</v>
      </c>
      <c r="O181" t="s">
        <v>5575</v>
      </c>
      <c r="S181" t="s">
        <v>5575</v>
      </c>
    </row>
    <row r="182" spans="4:20" ht="12.75" customHeight="1">
      <c r="D182" s="1071" t="s">
        <v>5323</v>
      </c>
      <c r="E182" s="271">
        <f>INDEX(capBusAEmp4Utiliz,xxIndexTeam)</f>
        <v>0.46076923076923076</v>
      </c>
      <c r="F182" t="s">
        <v>5337</v>
      </c>
      <c r="J182" s="1071" t="s">
        <v>5323</v>
      </c>
      <c r="K182" s="271">
        <f>INDEX(cbalDBYr0BusAEmp4Utiliz,xxIndexTeam)</f>
        <v>0.52852941176470591</v>
      </c>
      <c r="L182" t="s">
        <v>5378</v>
      </c>
      <c r="O182" s="271">
        <f>INDEX(cbalDBYr1BusAEmp4Utiliz,xxIndexTeam)</f>
        <v>0.46076923076923076</v>
      </c>
      <c r="P182" t="s">
        <v>5584</v>
      </c>
      <c r="S182" s="271">
        <f>INDEX(cbalDBYr2BusAEmp4Utiliz,xxIndexTeam)</f>
        <v>0</v>
      </c>
      <c r="T182" t="s">
        <v>5618</v>
      </c>
    </row>
    <row r="183" spans="4:20" ht="12.75" customHeight="1">
      <c r="D183" s="4" t="s">
        <v>2320</v>
      </c>
      <c r="E183" s="1474">
        <f>INDEX(capBusAEmp3Utiliz,xxIndexTeam)</f>
        <v>0.54145901639344263</v>
      </c>
      <c r="F183" s="700" t="s">
        <v>5338</v>
      </c>
      <c r="J183" s="4" t="s">
        <v>2320</v>
      </c>
      <c r="K183" s="1474">
        <f>INDEX(cbalDBYr0BusAEmp3Utiliz,xxIndexTeam)</f>
        <v>0.62318867924528298</v>
      </c>
      <c r="L183" s="700" t="s">
        <v>5379</v>
      </c>
      <c r="O183" s="1474">
        <f>INDEX(cbalDBYr1BusAEmp3Utiliz,xxIndexTeam)</f>
        <v>0.54145901639344263</v>
      </c>
      <c r="P183" s="700" t="s">
        <v>5585</v>
      </c>
      <c r="S183" s="1474">
        <f>INDEX(cbalDBYr2BusAEmp3Utiliz,xxIndexTeam)</f>
        <v>0</v>
      </c>
      <c r="T183" s="700" t="s">
        <v>5619</v>
      </c>
    </row>
    <row r="184" spans="4:20" ht="12.75" customHeight="1">
      <c r="D184" s="1071" t="s">
        <v>1239</v>
      </c>
      <c r="E184" s="1474">
        <f>INDEX(capBusAEmp2Utiliz,xxIndexTeam)</f>
        <v>0.53424657534246578</v>
      </c>
      <c r="F184" s="700" t="s">
        <v>5339</v>
      </c>
      <c r="J184" s="1071" t="s">
        <v>1239</v>
      </c>
      <c r="K184" s="1474">
        <f>INDEX(cbalDBYr0BusAEmp2Utiliz,xxIndexTeam)</f>
        <v>0.64356435643564358</v>
      </c>
      <c r="L184" s="700" t="s">
        <v>5380</v>
      </c>
      <c r="O184" s="1474">
        <f>INDEX(cbalDBYr1BusAEmp2Utiliz,xxIndexTeam)</f>
        <v>0.53424657534246578</v>
      </c>
      <c r="P184" s="700" t="s">
        <v>5586</v>
      </c>
      <c r="S184" s="1474">
        <f>INDEX(cbalDBYr2BusAEmp2Utiliz,xxIndexTeam)</f>
        <v>0</v>
      </c>
      <c r="T184" s="700" t="s">
        <v>5620</v>
      </c>
    </row>
    <row r="185" spans="4:20" ht="12.75" customHeight="1">
      <c r="D185" s="43" t="s">
        <v>4528</v>
      </c>
      <c r="J185" s="43" t="s">
        <v>4528</v>
      </c>
    </row>
    <row r="186" spans="4:20" ht="12.75" customHeight="1">
      <c r="D186" s="1071" t="s">
        <v>5324</v>
      </c>
      <c r="E186" s="1474">
        <f>INDEX(capBusBEmp4Utiliz,xxIndexTeam)</f>
        <v>0.21727272727272728</v>
      </c>
      <c r="F186" s="700" t="s">
        <v>5340</v>
      </c>
      <c r="J186" s="1071" t="s">
        <v>5324</v>
      </c>
      <c r="K186" s="1474">
        <f>INDEX(cbalDBYr0BusBEmp4Utiliz,xxIndexTeam)</f>
        <v>0.23499999999999999</v>
      </c>
      <c r="L186" s="700" t="s">
        <v>5381</v>
      </c>
      <c r="O186" s="1474">
        <f>INDEX(cbalDBYr1BusBEmp4Utiliz,xxIndexTeam)</f>
        <v>0.21727272727272728</v>
      </c>
      <c r="P186" s="700" t="s">
        <v>5587</v>
      </c>
      <c r="S186" s="1474">
        <f>INDEX(cbalDBYr2BusBEmp4Utiliz,xxIndexTeam)</f>
        <v>0</v>
      </c>
      <c r="T186" s="700" t="s">
        <v>5621</v>
      </c>
    </row>
    <row r="187" spans="4:20" ht="12.75" customHeight="1">
      <c r="D187" s="1071" t="s">
        <v>2320</v>
      </c>
      <c r="E187" s="1474">
        <f>INDEX(capBusBEmp3Utiliz,xxIndexTeam)</f>
        <v>0.23499999999999999</v>
      </c>
      <c r="F187" s="700" t="s">
        <v>5341</v>
      </c>
      <c r="J187" s="1071" t="s">
        <v>2320</v>
      </c>
      <c r="K187" s="1474">
        <f>INDEX(cbalDBYr0BusBEmp3Utiliz,xxIndexTeam)</f>
        <v>0.24529411764705883</v>
      </c>
      <c r="L187" s="700" t="s">
        <v>5382</v>
      </c>
      <c r="O187" s="1474">
        <f>INDEX(cbalDBYr1BusBEmp3Utiliz,xxIndexTeam)</f>
        <v>0.23499999999999999</v>
      </c>
      <c r="P187" s="700" t="s">
        <v>5588</v>
      </c>
      <c r="S187" s="1474">
        <f>INDEX(cbalDBYr2BusBEmp3Utiliz,xxIndexTeam)</f>
        <v>0</v>
      </c>
      <c r="T187" s="700" t="s">
        <v>5622</v>
      </c>
    </row>
    <row r="188" spans="4:20" ht="12.75" customHeight="1">
      <c r="D188" s="1071" t="s">
        <v>1239</v>
      </c>
      <c r="E188" s="1474">
        <f>INDEX(capBusBEmp2Utiliz,xxIndexTeam)</f>
        <v>0.32111111111111112</v>
      </c>
      <c r="F188" s="700" t="s">
        <v>5342</v>
      </c>
      <c r="J188" s="1071" t="s">
        <v>1239</v>
      </c>
      <c r="K188" s="1474">
        <f>INDEX(cbalDBYr0BusBEmp2Utiliz,xxIndexTeam)</f>
        <v>0.32111111111111112</v>
      </c>
      <c r="L188" s="700" t="s">
        <v>5383</v>
      </c>
      <c r="O188" s="1474">
        <f>INDEX(cbalDBYr1BusBEmp2Utiliz,xxIndexTeam)</f>
        <v>0.32111111111111112</v>
      </c>
      <c r="P188" s="700" t="s">
        <v>5589</v>
      </c>
      <c r="S188" s="1474">
        <f>INDEX(cbalDBYr2BusBEmp2Utiliz,xxIndexTeam)</f>
        <v>0</v>
      </c>
      <c r="T188" s="700" t="s">
        <v>5623</v>
      </c>
    </row>
    <row r="189" spans="4:20" ht="12.75" customHeight="1">
      <c r="D189" s="1071" t="s">
        <v>2022</v>
      </c>
      <c r="E189" s="1474">
        <f>INDEX(capBusBEmp1Utiliz,xxIndexTeam)</f>
        <v>0.33580246913580247</v>
      </c>
      <c r="F189" s="700" t="s">
        <v>5343</v>
      </c>
      <c r="J189" s="1071" t="s">
        <v>2022</v>
      </c>
      <c r="K189" s="1474">
        <f>INDEX(cbalDBYr0BusBEmp1Utiliz,xxIndexTeam)</f>
        <v>0.31111111111111112</v>
      </c>
      <c r="L189" s="700" t="s">
        <v>5384</v>
      </c>
      <c r="O189" s="1474">
        <f>INDEX(cbalDBYr1BusBEmp1Utiliz,xxIndexTeam)</f>
        <v>0.33580246913580247</v>
      </c>
      <c r="P189" s="700" t="s">
        <v>5590</v>
      </c>
      <c r="S189" s="1474">
        <f>INDEX(cbalDBYr2BusBEmp1Utiliz,xxIndexTeam)</f>
        <v>0</v>
      </c>
      <c r="T189" s="700" t="s">
        <v>5624</v>
      </c>
    </row>
    <row r="190" spans="4:20" ht="12.75" customHeight="1">
      <c r="D190" s="43" t="s">
        <v>4529</v>
      </c>
      <c r="J190" s="43" t="s">
        <v>4529</v>
      </c>
    </row>
    <row r="191" spans="4:20" ht="12.75" customHeight="1">
      <c r="D191" s="1473" t="s">
        <v>3369</v>
      </c>
      <c r="E191" s="1475">
        <f>INDEX(finPNLBusBTotalQualityCost,xxIndexTeam)</f>
        <v>13332257.415654961</v>
      </c>
      <c r="F191" s="700" t="s">
        <v>5344</v>
      </c>
      <c r="J191" s="1473" t="s">
        <v>3369</v>
      </c>
      <c r="K191" s="1475">
        <f>INDEX(cbalDBYr0BusBTotalQualityCost,xxIndexTeam)</f>
        <v>13404593.926293261</v>
      </c>
      <c r="L191" s="700" t="s">
        <v>5385</v>
      </c>
      <c r="O191" s="1475">
        <f>INDEX(cbalDBYr1BusBTotalQualityCost,xxIndexTeam)</f>
        <v>13332257.415654961</v>
      </c>
      <c r="P191" s="700" t="s">
        <v>5591</v>
      </c>
      <c r="S191" s="1475">
        <f>INDEX(cbalDBYr2BusBTotalQualityCost,xxIndexTeam)</f>
        <v>0</v>
      </c>
      <c r="T191" s="700" t="s">
        <v>5625</v>
      </c>
    </row>
    <row r="192" spans="4:20" ht="12.75" customHeight="1">
      <c r="D192" s="1473" t="s">
        <v>5325</v>
      </c>
      <c r="E192" s="1475">
        <f>INDEX(capBusBTotalForecastRev,xxIndexTeam)</f>
        <v>0</v>
      </c>
      <c r="F192" s="700" t="s">
        <v>5345</v>
      </c>
      <c r="J192" s="1473" t="s">
        <v>5325</v>
      </c>
      <c r="K192" s="1475">
        <f>INDEX(cbalDBYr0BusBTotalForecastRev,xxIndexTeam)</f>
        <v>0</v>
      </c>
      <c r="L192" s="700" t="s">
        <v>5386</v>
      </c>
      <c r="O192" s="1475">
        <f>INDEX(cbalDBYr1BusBTotalForecastRev,xxIndexTeam)</f>
        <v>0</v>
      </c>
      <c r="P192" s="700" t="s">
        <v>5592</v>
      </c>
      <c r="S192" s="1475">
        <f>INDEX(cbalDBYr2BusBTotalForecastRev,xxIndexTeam)</f>
        <v>0</v>
      </c>
      <c r="T192" s="700" t="s">
        <v>5626</v>
      </c>
    </row>
    <row r="193" spans="4:20" ht="12.75" customHeight="1">
      <c r="D193" s="43" t="s">
        <v>2851</v>
      </c>
      <c r="J193" s="43" t="s">
        <v>2851</v>
      </c>
    </row>
    <row r="194" spans="4:20" ht="12.75" customHeight="1">
      <c r="D194" t="s">
        <v>5326</v>
      </c>
      <c r="E194" s="1474">
        <f>INDEX(capEmp6Utiliz,xxIndexTeam)</f>
        <v>0.50244539232091079</v>
      </c>
      <c r="F194" s="700" t="s">
        <v>5346</v>
      </c>
      <c r="J194" t="s">
        <v>5326</v>
      </c>
      <c r="K194" s="1474">
        <f>INDEX(cbalDBYr0Emp6Utiliz,xxIndexTeam)</f>
        <v>0.47469231694623598</v>
      </c>
      <c r="L194" s="700" t="s">
        <v>5387</v>
      </c>
      <c r="O194" s="1474">
        <f>INDEX(cbalDBYr1Emp6Utiliz,xxIndexTeam)</f>
        <v>0.50244539232091079</v>
      </c>
      <c r="P194" s="700" t="s">
        <v>5593</v>
      </c>
      <c r="S194" s="1474">
        <f>INDEX(cbalDBYr2Emp6Utiliz,xxIndexTeam)</f>
        <v>0</v>
      </c>
      <c r="T194" s="700" t="s">
        <v>5627</v>
      </c>
    </row>
    <row r="195" spans="4:20" ht="12.75" customHeight="1">
      <c r="D195" s="43" t="s">
        <v>280</v>
      </c>
      <c r="J195" s="43" t="s">
        <v>280</v>
      </c>
    </row>
    <row r="196" spans="4:20" ht="12.75" customHeight="1">
      <c r="D196" s="700" t="s">
        <v>5327</v>
      </c>
      <c r="E196" s="1475">
        <f>INDEX(capTotalTrainingBudForecast,xxIndexTeam)</f>
        <v>6848000</v>
      </c>
      <c r="F196" s="700" t="s">
        <v>5347</v>
      </c>
      <c r="J196" s="700" t="s">
        <v>5327</v>
      </c>
      <c r="K196" s="1475">
        <f>INDEX(cbalDBYr0TotalTrainingBudForecast,xxIndexTeam)</f>
        <v>6301500</v>
      </c>
      <c r="L196" s="700" t="s">
        <v>5388</v>
      </c>
      <c r="O196" s="1475">
        <f>INDEX(cbalDBYr1TotalTrainingBudForecast,xxIndexTeam)</f>
        <v>6848000</v>
      </c>
      <c r="P196" s="700" t="s">
        <v>5594</v>
      </c>
      <c r="S196" s="1475">
        <f>INDEX(cbalDBYr2TotalTrainingBudForecast,xxIndexTeam)</f>
        <v>0</v>
      </c>
      <c r="T196" s="700" t="s">
        <v>5628</v>
      </c>
    </row>
    <row r="198" spans="4:20" ht="12.75" customHeight="1">
      <c r="D198" s="700" t="s">
        <v>5328</v>
      </c>
      <c r="E198" s="1474">
        <f>INDEX(capBusAEmp7Utiliz,xxIndexTeam)</f>
        <v>0.72606557377049186</v>
      </c>
      <c r="F198" s="700" t="s">
        <v>5348</v>
      </c>
      <c r="J198" s="700" t="s">
        <v>5328</v>
      </c>
      <c r="K198" s="1474">
        <f>INDEX(cbalDBYr0BusAEmp7Utiliz,xxIndexTeam)</f>
        <v>0.82962264150943399</v>
      </c>
      <c r="L198" s="700" t="s">
        <v>5389</v>
      </c>
      <c r="O198" s="1474">
        <f>INDEX(cbalDBYr1BusAEmp7Utiliz,xxIndexTeam)</f>
        <v>0.72606557377049186</v>
      </c>
      <c r="P198" s="700" t="s">
        <v>5595</v>
      </c>
      <c r="S198" s="1474">
        <f>INDEX(cbalDBYr2BusAEmp7Utiliz,xxIndexTeam)</f>
        <v>0</v>
      </c>
      <c r="T198" s="700" t="s">
        <v>5629</v>
      </c>
    </row>
    <row r="199" spans="4:20" ht="12.75" customHeight="1">
      <c r="D199" t="s">
        <v>2320</v>
      </c>
      <c r="E199" s="271">
        <f>INDEX(capBusAEmp8Utiliz,xxIndexTeam)</f>
        <v>0.82228070175438595</v>
      </c>
      <c r="F199" t="s">
        <v>5349</v>
      </c>
      <c r="J199" t="s">
        <v>2320</v>
      </c>
      <c r="K199" s="271">
        <f>INDEX(cbalDBYr0BusAEmp8Utiliz,xxIndexTeam)</f>
        <v>0.86962732919254659</v>
      </c>
      <c r="L199" t="s">
        <v>5390</v>
      </c>
      <c r="O199" s="271">
        <f>INDEX(cbalDBYr1BusAEmp8Utiliz,xxIndexTeam)</f>
        <v>0.82228070175438595</v>
      </c>
      <c r="P199" t="s">
        <v>5596</v>
      </c>
      <c r="S199" s="271">
        <f>INDEX(cbalDBYr2BusAEmp8Utiliz,xxIndexTeam)</f>
        <v>0</v>
      </c>
      <c r="T199" t="s">
        <v>5630</v>
      </c>
    </row>
    <row r="200" spans="4:20" ht="12.75" customHeight="1">
      <c r="D200" t="s">
        <v>1239</v>
      </c>
      <c r="E200" s="271">
        <f>INDEX(capBusAEmp9Utiliz,xxIndexTeam)</f>
        <v>0.57926829268292679</v>
      </c>
      <c r="F200" t="s">
        <v>5350</v>
      </c>
      <c r="J200" t="s">
        <v>1239</v>
      </c>
      <c r="K200" s="271">
        <f>INDEX(cbalDBYr0BusAEmp9Utiliz,xxIndexTeam)</f>
        <v>0.65292096219931273</v>
      </c>
      <c r="L200" t="s">
        <v>5391</v>
      </c>
      <c r="O200" s="271">
        <f>INDEX(cbalDBYr1BusAEmp9Utiliz,xxIndexTeam)</f>
        <v>0.57926829268292679</v>
      </c>
      <c r="P200" t="s">
        <v>5597</v>
      </c>
      <c r="S200" s="271">
        <f>INDEX(cbalDBYr2BusAEmp9Utiliz,xxIndexTeam)</f>
        <v>0</v>
      </c>
      <c r="T200" t="s">
        <v>5631</v>
      </c>
    </row>
    <row r="201" spans="4:20" ht="12.75" customHeight="1">
      <c r="D201" t="s">
        <v>2022</v>
      </c>
      <c r="E201" s="271">
        <f>INDEX(capBusAEmp1Utiliz,xxIndexTeam)</f>
        <v>0.31644779931599104</v>
      </c>
      <c r="F201" t="s">
        <v>5351</v>
      </c>
      <c r="J201" t="s">
        <v>2022</v>
      </c>
      <c r="K201" s="271">
        <f>INDEX(cbalDBYr0BusAEmp1Utiliz,xxIndexTeam)</f>
        <v>0.29984777408905949</v>
      </c>
      <c r="L201" t="s">
        <v>5392</v>
      </c>
      <c r="O201" s="271">
        <f>INDEX(cbalDBYr1BusAEmp1Utiliz,xxIndexTeam)</f>
        <v>0.31644779931599104</v>
      </c>
      <c r="P201" t="s">
        <v>5598</v>
      </c>
      <c r="S201" s="271">
        <f>INDEX(cbalDBYr2BusAEmp1Utiliz,xxIndexTeam)</f>
        <v>0</v>
      </c>
      <c r="T201" t="s">
        <v>5632</v>
      </c>
    </row>
    <row r="203" spans="4:20" ht="12.75" customHeight="1">
      <c r="D203" s="2" t="s">
        <v>5353</v>
      </c>
      <c r="J203" s="2" t="s">
        <v>5353</v>
      </c>
    </row>
    <row r="204" spans="4:20" ht="12.75" customHeight="1">
      <c r="D204" s="700" t="s">
        <v>5355</v>
      </c>
      <c r="E204" s="1474">
        <f>INDEX(capBusAEmp4Utiliz,xxIndexTeam)</f>
        <v>0.46076923076923076</v>
      </c>
      <c r="F204" s="700" t="s">
        <v>5363</v>
      </c>
      <c r="J204" s="700" t="s">
        <v>5355</v>
      </c>
      <c r="K204" s="1474">
        <f>INDEX(cbalDBYr0GaugeBusAEmp4Utiliz,xxIndexTeam)</f>
        <v>0.52852941176470591</v>
      </c>
      <c r="L204" s="700" t="s">
        <v>5393</v>
      </c>
      <c r="O204" s="1474">
        <f>INDEX(cbalDBYr1GaugeBusAEmp4Utiliz,xxIndexTeam)</f>
        <v>0.46076923076923076</v>
      </c>
      <c r="P204" s="700" t="s">
        <v>5599</v>
      </c>
      <c r="S204" s="1474">
        <f>INDEX(cbalDBYr2GaugeBusAEmp4Utiliz,xxIndexTeam)</f>
        <v>0</v>
      </c>
      <c r="T204" s="700" t="s">
        <v>5633</v>
      </c>
    </row>
    <row r="205" spans="4:20" ht="12.75" customHeight="1">
      <c r="D205" s="700" t="s">
        <v>5356</v>
      </c>
      <c r="E205" s="1474">
        <f>INDEX(capBusAEmp3Utiliz,xxIndexTeam)</f>
        <v>0.54145901639344263</v>
      </c>
      <c r="F205" s="700" t="s">
        <v>5364</v>
      </c>
      <c r="J205" s="700" t="s">
        <v>5356</v>
      </c>
      <c r="K205" s="1474">
        <f>INDEX(cbalDBYr0GaugeBusAEmp3Utiliz,xxIndexTeam)</f>
        <v>0.62318867924528298</v>
      </c>
      <c r="L205" s="700" t="s">
        <v>5394</v>
      </c>
      <c r="O205" s="1474">
        <f>INDEX(cbalDBYr1GaugeBusAEmp3Utiliz,xxIndexTeam)</f>
        <v>0.54145901639344263</v>
      </c>
      <c r="P205" s="700" t="s">
        <v>5600</v>
      </c>
      <c r="S205" s="1474">
        <f>INDEX(cbalDBYr2GaugeBusAEmp3Utiliz,xxIndexTeam)</f>
        <v>0</v>
      </c>
      <c r="T205" s="700" t="s">
        <v>5634</v>
      </c>
    </row>
    <row r="206" spans="4:20" ht="12.75" customHeight="1">
      <c r="D206" s="700" t="s">
        <v>4705</v>
      </c>
      <c r="E206" s="1474">
        <f>INDEX(capBusAEmp2Utiliz,xxIndexTeam)</f>
        <v>0.53424657534246578</v>
      </c>
      <c r="F206" s="700" t="s">
        <v>5365</v>
      </c>
      <c r="J206" s="700" t="s">
        <v>4705</v>
      </c>
      <c r="K206" s="1474">
        <f>INDEX(cbalDBYr0GaugeBusAEmp2Utiliz,xxIndexTeam)</f>
        <v>0.64356435643564358</v>
      </c>
      <c r="L206" s="700" t="s">
        <v>5395</v>
      </c>
      <c r="O206" s="1474">
        <f>INDEX(cbalDBYr1GaugeBusAEmp2Utiliz,xxIndexTeam)</f>
        <v>0.53424657534246578</v>
      </c>
      <c r="P206" s="700" t="s">
        <v>5601</v>
      </c>
      <c r="S206" s="1474">
        <f>INDEX(cbalDBYr2GaugeBusAEmp2Utiliz,xxIndexTeam)</f>
        <v>0</v>
      </c>
      <c r="T206" s="700" t="s">
        <v>5635</v>
      </c>
    </row>
    <row r="207" spans="4:20" ht="12.75" customHeight="1">
      <c r="D207" s="700" t="s">
        <v>5178</v>
      </c>
      <c r="E207" s="1474">
        <f>INDEX(capBusAEmp9Utiliz,xxIndexTeam)</f>
        <v>0.57926829268292679</v>
      </c>
      <c r="F207" s="700" t="s">
        <v>5366</v>
      </c>
      <c r="J207" s="700" t="s">
        <v>5178</v>
      </c>
      <c r="K207" s="1474">
        <f>INDEX(cbalDBYr0GaugeBusAEmp9Utiliz,xxIndexTeam)</f>
        <v>0.65292096219931273</v>
      </c>
      <c r="L207" s="700" t="s">
        <v>5396</v>
      </c>
      <c r="O207" s="1474">
        <f>INDEX(cbalDBYr1GaugeBusAEmp9Utiliz,xxIndexTeam)</f>
        <v>0.57926829268292679</v>
      </c>
      <c r="P207" s="700" t="s">
        <v>5602</v>
      </c>
      <c r="S207" s="1474">
        <f>INDEX(cbalDBYr2GaugeBusAEmp9Utiliz,xxIndexTeam)</f>
        <v>0</v>
      </c>
      <c r="T207" s="700" t="s">
        <v>5636</v>
      </c>
    </row>
    <row r="208" spans="4:20" ht="12.75" customHeight="1">
      <c r="D208" s="700" t="s">
        <v>5357</v>
      </c>
      <c r="E208" s="1474">
        <f>INDEX(capEmp6Utiliz,xxIndexTeam)</f>
        <v>0.50244539232091079</v>
      </c>
      <c r="F208" s="700" t="s">
        <v>5367</v>
      </c>
      <c r="J208" s="700" t="s">
        <v>5357</v>
      </c>
      <c r="K208" s="1474">
        <f>INDEX(cbalDBYr0GaugeEmp6Utiliz,xxIndexTeam)</f>
        <v>0.47469231694623598</v>
      </c>
      <c r="L208" s="700" t="s">
        <v>5397</v>
      </c>
      <c r="O208" s="1474">
        <f>INDEX(cbalDBYr1GaugeEmp6Utiliz,xxIndexTeam)</f>
        <v>0.50244539232091079</v>
      </c>
      <c r="P208" s="700" t="s">
        <v>5603</v>
      </c>
      <c r="S208" s="1474">
        <f>INDEX(cbalDBYr2GaugeEmp6Utiliz,xxIndexTeam)</f>
        <v>0</v>
      </c>
      <c r="T208" s="700" t="s">
        <v>5637</v>
      </c>
    </row>
    <row r="210" spans="4:20" ht="12.75" customHeight="1">
      <c r="D210" s="2" t="s">
        <v>5354</v>
      </c>
      <c r="J210" s="2" t="s">
        <v>5354</v>
      </c>
    </row>
    <row r="211" spans="4:20" ht="12.75" customHeight="1">
      <c r="D211" s="700" t="s">
        <v>4669</v>
      </c>
      <c r="E211" s="700">
        <v>0</v>
      </c>
      <c r="F211" s="700" t="s">
        <v>5358</v>
      </c>
      <c r="J211" s="700" t="s">
        <v>4669</v>
      </c>
      <c r="K211" s="700">
        <v>0</v>
      </c>
      <c r="L211" s="700" t="s">
        <v>5398</v>
      </c>
      <c r="O211" s="700">
        <v>0</v>
      </c>
      <c r="P211" s="700" t="s">
        <v>5604</v>
      </c>
      <c r="S211" s="700">
        <v>0</v>
      </c>
      <c r="T211" s="700" t="s">
        <v>5638</v>
      </c>
    </row>
    <row r="212" spans="4:20" ht="12.75" customHeight="1">
      <c r="D212" s="700" t="s">
        <v>4665</v>
      </c>
      <c r="E212" s="700">
        <v>0</v>
      </c>
      <c r="F212" s="700" t="s">
        <v>5359</v>
      </c>
      <c r="J212" s="700" t="s">
        <v>4665</v>
      </c>
      <c r="K212" s="700">
        <v>0</v>
      </c>
      <c r="L212" s="700" t="s">
        <v>5399</v>
      </c>
      <c r="O212" s="700">
        <v>0</v>
      </c>
      <c r="P212" s="700" t="s">
        <v>5605</v>
      </c>
      <c r="S212" s="700">
        <v>0</v>
      </c>
      <c r="T212" s="700" t="s">
        <v>5639</v>
      </c>
    </row>
    <row r="213" spans="4:20" ht="12.75" customHeight="1">
      <c r="D213" s="700" t="s">
        <v>4666</v>
      </c>
      <c r="E213" s="700">
        <v>0</v>
      </c>
      <c r="F213" s="700" t="s">
        <v>5360</v>
      </c>
      <c r="J213" s="700" t="s">
        <v>4666</v>
      </c>
      <c r="K213" s="700">
        <v>0</v>
      </c>
      <c r="L213" s="700" t="s">
        <v>5400</v>
      </c>
      <c r="O213" s="700">
        <v>0</v>
      </c>
      <c r="P213" s="700" t="s">
        <v>5606</v>
      </c>
      <c r="S213" s="700">
        <v>0</v>
      </c>
      <c r="T213" s="700" t="s">
        <v>5640</v>
      </c>
    </row>
    <row r="214" spans="4:20" ht="12.75" customHeight="1">
      <c r="D214" s="700" t="s">
        <v>5352</v>
      </c>
      <c r="E214" s="700">
        <v>0</v>
      </c>
      <c r="F214" s="700" t="s">
        <v>5361</v>
      </c>
      <c r="J214" s="700" t="s">
        <v>5352</v>
      </c>
      <c r="K214" s="700">
        <v>0</v>
      </c>
      <c r="L214" s="700" t="s">
        <v>5401</v>
      </c>
      <c r="O214" s="700">
        <v>0</v>
      </c>
      <c r="P214" s="700" t="s">
        <v>5607</v>
      </c>
      <c r="S214" s="700">
        <v>0</v>
      </c>
      <c r="T214" s="700" t="s">
        <v>5641</v>
      </c>
    </row>
    <row r="215" spans="4:20" ht="12.75" customHeight="1">
      <c r="D215" s="700" t="s">
        <v>4267</v>
      </c>
      <c r="E215" s="700">
        <v>0</v>
      </c>
      <c r="F215" s="700" t="s">
        <v>5362</v>
      </c>
      <c r="J215" s="700" t="s">
        <v>4267</v>
      </c>
      <c r="K215" s="700">
        <v>0</v>
      </c>
      <c r="L215" s="700" t="s">
        <v>5402</v>
      </c>
      <c r="O215" s="700">
        <v>0</v>
      </c>
      <c r="P215" s="700" t="s">
        <v>5608</v>
      </c>
      <c r="S215" s="700">
        <v>0</v>
      </c>
      <c r="T215" s="700" t="s">
        <v>5642</v>
      </c>
    </row>
  </sheetData>
  <phoneticPr fontId="0" type="noConversion"/>
  <dataValidations disablePrompts="1" count="1">
    <dataValidation type="list" allowBlank="1" showInputMessage="1" showErrorMessage="1" sqref="M3">
      <formula1>xxRegSet</formula1>
    </dataValidation>
  </dataValidations>
  <pageMargins left="0.5" right="0.5" top="0.5" bottom="0.5"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ToolDataImportBalances">
                <anchor moveWithCells="1" sizeWithCells="1">
                  <from>
                    <xdr:col>4</xdr:col>
                    <xdr:colOff>0</xdr:colOff>
                    <xdr:row>32</xdr:row>
                    <xdr:rowOff>123825</xdr:rowOff>
                  </from>
                  <to>
                    <xdr:col>5</xdr:col>
                    <xdr:colOff>581025</xdr:colOff>
                    <xdr:row>34</xdr:row>
                    <xdr:rowOff>95250</xdr:rowOff>
                  </to>
                </anchor>
              </controlPr>
            </control>
          </mc:Choice>
        </mc:AlternateContent>
        <mc:AlternateContent xmlns:mc="http://schemas.openxmlformats.org/markup-compatibility/2006">
          <mc:Choice Requires="x14">
            <control shapeId="14339" r:id="rId5" name="Button 3">
              <controlPr defaultSize="0" print="0" autoFill="0" autoPict="0" macro="[0]!ToolZoomToFit">
                <anchor moveWithCells="1" sizeWithCells="1">
                  <from>
                    <xdr:col>4</xdr:col>
                    <xdr:colOff>0</xdr:colOff>
                    <xdr:row>35</xdr:row>
                    <xdr:rowOff>95250</xdr:rowOff>
                  </from>
                  <to>
                    <xdr:col>5</xdr:col>
                    <xdr:colOff>523875</xdr:colOff>
                    <xdr:row>37</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55"/>
  <sheetViews>
    <sheetView workbookViewId="0">
      <selection activeCell="O18" sqref="O18"/>
    </sheetView>
  </sheetViews>
  <sheetFormatPr defaultColWidth="18.83203125" defaultRowHeight="12.75" customHeight="1"/>
  <cols>
    <col min="1" max="7" width="9.33203125" customWidth="1"/>
    <col min="8" max="8" width="11" style="4" customWidth="1"/>
    <col min="9" max="9" width="11" customWidth="1"/>
    <col min="10" max="11" width="11" style="4" customWidth="1"/>
    <col min="12" max="12" width="9.33203125" customWidth="1"/>
  </cols>
  <sheetData>
    <row r="1" spans="2:12" ht="11.25">
      <c r="C1" t="s">
        <v>4193</v>
      </c>
      <c r="F1" t="s">
        <v>4194</v>
      </c>
      <c r="H1" s="4" t="s">
        <v>4195</v>
      </c>
    </row>
    <row r="2" spans="2:12" ht="11.25">
      <c r="C2" t="s">
        <v>1483</v>
      </c>
      <c r="H2" s="4" t="s">
        <v>1481</v>
      </c>
      <c r="I2" s="4" t="s">
        <v>1482</v>
      </c>
      <c r="J2" s="4" t="s">
        <v>1007</v>
      </c>
      <c r="K2" s="4" t="s">
        <v>2175</v>
      </c>
      <c r="L2" t="s">
        <v>3888</v>
      </c>
    </row>
    <row r="3" spans="2:12" ht="11.25">
      <c r="C3" s="1" t="s">
        <v>520</v>
      </c>
      <c r="D3" s="1"/>
      <c r="E3" s="1"/>
      <c r="F3" s="1"/>
      <c r="G3" s="1"/>
      <c r="H3" s="174">
        <v>2</v>
      </c>
      <c r="I3" s="1">
        <v>2</v>
      </c>
      <c r="J3" s="174" t="s">
        <v>279</v>
      </c>
      <c r="K3" s="184" t="s">
        <v>1035</v>
      </c>
      <c r="L3" s="1" t="s">
        <v>888</v>
      </c>
    </row>
    <row r="4" spans="2:12" ht="11.25">
      <c r="B4" t="s">
        <v>3797</v>
      </c>
      <c r="C4" t="s">
        <v>2730</v>
      </c>
      <c r="H4" s="4">
        <v>2</v>
      </c>
      <c r="I4">
        <v>2</v>
      </c>
      <c r="J4" s="4" t="s">
        <v>279</v>
      </c>
      <c r="K4" s="183">
        <v>38411</v>
      </c>
      <c r="L4" t="s">
        <v>1000</v>
      </c>
    </row>
    <row r="5" spans="2:12" ht="11.25">
      <c r="B5" t="s">
        <v>3797</v>
      </c>
      <c r="C5" s="1" t="s">
        <v>3644</v>
      </c>
      <c r="D5" s="1"/>
      <c r="E5" s="1"/>
      <c r="F5" s="1"/>
      <c r="G5" s="1"/>
      <c r="H5" s="174">
        <v>2</v>
      </c>
      <c r="I5" s="1">
        <v>2</v>
      </c>
      <c r="J5" s="174" t="s">
        <v>279</v>
      </c>
      <c r="K5" s="184" t="s">
        <v>1035</v>
      </c>
      <c r="L5" s="1" t="s">
        <v>1000</v>
      </c>
    </row>
    <row r="6" spans="2:12" ht="11.25">
      <c r="B6" t="s">
        <v>3797</v>
      </c>
      <c r="C6" t="s">
        <v>1004</v>
      </c>
      <c r="H6" s="4">
        <v>2</v>
      </c>
      <c r="I6">
        <v>1</v>
      </c>
      <c r="J6" s="4" t="s">
        <v>274</v>
      </c>
      <c r="K6" s="183">
        <v>38411</v>
      </c>
    </row>
    <row r="7" spans="2:12" ht="11.25">
      <c r="B7" t="s">
        <v>3797</v>
      </c>
      <c r="C7" t="s">
        <v>1694</v>
      </c>
      <c r="H7" s="4">
        <v>2</v>
      </c>
      <c r="I7">
        <v>1</v>
      </c>
      <c r="J7" s="4" t="s">
        <v>274</v>
      </c>
      <c r="K7" s="183">
        <v>38411</v>
      </c>
      <c r="L7" t="s">
        <v>892</v>
      </c>
    </row>
    <row r="8" spans="2:12" ht="11.25">
      <c r="B8" t="s">
        <v>3797</v>
      </c>
      <c r="C8" t="s">
        <v>2174</v>
      </c>
      <c r="H8" s="4">
        <v>3</v>
      </c>
      <c r="I8">
        <v>3</v>
      </c>
      <c r="J8" s="4" t="s">
        <v>274</v>
      </c>
      <c r="K8" s="183">
        <v>38411</v>
      </c>
      <c r="L8" s="104" t="s">
        <v>278</v>
      </c>
    </row>
    <row r="9" spans="2:12" ht="11.25">
      <c r="B9" t="s">
        <v>3797</v>
      </c>
      <c r="C9" s="1" t="s">
        <v>522</v>
      </c>
      <c r="D9" s="1"/>
      <c r="E9" s="1"/>
      <c r="F9" s="1"/>
      <c r="G9" s="1"/>
      <c r="H9" s="174">
        <v>1</v>
      </c>
      <c r="I9" s="1">
        <v>1</v>
      </c>
      <c r="J9" s="174" t="s">
        <v>273</v>
      </c>
      <c r="K9" s="184" t="s">
        <v>1035</v>
      </c>
      <c r="L9" s="1" t="s">
        <v>2736</v>
      </c>
    </row>
    <row r="10" spans="2:12" ht="11.25">
      <c r="B10" t="s">
        <v>3797</v>
      </c>
      <c r="C10" s="1" t="s">
        <v>2591</v>
      </c>
      <c r="D10" s="1"/>
      <c r="E10" s="1"/>
      <c r="F10" s="1"/>
      <c r="G10" s="1"/>
      <c r="H10" s="174">
        <v>1</v>
      </c>
      <c r="I10" s="1">
        <v>3</v>
      </c>
      <c r="J10" s="174" t="s">
        <v>273</v>
      </c>
      <c r="K10" s="184">
        <v>38411</v>
      </c>
      <c r="L10" s="1" t="s">
        <v>2736</v>
      </c>
    </row>
    <row r="11" spans="2:12" ht="11.25">
      <c r="B11" t="s">
        <v>3797</v>
      </c>
      <c r="C11" s="1" t="s">
        <v>3235</v>
      </c>
      <c r="D11" s="1"/>
      <c r="E11" s="1"/>
      <c r="F11" s="1"/>
      <c r="G11" s="1"/>
      <c r="H11" s="174">
        <v>1</v>
      </c>
      <c r="I11" s="1">
        <v>3</v>
      </c>
      <c r="J11" s="174" t="s">
        <v>273</v>
      </c>
      <c r="K11" s="184">
        <v>38411</v>
      </c>
      <c r="L11" s="1" t="s">
        <v>3234</v>
      </c>
    </row>
    <row r="12" spans="2:12" ht="11.25">
      <c r="B12" t="s">
        <v>3797</v>
      </c>
      <c r="C12" s="1" t="s">
        <v>2164</v>
      </c>
      <c r="D12" s="1"/>
      <c r="E12" s="1"/>
      <c r="F12" s="1"/>
      <c r="G12" s="1"/>
      <c r="H12" s="174">
        <v>1</v>
      </c>
      <c r="I12" s="1">
        <v>3</v>
      </c>
      <c r="J12" s="174" t="s">
        <v>273</v>
      </c>
      <c r="K12" s="184" t="s">
        <v>1035</v>
      </c>
      <c r="L12" s="1" t="s">
        <v>3645</v>
      </c>
    </row>
    <row r="13" spans="2:12" ht="11.25">
      <c r="B13" t="s">
        <v>3797</v>
      </c>
      <c r="C13" s="1" t="s">
        <v>2871</v>
      </c>
      <c r="D13" s="1"/>
      <c r="E13" s="1"/>
      <c r="F13" s="1"/>
      <c r="G13" s="1"/>
      <c r="H13" s="174">
        <v>2</v>
      </c>
      <c r="I13" s="1">
        <v>1</v>
      </c>
      <c r="J13" s="174" t="s">
        <v>273</v>
      </c>
      <c r="K13" s="184">
        <v>38411</v>
      </c>
      <c r="L13" s="1" t="s">
        <v>1034</v>
      </c>
    </row>
    <row r="14" spans="2:12" ht="11.25">
      <c r="B14" t="s">
        <v>3797</v>
      </c>
      <c r="C14" s="1" t="s">
        <v>2731</v>
      </c>
      <c r="D14" s="1"/>
      <c r="E14" s="1"/>
      <c r="F14" s="1"/>
      <c r="G14" s="1"/>
      <c r="H14" s="174">
        <v>2</v>
      </c>
      <c r="I14" s="1">
        <v>1</v>
      </c>
      <c r="J14" s="174" t="s">
        <v>273</v>
      </c>
      <c r="K14" s="184">
        <v>38411</v>
      </c>
      <c r="L14" s="1" t="s">
        <v>2732</v>
      </c>
    </row>
    <row r="15" spans="2:12" ht="11.25">
      <c r="B15" t="s">
        <v>3797</v>
      </c>
      <c r="C15" t="s">
        <v>746</v>
      </c>
      <c r="H15" s="4">
        <v>1</v>
      </c>
      <c r="I15">
        <v>1</v>
      </c>
      <c r="J15" s="4" t="s">
        <v>1589</v>
      </c>
      <c r="K15" s="183">
        <v>38442</v>
      </c>
      <c r="L15" t="s">
        <v>3647</v>
      </c>
    </row>
    <row r="16" spans="2:12" ht="11.25">
      <c r="B16" t="s">
        <v>3797</v>
      </c>
      <c r="C16" t="s">
        <v>1693</v>
      </c>
      <c r="H16" s="4">
        <v>1</v>
      </c>
      <c r="I16">
        <v>1</v>
      </c>
      <c r="J16" s="4" t="s">
        <v>1589</v>
      </c>
      <c r="K16" s="183">
        <v>38442</v>
      </c>
      <c r="L16" t="s">
        <v>891</v>
      </c>
    </row>
    <row r="17" spans="2:12" ht="11.25">
      <c r="B17" t="s">
        <v>3797</v>
      </c>
      <c r="C17" t="s">
        <v>1592</v>
      </c>
      <c r="H17" s="4">
        <v>2</v>
      </c>
      <c r="I17">
        <v>3</v>
      </c>
      <c r="J17" s="4" t="s">
        <v>1589</v>
      </c>
      <c r="K17" s="183">
        <v>38442</v>
      </c>
      <c r="L17" s="104"/>
    </row>
    <row r="18" spans="2:12" ht="11.25">
      <c r="B18" t="s">
        <v>3797</v>
      </c>
      <c r="C18" t="s">
        <v>4331</v>
      </c>
      <c r="H18" s="4">
        <v>2</v>
      </c>
      <c r="I18">
        <v>3</v>
      </c>
      <c r="J18" s="4" t="s">
        <v>1589</v>
      </c>
      <c r="K18" s="183">
        <v>38442</v>
      </c>
      <c r="L18" t="s">
        <v>891</v>
      </c>
    </row>
    <row r="19" spans="2:12" ht="11.25">
      <c r="B19" t="s">
        <v>3797</v>
      </c>
      <c r="C19" s="1" t="s">
        <v>521</v>
      </c>
      <c r="D19" s="1"/>
      <c r="E19" s="1"/>
      <c r="F19" s="1"/>
      <c r="G19" s="1"/>
      <c r="H19" s="174">
        <v>2</v>
      </c>
      <c r="I19" s="1">
        <v>3</v>
      </c>
      <c r="J19" s="174" t="s">
        <v>275</v>
      </c>
      <c r="K19" s="184" t="s">
        <v>1035</v>
      </c>
      <c r="L19" t="s">
        <v>889</v>
      </c>
    </row>
    <row r="20" spans="2:12" ht="11.25">
      <c r="B20" t="s">
        <v>3797</v>
      </c>
      <c r="C20" s="1" t="s">
        <v>1966</v>
      </c>
      <c r="D20" s="1"/>
      <c r="E20" s="1"/>
      <c r="F20" s="1"/>
      <c r="G20" s="1"/>
      <c r="H20" s="174">
        <v>2</v>
      </c>
      <c r="I20" s="1">
        <v>2</v>
      </c>
      <c r="J20" s="174" t="s">
        <v>275</v>
      </c>
      <c r="K20" s="184" t="s">
        <v>1035</v>
      </c>
      <c r="L20" t="s">
        <v>999</v>
      </c>
    </row>
    <row r="21" spans="2:12" ht="11.25">
      <c r="B21" t="s">
        <v>3797</v>
      </c>
      <c r="C21" s="1" t="s">
        <v>3277</v>
      </c>
      <c r="D21" s="1"/>
      <c r="E21" s="1"/>
      <c r="F21" s="1"/>
      <c r="G21" s="1"/>
      <c r="H21" s="174">
        <v>3</v>
      </c>
      <c r="I21" s="1">
        <v>3</v>
      </c>
      <c r="J21" s="174" t="s">
        <v>275</v>
      </c>
      <c r="K21" s="184" t="s">
        <v>3278</v>
      </c>
      <c r="L21" t="s">
        <v>3279</v>
      </c>
    </row>
    <row r="22" spans="2:12" ht="11.25">
      <c r="B22" t="s">
        <v>3797</v>
      </c>
      <c r="C22" t="s">
        <v>747</v>
      </c>
      <c r="H22" s="4">
        <v>1</v>
      </c>
      <c r="I22">
        <v>2</v>
      </c>
      <c r="J22" s="4" t="s">
        <v>1590</v>
      </c>
      <c r="K22" s="183">
        <v>38503</v>
      </c>
      <c r="L22" t="s">
        <v>3648</v>
      </c>
    </row>
    <row r="23" spans="2:12" ht="11.25">
      <c r="B23" t="s">
        <v>3797</v>
      </c>
      <c r="C23" t="s">
        <v>2823</v>
      </c>
      <c r="H23" s="4">
        <v>2</v>
      </c>
      <c r="I23">
        <v>3</v>
      </c>
      <c r="J23" s="4" t="s">
        <v>1590</v>
      </c>
      <c r="K23" s="183">
        <v>38503</v>
      </c>
      <c r="L23" t="s">
        <v>895</v>
      </c>
    </row>
    <row r="24" spans="2:12" ht="11.25">
      <c r="B24" t="s">
        <v>3797</v>
      </c>
      <c r="C24" t="s">
        <v>749</v>
      </c>
      <c r="H24" s="4">
        <v>3</v>
      </c>
      <c r="I24">
        <v>1</v>
      </c>
      <c r="J24" s="4" t="s">
        <v>1591</v>
      </c>
      <c r="K24" s="183">
        <v>38533</v>
      </c>
      <c r="L24" s="104" t="s">
        <v>3189</v>
      </c>
    </row>
    <row r="25" spans="2:12" ht="11.25">
      <c r="B25" t="s">
        <v>3797</v>
      </c>
      <c r="C25" t="s">
        <v>748</v>
      </c>
      <c r="H25" s="4">
        <v>3</v>
      </c>
      <c r="I25">
        <v>2</v>
      </c>
      <c r="J25" s="4" t="s">
        <v>1591</v>
      </c>
      <c r="K25" s="183">
        <v>38533</v>
      </c>
      <c r="L25" s="104" t="s">
        <v>3188</v>
      </c>
    </row>
    <row r="26" spans="2:12" ht="11.25">
      <c r="B26" t="s">
        <v>3797</v>
      </c>
      <c r="C26" t="s">
        <v>3756</v>
      </c>
      <c r="H26" s="4">
        <v>3</v>
      </c>
      <c r="I26">
        <v>2</v>
      </c>
      <c r="J26" s="4" t="s">
        <v>1591</v>
      </c>
      <c r="K26" s="183">
        <v>38533</v>
      </c>
      <c r="L26" t="s">
        <v>3757</v>
      </c>
    </row>
    <row r="27" spans="2:12" ht="11.25">
      <c r="B27" t="s">
        <v>3797</v>
      </c>
      <c r="C27" t="s">
        <v>4024</v>
      </c>
      <c r="H27" s="4" t="s">
        <v>276</v>
      </c>
      <c r="J27" s="4" t="s">
        <v>3191</v>
      </c>
      <c r="K27" s="183">
        <v>38533</v>
      </c>
    </row>
    <row r="28" spans="2:12" ht="11.25">
      <c r="B28" t="s">
        <v>3797</v>
      </c>
      <c r="C28" t="s">
        <v>2590</v>
      </c>
      <c r="H28" s="4" t="s">
        <v>276</v>
      </c>
      <c r="J28" s="4" t="s">
        <v>3191</v>
      </c>
      <c r="K28" s="183">
        <v>38533</v>
      </c>
      <c r="L28" s="104" t="s">
        <v>2735</v>
      </c>
    </row>
    <row r="29" spans="2:12" ht="11.25">
      <c r="B29" t="s">
        <v>3797</v>
      </c>
      <c r="C29" t="s">
        <v>2592</v>
      </c>
      <c r="H29" s="4" t="s">
        <v>276</v>
      </c>
      <c r="J29" s="4" t="s">
        <v>3191</v>
      </c>
      <c r="K29" s="183">
        <v>38533</v>
      </c>
      <c r="L29" t="s">
        <v>3342</v>
      </c>
    </row>
    <row r="30" spans="2:12" ht="11.25">
      <c r="B30" t="s">
        <v>3797</v>
      </c>
      <c r="C30" t="s">
        <v>2870</v>
      </c>
      <c r="H30" s="4" t="s">
        <v>276</v>
      </c>
      <c r="J30" s="4" t="s">
        <v>3191</v>
      </c>
      <c r="K30" s="183">
        <v>38533</v>
      </c>
      <c r="L30" t="s">
        <v>3343</v>
      </c>
    </row>
    <row r="31" spans="2:12" ht="11.25">
      <c r="B31" t="s">
        <v>3797</v>
      </c>
      <c r="C31" t="s">
        <v>523</v>
      </c>
      <c r="H31" s="4" t="s">
        <v>276</v>
      </c>
      <c r="J31" s="4" t="s">
        <v>3191</v>
      </c>
      <c r="K31" s="183">
        <v>38533</v>
      </c>
      <c r="L31" t="s">
        <v>3233</v>
      </c>
    </row>
    <row r="32" spans="2:12" ht="11.25">
      <c r="B32" t="s">
        <v>3797</v>
      </c>
      <c r="C32" t="s">
        <v>2425</v>
      </c>
      <c r="H32" s="4" t="s">
        <v>276</v>
      </c>
      <c r="J32" s="4" t="s">
        <v>3191</v>
      </c>
      <c r="K32" s="183">
        <v>38533</v>
      </c>
      <c r="L32" t="s">
        <v>893</v>
      </c>
    </row>
    <row r="33" spans="2:12" ht="11.25">
      <c r="B33" t="s">
        <v>3797</v>
      </c>
      <c r="C33" t="s">
        <v>2020</v>
      </c>
      <c r="H33" s="4" t="s">
        <v>276</v>
      </c>
      <c r="J33" s="4" t="s">
        <v>3191</v>
      </c>
      <c r="K33" s="183">
        <v>38533</v>
      </c>
      <c r="L33" t="s">
        <v>894</v>
      </c>
    </row>
    <row r="34" spans="2:12" ht="11.25">
      <c r="B34" t="s">
        <v>3797</v>
      </c>
      <c r="C34" s="1" t="s">
        <v>3736</v>
      </c>
      <c r="D34" s="1"/>
      <c r="E34" s="1"/>
      <c r="F34" s="1"/>
      <c r="G34" s="1"/>
      <c r="H34" s="174">
        <v>1</v>
      </c>
      <c r="I34" s="1">
        <v>1</v>
      </c>
      <c r="J34" s="174" t="s">
        <v>273</v>
      </c>
      <c r="K34" s="174" t="s">
        <v>1035</v>
      </c>
      <c r="L34" s="1"/>
    </row>
    <row r="35" spans="2:12" ht="11.25">
      <c r="B35" t="s">
        <v>3797</v>
      </c>
      <c r="C35" s="1" t="s">
        <v>1965</v>
      </c>
      <c r="D35" s="1"/>
      <c r="E35" s="1"/>
      <c r="F35" s="1"/>
      <c r="G35" s="1"/>
      <c r="H35" s="174">
        <v>2</v>
      </c>
      <c r="I35" s="1">
        <v>1</v>
      </c>
      <c r="J35" s="174" t="s">
        <v>273</v>
      </c>
      <c r="K35" s="174" t="s">
        <v>1035</v>
      </c>
      <c r="L35" s="1" t="s">
        <v>3446</v>
      </c>
    </row>
    <row r="36" spans="2:12" ht="11.25">
      <c r="B36" t="s">
        <v>3797</v>
      </c>
      <c r="C36" s="1" t="s">
        <v>1148</v>
      </c>
      <c r="D36" s="1"/>
      <c r="E36" s="1"/>
      <c r="F36" s="1"/>
      <c r="G36" s="1"/>
      <c r="H36" s="174">
        <v>2</v>
      </c>
      <c r="I36" s="1"/>
      <c r="J36" s="174" t="s">
        <v>273</v>
      </c>
      <c r="K36" s="174" t="s">
        <v>1035</v>
      </c>
      <c r="L36" s="1"/>
    </row>
    <row r="37" spans="2:12" ht="11.25">
      <c r="B37" t="s">
        <v>3797</v>
      </c>
      <c r="C37" s="1" t="s">
        <v>2171</v>
      </c>
      <c r="D37" s="1"/>
      <c r="E37" s="1"/>
      <c r="F37" s="1"/>
      <c r="G37" s="1"/>
      <c r="H37" s="174">
        <v>2</v>
      </c>
      <c r="I37" s="1"/>
      <c r="J37" s="174" t="s">
        <v>273</v>
      </c>
      <c r="K37" s="174" t="s">
        <v>1035</v>
      </c>
      <c r="L37" s="1"/>
    </row>
    <row r="38" spans="2:12" ht="11.25">
      <c r="B38" t="s">
        <v>3797</v>
      </c>
      <c r="C38" s="1" t="s">
        <v>2872</v>
      </c>
      <c r="D38" s="1"/>
      <c r="E38" s="1"/>
      <c r="F38" s="1"/>
      <c r="G38" s="1"/>
      <c r="H38" s="174">
        <v>3</v>
      </c>
      <c r="I38" s="1">
        <v>1</v>
      </c>
      <c r="J38" s="174" t="s">
        <v>273</v>
      </c>
      <c r="K38" s="174" t="s">
        <v>1035</v>
      </c>
      <c r="L38" s="1" t="s">
        <v>1035</v>
      </c>
    </row>
    <row r="39" spans="2:12" ht="11.25">
      <c r="B39" t="s">
        <v>3797</v>
      </c>
      <c r="C39" s="1" t="s">
        <v>890</v>
      </c>
      <c r="D39" s="1"/>
      <c r="E39" s="1"/>
      <c r="F39" s="1"/>
      <c r="G39" s="1"/>
      <c r="H39" s="174">
        <v>3</v>
      </c>
      <c r="I39" s="1">
        <v>1</v>
      </c>
      <c r="J39" s="174" t="s">
        <v>273</v>
      </c>
      <c r="K39" s="174" t="s">
        <v>1035</v>
      </c>
      <c r="L39" s="1" t="s">
        <v>2165</v>
      </c>
    </row>
    <row r="40" spans="2:12" ht="11.25">
      <c r="B40" t="s">
        <v>3797</v>
      </c>
      <c r="C40" s="1" t="s">
        <v>1484</v>
      </c>
      <c r="D40" s="1"/>
      <c r="E40" s="1"/>
      <c r="F40" s="1"/>
      <c r="G40" s="1"/>
      <c r="H40" s="174">
        <v>1</v>
      </c>
      <c r="I40" s="1">
        <v>3</v>
      </c>
      <c r="J40" s="174" t="s">
        <v>273</v>
      </c>
      <c r="K40" s="174" t="s">
        <v>1035</v>
      </c>
      <c r="L40" s="181" t="s">
        <v>3646</v>
      </c>
    </row>
    <row r="41" spans="2:12" ht="11.25">
      <c r="B41" t="s">
        <v>3797</v>
      </c>
      <c r="C41" s="1" t="s">
        <v>1691</v>
      </c>
      <c r="D41" s="1"/>
      <c r="E41" s="1"/>
      <c r="F41" s="1"/>
      <c r="G41" s="1"/>
      <c r="H41" s="174">
        <v>1</v>
      </c>
      <c r="I41" s="1">
        <v>1</v>
      </c>
      <c r="J41" s="174" t="s">
        <v>275</v>
      </c>
      <c r="K41" s="174" t="s">
        <v>1035</v>
      </c>
      <c r="L41" s="1"/>
    </row>
    <row r="42" spans="2:12" ht="11.25">
      <c r="B42" t="s">
        <v>3797</v>
      </c>
      <c r="C42" s="1" t="s">
        <v>1005</v>
      </c>
      <c r="D42" s="1"/>
      <c r="E42" s="1"/>
      <c r="F42" s="1"/>
      <c r="G42" s="1"/>
      <c r="H42" s="174">
        <v>2</v>
      </c>
      <c r="I42" s="1">
        <v>1</v>
      </c>
      <c r="J42" s="174" t="s">
        <v>275</v>
      </c>
      <c r="K42" s="174" t="s">
        <v>1035</v>
      </c>
      <c r="L42" s="1"/>
    </row>
    <row r="43" spans="2:12" ht="11.25">
      <c r="B43" t="s">
        <v>3797</v>
      </c>
      <c r="C43" s="1" t="s">
        <v>1692</v>
      </c>
      <c r="D43" s="1"/>
      <c r="E43" s="1"/>
      <c r="F43" s="1"/>
      <c r="G43" s="1"/>
      <c r="H43" s="174">
        <v>2</v>
      </c>
      <c r="I43" s="1">
        <v>1</v>
      </c>
      <c r="J43" s="174" t="s">
        <v>275</v>
      </c>
      <c r="K43" s="174" t="s">
        <v>1035</v>
      </c>
      <c r="L43" s="1"/>
    </row>
    <row r="44" spans="2:12" ht="11.25">
      <c r="B44" t="s">
        <v>3797</v>
      </c>
      <c r="C44" t="s">
        <v>2593</v>
      </c>
      <c r="H44" s="4" t="s">
        <v>277</v>
      </c>
      <c r="I44">
        <v>3</v>
      </c>
      <c r="L44" t="s">
        <v>1486</v>
      </c>
    </row>
    <row r="45" spans="2:12" ht="11.25">
      <c r="B45" t="s">
        <v>3797</v>
      </c>
      <c r="C45" t="s">
        <v>1002</v>
      </c>
      <c r="H45" s="4">
        <v>3</v>
      </c>
      <c r="L45" s="104" t="s">
        <v>1003</v>
      </c>
    </row>
    <row r="46" spans="2:12" ht="11.25">
      <c r="B46" t="s">
        <v>3797</v>
      </c>
      <c r="C46" t="s">
        <v>1006</v>
      </c>
      <c r="H46" s="4" t="s">
        <v>277</v>
      </c>
      <c r="L46" t="s">
        <v>1485</v>
      </c>
    </row>
    <row r="47" spans="2:12" ht="11.25">
      <c r="B47" t="s">
        <v>3797</v>
      </c>
      <c r="C47" t="s">
        <v>4025</v>
      </c>
      <c r="H47" s="4" t="s">
        <v>277</v>
      </c>
      <c r="L47" t="s">
        <v>3190</v>
      </c>
    </row>
    <row r="48" spans="2:12" ht="11.25">
      <c r="B48" t="s">
        <v>3797</v>
      </c>
      <c r="C48" t="s">
        <v>1123</v>
      </c>
      <c r="H48" s="4" t="s">
        <v>277</v>
      </c>
      <c r="L48" t="s">
        <v>1001</v>
      </c>
    </row>
    <row r="49" spans="3:12" ht="11.25">
      <c r="C49" t="s">
        <v>1150</v>
      </c>
      <c r="H49" s="4" t="s">
        <v>2173</v>
      </c>
      <c r="L49" t="s">
        <v>3445</v>
      </c>
    </row>
    <row r="50" spans="3:12" ht="11.25">
      <c r="C50" t="s">
        <v>519</v>
      </c>
      <c r="H50" s="4" t="s">
        <v>2173</v>
      </c>
      <c r="I50">
        <v>3</v>
      </c>
      <c r="L50" t="s">
        <v>887</v>
      </c>
    </row>
    <row r="51" spans="3:12" ht="11.25">
      <c r="C51" t="s">
        <v>2008</v>
      </c>
      <c r="H51" s="4" t="s">
        <v>2173</v>
      </c>
      <c r="L51" s="104" t="s">
        <v>2172</v>
      </c>
    </row>
    <row r="52" spans="3:12" ht="11.25">
      <c r="C52" t="s">
        <v>3020</v>
      </c>
      <c r="H52" s="4">
        <v>3</v>
      </c>
      <c r="I52">
        <v>3</v>
      </c>
      <c r="J52" s="4" t="s">
        <v>3022</v>
      </c>
      <c r="L52" t="s">
        <v>3021</v>
      </c>
    </row>
    <row r="53" spans="3:12" ht="11.25">
      <c r="C53" s="1" t="s">
        <v>4403</v>
      </c>
      <c r="D53" s="1"/>
      <c r="E53" s="1"/>
      <c r="F53" s="1"/>
      <c r="G53" s="1"/>
      <c r="H53" s="174">
        <v>2</v>
      </c>
      <c r="I53" s="1">
        <v>3</v>
      </c>
      <c r="J53" s="174" t="s">
        <v>273</v>
      </c>
      <c r="K53" s="184">
        <v>38411</v>
      </c>
      <c r="L53" s="1"/>
    </row>
    <row r="54" spans="3:12" ht="11.25"/>
    <row r="55" spans="3:12" ht="11.25">
      <c r="C55" t="s">
        <v>3019</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FF00"/>
  </sheetPr>
  <dimension ref="A1:J368"/>
  <sheetViews>
    <sheetView zoomScaleNormal="100" workbookViewId="0">
      <pane ySplit="1" topLeftCell="A2" activePane="bottomLeft" state="frozen"/>
      <selection pane="bottomLeft" activeCell="A2" sqref="A2"/>
    </sheetView>
  </sheetViews>
  <sheetFormatPr defaultColWidth="18.83203125" defaultRowHeight="12.95" customHeight="1"/>
  <cols>
    <col min="1" max="1" width="5.33203125" style="1093" customWidth="1"/>
    <col min="2" max="2" width="39.33203125" style="1093" customWidth="1"/>
    <col min="3" max="3" width="43" style="1093" customWidth="1"/>
    <col min="4" max="4" width="1" style="1095" customWidth="1"/>
    <col min="5" max="5" width="43" style="1093" customWidth="1"/>
    <col min="6" max="6" width="1" style="1095" customWidth="1"/>
    <col min="7" max="7" width="43" style="1093" customWidth="1"/>
    <col min="8" max="8" width="24.6640625" style="1093" customWidth="1"/>
    <col min="9" max="10" width="9.33203125" style="1094" customWidth="1"/>
    <col min="11" max="16384" width="18.83203125" style="1093"/>
  </cols>
  <sheetData>
    <row r="1" spans="1:10" s="1141" customFormat="1" ht="18.75" customHeight="1">
      <c r="A1" s="1142" t="s">
        <v>5129</v>
      </c>
      <c r="B1" s="1142"/>
      <c r="C1" s="1144"/>
      <c r="D1" s="1142"/>
      <c r="E1" s="1142"/>
      <c r="F1" s="1142"/>
      <c r="G1" s="1142"/>
      <c r="H1" s="1142"/>
      <c r="I1" s="1143"/>
      <c r="J1" s="1143"/>
    </row>
    <row r="2" spans="1:10" ht="12.75"/>
    <row r="3" spans="1:10" ht="14.25">
      <c r="B3" s="1093" t="s">
        <v>5128</v>
      </c>
      <c r="C3" s="1140" t="s">
        <v>5127</v>
      </c>
      <c r="D3" s="1139"/>
      <c r="F3" s="1139"/>
    </row>
    <row r="4" spans="1:10" ht="12.75"/>
    <row r="5" spans="1:10" s="1117" customFormat="1" ht="14.25">
      <c r="B5" s="1133" t="s">
        <v>5126</v>
      </c>
      <c r="E5" s="1120"/>
      <c r="F5" s="1120"/>
      <c r="G5" s="1120"/>
      <c r="H5" s="1120"/>
      <c r="I5" s="1119"/>
      <c r="J5" s="1118"/>
    </row>
    <row r="6" spans="1:10" ht="12.75"/>
    <row r="7" spans="1:10" ht="12.75">
      <c r="B7" s="1138"/>
      <c r="C7" s="1135" t="s">
        <v>5125</v>
      </c>
      <c r="D7" s="1134"/>
      <c r="F7" s="1134"/>
    </row>
    <row r="8" spans="1:10" ht="12.75">
      <c r="B8" s="1137"/>
      <c r="C8" s="1135" t="s">
        <v>5124</v>
      </c>
      <c r="D8" s="1134"/>
      <c r="F8" s="1134"/>
    </row>
    <row r="9" spans="1:10" ht="12.75">
      <c r="B9" s="1136"/>
      <c r="C9" s="1135" t="s">
        <v>5123</v>
      </c>
      <c r="D9" s="1134"/>
      <c r="F9" s="1134"/>
    </row>
    <row r="10" spans="1:10" ht="12.75"/>
    <row r="11" spans="1:10" s="1117" customFormat="1" ht="21" customHeight="1">
      <c r="B11" s="1121" t="s">
        <v>5122</v>
      </c>
      <c r="E11" s="1120"/>
      <c r="F11" s="1120"/>
      <c r="G11" s="1120"/>
      <c r="H11" s="1120"/>
      <c r="I11" s="1119"/>
      <c r="J11" s="1118"/>
    </row>
    <row r="12" spans="1:10" ht="12.75"/>
    <row r="13" spans="1:10" s="1117" customFormat="1" ht="14.25">
      <c r="B13" s="1133" t="s">
        <v>5121</v>
      </c>
      <c r="E13" s="1120"/>
      <c r="F13" s="1120"/>
      <c r="G13" s="1120"/>
      <c r="H13" s="1120"/>
      <c r="I13" s="1119"/>
      <c r="J13" s="1118"/>
    </row>
    <row r="14" spans="1:10" s="1130" customFormat="1" ht="14.25">
      <c r="D14" s="1132"/>
      <c r="F14" s="1132"/>
      <c r="I14" s="1131"/>
      <c r="J14" s="1131"/>
    </row>
    <row r="15" spans="1:10" ht="12.75">
      <c r="C15" s="1129" t="s">
        <v>5120</v>
      </c>
      <c r="D15" s="1127"/>
      <c r="E15" s="1128" t="s">
        <v>4672</v>
      </c>
      <c r="F15" s="1127"/>
      <c r="G15" s="1126" t="s">
        <v>5119</v>
      </c>
    </row>
    <row r="16" spans="1:10" ht="12.75">
      <c r="B16" s="1114" t="s">
        <v>5118</v>
      </c>
      <c r="C16" s="1123"/>
      <c r="E16" s="1122"/>
    </row>
    <row r="17" spans="2:10" ht="12.75">
      <c r="B17" s="1093" t="s">
        <v>5117</v>
      </c>
      <c r="C17" s="1125" t="s">
        <v>5116</v>
      </c>
      <c r="E17" s="1122"/>
      <c r="G17" s="1124" t="s">
        <v>5115</v>
      </c>
    </row>
    <row r="18" spans="2:10" ht="12.75">
      <c r="C18" s="1123"/>
      <c r="E18" s="1122"/>
    </row>
    <row r="19" spans="2:10" ht="12.75"/>
    <row r="20" spans="2:10" s="1117" customFormat="1" ht="21" customHeight="1">
      <c r="B20" s="1121" t="s">
        <v>5114</v>
      </c>
      <c r="E20" s="1120"/>
      <c r="F20" s="1120"/>
      <c r="G20" s="1120"/>
      <c r="H20" s="1120"/>
      <c r="I20" s="1119"/>
      <c r="J20" s="1118"/>
    </row>
    <row r="21" spans="2:10" ht="12.75">
      <c r="B21" s="1097" t="s">
        <v>5113</v>
      </c>
    </row>
    <row r="22" spans="2:10" ht="12.75">
      <c r="B22" s="1097"/>
    </row>
    <row r="23" spans="2:10" ht="12.75">
      <c r="B23" s="1114" t="s">
        <v>5112</v>
      </c>
    </row>
    <row r="24" spans="2:10" ht="12.75">
      <c r="B24" s="1093" t="s">
        <v>5111</v>
      </c>
    </row>
    <row r="25" spans="2:10" ht="3" customHeight="1">
      <c r="C25" s="1108"/>
      <c r="D25" s="1099"/>
    </row>
    <row r="26" spans="2:10" ht="12.75">
      <c r="B26" s="1093" t="s">
        <v>5110</v>
      </c>
    </row>
    <row r="27" spans="2:10" ht="3" customHeight="1">
      <c r="C27" s="1108"/>
      <c r="D27" s="1099"/>
    </row>
    <row r="28" spans="2:10" ht="12.75">
      <c r="B28" s="1093" t="s">
        <v>5109</v>
      </c>
    </row>
    <row r="29" spans="2:10" ht="3" customHeight="1">
      <c r="C29" s="1108"/>
      <c r="D29" s="1099"/>
    </row>
    <row r="30" spans="2:10" ht="12.75">
      <c r="B30" s="1116" t="s">
        <v>5108</v>
      </c>
    </row>
    <row r="31" spans="2:10" ht="3" customHeight="1">
      <c r="C31" s="1108"/>
      <c r="D31" s="1099"/>
    </row>
    <row r="32" spans="2:10" ht="12.75">
      <c r="B32" s="1093" t="s">
        <v>5107</v>
      </c>
    </row>
    <row r="33" spans="2:5" ht="3" customHeight="1">
      <c r="C33" s="1108"/>
      <c r="D33" s="1099"/>
    </row>
    <row r="34" spans="2:5" ht="12.75">
      <c r="B34" s="1093" t="s">
        <v>5106</v>
      </c>
    </row>
    <row r="35" spans="2:5" ht="3" customHeight="1">
      <c r="C35" s="1108"/>
      <c r="D35" s="1099"/>
    </row>
    <row r="36" spans="2:5" ht="12.75">
      <c r="B36" s="1093" t="s">
        <v>5105</v>
      </c>
    </row>
    <row r="37" spans="2:5" ht="3" customHeight="1">
      <c r="C37" s="1108"/>
      <c r="D37" s="1099"/>
    </row>
    <row r="38" spans="2:5" ht="12.75">
      <c r="B38" s="1093" t="s">
        <v>5104</v>
      </c>
    </row>
    <row r="39" spans="2:5" ht="12.75">
      <c r="B39" s="1097"/>
    </row>
    <row r="40" spans="2:5" ht="12.75">
      <c r="B40" s="1097"/>
    </row>
    <row r="41" spans="2:5" ht="12.75">
      <c r="B41" s="1114" t="s">
        <v>5103</v>
      </c>
      <c r="C41" s="1113">
        <v>4</v>
      </c>
      <c r="E41" s="1093" t="s">
        <v>5102</v>
      </c>
    </row>
    <row r="42" spans="2:5" ht="3" customHeight="1">
      <c r="C42" s="1115"/>
      <c r="D42" s="1099"/>
    </row>
    <row r="43" spans="2:5" ht="12.75">
      <c r="B43" s="1114" t="s">
        <v>5101</v>
      </c>
      <c r="C43" s="1113">
        <v>1</v>
      </c>
      <c r="E43" s="1093" t="s">
        <v>5100</v>
      </c>
    </row>
    <row r="44" spans="2:5" ht="12.75">
      <c r="D44" s="1093"/>
    </row>
    <row r="45" spans="2:5" ht="12.75">
      <c r="D45" s="1093"/>
    </row>
    <row r="46" spans="2:5" ht="12.75">
      <c r="D46" s="1093"/>
    </row>
    <row r="47" spans="2:5" ht="12.75">
      <c r="D47" s="1093"/>
    </row>
    <row r="48" spans="2:5" ht="12.75"/>
    <row r="49" spans="1:10" ht="13.5" thickBot="1">
      <c r="G49" s="1093" t="s">
        <v>5099</v>
      </c>
    </row>
    <row r="50" spans="1:10" ht="13.5" thickBot="1">
      <c r="A50" s="1111">
        <v>1</v>
      </c>
      <c r="B50" s="1093" t="s">
        <v>4971</v>
      </c>
      <c r="C50" s="1106" t="s">
        <v>5130</v>
      </c>
      <c r="E50" s="1093" t="s">
        <v>5098</v>
      </c>
      <c r="G50" s="1112" t="s">
        <v>5097</v>
      </c>
      <c r="H50" s="1097" t="s">
        <v>4939</v>
      </c>
    </row>
    <row r="51" spans="1:10" ht="3" customHeight="1" thickBot="1">
      <c r="C51" s="1101"/>
    </row>
    <row r="52" spans="1:10" ht="13.5" thickBot="1">
      <c r="B52" s="1093" t="s">
        <v>4968</v>
      </c>
      <c r="C52" s="1110" t="b">
        <f>$A50&lt;=tabCount</f>
        <v>1</v>
      </c>
      <c r="E52" s="1093" t="s">
        <v>5096</v>
      </c>
      <c r="I52" s="1109">
        <f>I64+I76+I88</f>
        <v>1</v>
      </c>
      <c r="J52" s="1094" t="s">
        <v>5095</v>
      </c>
    </row>
    <row r="53" spans="1:10" ht="3" customHeight="1" thickBot="1">
      <c r="C53" s="1108"/>
      <c r="D53" s="1099"/>
    </row>
    <row r="54" spans="1:10" ht="12.75">
      <c r="A54" s="1093" t="b">
        <v>1</v>
      </c>
      <c r="B54" s="1107" t="s">
        <v>4965</v>
      </c>
      <c r="C54" s="1106" t="s">
        <v>1608</v>
      </c>
      <c r="D54" s="1099"/>
      <c r="E54" s="1106" t="s">
        <v>4777</v>
      </c>
      <c r="F54" s="1099"/>
      <c r="G54" s="1106" t="s">
        <v>949</v>
      </c>
      <c r="H54" s="1097" t="s">
        <v>4947</v>
      </c>
    </row>
    <row r="55" spans="1:10" ht="3" customHeight="1">
      <c r="A55" s="1093" t="b">
        <v>1</v>
      </c>
      <c r="C55" s="1101"/>
      <c r="D55" s="1099"/>
      <c r="E55" s="1101"/>
      <c r="F55" s="1099"/>
      <c r="G55" s="1101"/>
    </row>
    <row r="56" spans="1:10" ht="12.75">
      <c r="A56" s="1093" t="b">
        <v>1</v>
      </c>
      <c r="B56" s="1093" t="s">
        <v>4946</v>
      </c>
      <c r="C56" s="1105" t="s">
        <v>5091</v>
      </c>
      <c r="D56" s="1099"/>
      <c r="E56" s="1105" t="s">
        <v>5070</v>
      </c>
      <c r="F56" s="1099"/>
      <c r="G56" s="1105" t="s">
        <v>4522</v>
      </c>
    </row>
    <row r="57" spans="1:10" ht="3" customHeight="1">
      <c r="A57" s="1093" t="b">
        <v>1</v>
      </c>
      <c r="C57" s="1101"/>
      <c r="D57" s="1099"/>
      <c r="E57" s="1101"/>
      <c r="F57" s="1099"/>
      <c r="G57" s="1101"/>
    </row>
    <row r="58" spans="1:10" ht="12.75">
      <c r="A58" s="1093" t="b">
        <v>1</v>
      </c>
      <c r="B58" s="1093" t="s">
        <v>4944</v>
      </c>
      <c r="C58" s="1104" t="str">
        <f>C56&amp;"_light"</f>
        <v>Communication_1_light</v>
      </c>
      <c r="D58" s="1099"/>
      <c r="E58" s="1104" t="str">
        <f>E56&amp;"_light"</f>
        <v>Global_1_light</v>
      </c>
      <c r="F58" s="1099"/>
      <c r="G58" s="1104" t="str">
        <f>G56&amp;"_light"</f>
        <v>Initiatives_light</v>
      </c>
    </row>
    <row r="59" spans="1:10" ht="3" customHeight="1">
      <c r="A59" s="1093" t="b">
        <v>1</v>
      </c>
      <c r="C59" s="1101"/>
      <c r="D59" s="1099"/>
      <c r="E59" s="1101"/>
      <c r="F59" s="1099"/>
      <c r="G59" s="1101"/>
    </row>
    <row r="60" spans="1:10" ht="12.75">
      <c r="A60" s="1093" t="b">
        <v>1</v>
      </c>
      <c r="B60" s="1093" t="s">
        <v>4943</v>
      </c>
      <c r="C60" s="1103" t="s">
        <v>5132</v>
      </c>
      <c r="D60" s="1099"/>
      <c r="E60" s="1103" t="s">
        <v>5133</v>
      </c>
      <c r="F60" s="1099"/>
      <c r="G60" s="1103" t="s">
        <v>5134</v>
      </c>
      <c r="H60" s="1097" t="s">
        <v>4939</v>
      </c>
    </row>
    <row r="61" spans="1:10" ht="3" customHeight="1">
      <c r="A61" s="1093" t="b">
        <v>1</v>
      </c>
      <c r="C61" s="1101"/>
      <c r="D61" s="1099"/>
      <c r="E61" s="1101"/>
      <c r="F61" s="1099"/>
      <c r="G61" s="1101"/>
    </row>
    <row r="62" spans="1:10" ht="12.75">
      <c r="A62" s="1093" t="b">
        <v>1</v>
      </c>
      <c r="B62" s="1093" t="s">
        <v>4938</v>
      </c>
      <c r="C62" s="1102"/>
      <c r="D62" s="1099"/>
      <c r="E62" s="1102"/>
      <c r="F62" s="1099"/>
      <c r="G62" s="1102"/>
      <c r="H62" s="1097" t="s">
        <v>4937</v>
      </c>
      <c r="I62" s="1094" t="s">
        <v>4936</v>
      </c>
    </row>
    <row r="63" spans="1:10" ht="3" customHeight="1" thickBot="1">
      <c r="A63" s="1093" t="b">
        <v>1</v>
      </c>
      <c r="C63" s="1101"/>
      <c r="D63" s="1099"/>
      <c r="E63" s="1101"/>
      <c r="F63" s="1099"/>
      <c r="G63" s="1101"/>
    </row>
    <row r="64" spans="1:10" ht="13.5" thickBot="1">
      <c r="A64" s="1093" t="b">
        <v>1</v>
      </c>
      <c r="B64" s="1100" t="s">
        <v>4935</v>
      </c>
      <c r="C64" s="1098" t="b">
        <v>1</v>
      </c>
      <c r="D64" s="1099"/>
      <c r="E64" s="1098" t="b">
        <v>1</v>
      </c>
      <c r="F64" s="1099"/>
      <c r="G64" s="1098" t="b">
        <v>1</v>
      </c>
      <c r="H64" s="1097" t="s">
        <v>4934</v>
      </c>
      <c r="I64" s="1096" t="b">
        <f>IF($C52=TRUE,TRUE)</f>
        <v>1</v>
      </c>
    </row>
    <row r="65" spans="1:9" ht="3" customHeight="1">
      <c r="A65" s="1093" t="b">
        <v>1</v>
      </c>
      <c r="C65" s="1108"/>
      <c r="D65" s="1099"/>
      <c r="E65" s="1108"/>
      <c r="F65" s="1099"/>
      <c r="G65" s="1108"/>
    </row>
    <row r="66" spans="1:9" ht="12.75" hidden="1">
      <c r="A66" s="1093" t="b">
        <v>0</v>
      </c>
      <c r="B66" s="1107" t="s">
        <v>4958</v>
      </c>
      <c r="C66" s="1106" t="s">
        <v>5094</v>
      </c>
      <c r="D66" s="1099"/>
      <c r="E66" s="1106" t="s">
        <v>5093</v>
      </c>
      <c r="F66" s="1099"/>
      <c r="G66" s="1106" t="s">
        <v>5092</v>
      </c>
      <c r="H66" s="1097" t="s">
        <v>4947</v>
      </c>
    </row>
    <row r="67" spans="1:9" ht="3" hidden="1" customHeight="1">
      <c r="A67" s="1093" t="b">
        <v>0</v>
      </c>
      <c r="C67" s="1101"/>
      <c r="D67" s="1099"/>
      <c r="E67" s="1101"/>
      <c r="F67" s="1099"/>
      <c r="G67" s="1101"/>
    </row>
    <row r="68" spans="1:9" ht="12.75" hidden="1">
      <c r="A68" s="1093" t="b">
        <v>0</v>
      </c>
      <c r="B68" s="1093" t="s">
        <v>4946</v>
      </c>
      <c r="C68" s="1105" t="s">
        <v>5091</v>
      </c>
      <c r="D68" s="1099"/>
      <c r="E68" s="1105" t="s">
        <v>5090</v>
      </c>
      <c r="F68" s="1099"/>
      <c r="G68" s="1105" t="s">
        <v>5089</v>
      </c>
    </row>
    <row r="69" spans="1:9" ht="3" hidden="1" customHeight="1">
      <c r="A69" s="1093" t="b">
        <v>0</v>
      </c>
      <c r="C69" s="1101"/>
      <c r="D69" s="1099"/>
      <c r="E69" s="1101"/>
      <c r="F69" s="1099"/>
      <c r="G69" s="1101"/>
    </row>
    <row r="70" spans="1:9" ht="12.75" hidden="1">
      <c r="A70" s="1093" t="b">
        <v>0</v>
      </c>
      <c r="B70" s="1093" t="s">
        <v>4944</v>
      </c>
      <c r="C70" s="1104" t="str">
        <f>C68&amp;"_light"</f>
        <v>Communication_1_light</v>
      </c>
      <c r="D70" s="1099"/>
      <c r="E70" s="1104" t="str">
        <f>E68&amp;"_light"</f>
        <v>Customer_Satisfaction_1_light</v>
      </c>
      <c r="F70" s="1099"/>
      <c r="G70" s="1104" t="str">
        <f>G68&amp;"_light"</f>
        <v>Cycle_light</v>
      </c>
    </row>
    <row r="71" spans="1:9" ht="3" hidden="1" customHeight="1">
      <c r="A71" s="1093" t="b">
        <v>0</v>
      </c>
      <c r="C71" s="1101"/>
      <c r="D71" s="1099"/>
      <c r="E71" s="1101"/>
      <c r="F71" s="1099"/>
      <c r="G71" s="1101"/>
    </row>
    <row r="72" spans="1:9" ht="12.75" hidden="1">
      <c r="A72" s="1093" t="b">
        <v>0</v>
      </c>
      <c r="B72" s="1093" t="s">
        <v>4943</v>
      </c>
      <c r="C72" s="1103" t="s">
        <v>4954</v>
      </c>
      <c r="D72" s="1099"/>
      <c r="E72" s="1103" t="s">
        <v>4953</v>
      </c>
      <c r="F72" s="1099"/>
      <c r="G72" s="1103" t="s">
        <v>4952</v>
      </c>
      <c r="H72" s="1097" t="s">
        <v>4939</v>
      </c>
    </row>
    <row r="73" spans="1:9" ht="3" hidden="1" customHeight="1">
      <c r="A73" s="1093" t="b">
        <v>0</v>
      </c>
      <c r="C73" s="1101"/>
      <c r="D73" s="1099"/>
      <c r="E73" s="1101"/>
      <c r="F73" s="1099"/>
      <c r="G73" s="1101"/>
    </row>
    <row r="74" spans="1:9" ht="12.75" hidden="1">
      <c r="A74" s="1093" t="b">
        <v>0</v>
      </c>
      <c r="B74" s="1093" t="s">
        <v>4938</v>
      </c>
      <c r="C74" s="1102"/>
      <c r="D74" s="1099"/>
      <c r="E74" s="1102"/>
      <c r="F74" s="1099"/>
      <c r="G74" s="1102"/>
      <c r="H74" s="1097" t="s">
        <v>4937</v>
      </c>
      <c r="I74" s="1094" t="s">
        <v>4936</v>
      </c>
    </row>
    <row r="75" spans="1:9" ht="3" hidden="1" customHeight="1" thickBot="1">
      <c r="A75" s="1093" t="b">
        <v>0</v>
      </c>
      <c r="C75" s="1101"/>
      <c r="D75" s="1099"/>
      <c r="E75" s="1101"/>
      <c r="F75" s="1099"/>
      <c r="G75" s="1101"/>
    </row>
    <row r="76" spans="1:9" ht="13.5" hidden="1" thickBot="1">
      <c r="A76" s="1093" t="b">
        <v>0</v>
      </c>
      <c r="B76" s="1100" t="s">
        <v>4935</v>
      </c>
      <c r="C76" s="1098" t="b">
        <v>0</v>
      </c>
      <c r="D76" s="1099"/>
      <c r="E76" s="1098" t="b">
        <v>0</v>
      </c>
      <c r="F76" s="1099"/>
      <c r="G76" s="1098" t="b">
        <v>0</v>
      </c>
      <c r="H76" s="1097" t="s">
        <v>4934</v>
      </c>
      <c r="I76" s="1096" t="b">
        <f>IF($I88=TRUE,TRUE,OR($C76,$E76,$G76))</f>
        <v>0</v>
      </c>
    </row>
    <row r="77" spans="1:9" ht="3" hidden="1" customHeight="1" thickBot="1">
      <c r="A77" s="1093" t="b">
        <v>0</v>
      </c>
      <c r="C77" s="1108"/>
      <c r="D77" s="1099"/>
      <c r="E77" s="1108"/>
      <c r="F77" s="1099"/>
      <c r="G77" s="1108"/>
    </row>
    <row r="78" spans="1:9" ht="12.75" hidden="1">
      <c r="A78" s="1093" t="b">
        <v>0</v>
      </c>
      <c r="B78" s="1107" t="s">
        <v>4951</v>
      </c>
      <c r="C78" s="1106" t="s">
        <v>5088</v>
      </c>
      <c r="D78" s="1099"/>
      <c r="E78" s="1106" t="s">
        <v>5087</v>
      </c>
      <c r="F78" s="1099"/>
      <c r="G78" s="1106" t="s">
        <v>5086</v>
      </c>
      <c r="H78" s="1097" t="s">
        <v>4947</v>
      </c>
    </row>
    <row r="79" spans="1:9" ht="3" hidden="1" customHeight="1">
      <c r="A79" s="1093" t="b">
        <v>0</v>
      </c>
      <c r="C79" s="1101"/>
      <c r="D79" s="1099"/>
      <c r="E79" s="1101"/>
      <c r="F79" s="1099"/>
      <c r="G79" s="1101"/>
    </row>
    <row r="80" spans="1:9" ht="12.75" hidden="1">
      <c r="A80" s="1093" t="b">
        <v>0</v>
      </c>
      <c r="B80" s="1093" t="s">
        <v>4946</v>
      </c>
      <c r="C80" s="1105" t="s">
        <v>5085</v>
      </c>
      <c r="D80" s="1099"/>
      <c r="E80" s="1105" t="s">
        <v>5084</v>
      </c>
      <c r="F80" s="1099"/>
      <c r="G80" s="1105" t="s">
        <v>5083</v>
      </c>
    </row>
    <row r="81" spans="1:10" ht="3" hidden="1" customHeight="1">
      <c r="A81" s="1093" t="b">
        <v>0</v>
      </c>
      <c r="C81" s="1101"/>
      <c r="D81" s="1099"/>
      <c r="E81" s="1101"/>
      <c r="F81" s="1099"/>
      <c r="G81" s="1101"/>
    </row>
    <row r="82" spans="1:10" ht="12.75" hidden="1">
      <c r="A82" s="1093" t="b">
        <v>0</v>
      </c>
      <c r="B82" s="1093" t="s">
        <v>4944</v>
      </c>
      <c r="C82" s="1104" t="str">
        <f>C80&amp;"_light"</f>
        <v>Delivery_1_light</v>
      </c>
      <c r="D82" s="1099"/>
      <c r="E82" s="1104" t="str">
        <f>E80&amp;"_light"</f>
        <v>Email_1_light</v>
      </c>
      <c r="F82" s="1099"/>
      <c r="G82" s="1104" t="str">
        <f>G80&amp;"_light"</f>
        <v>Experience_1_light</v>
      </c>
    </row>
    <row r="83" spans="1:10" ht="3" hidden="1" customHeight="1">
      <c r="A83" s="1093" t="b">
        <v>0</v>
      </c>
      <c r="C83" s="1101"/>
      <c r="D83" s="1099"/>
      <c r="E83" s="1101"/>
      <c r="F83" s="1099"/>
      <c r="G83" s="1101"/>
    </row>
    <row r="84" spans="1:10" ht="12.75" hidden="1">
      <c r="A84" s="1093" t="b">
        <v>0</v>
      </c>
      <c r="B84" s="1093" t="s">
        <v>4943</v>
      </c>
      <c r="C84" s="1103" t="s">
        <v>4942</v>
      </c>
      <c r="D84" s="1099"/>
      <c r="E84" s="1103" t="s">
        <v>4941</v>
      </c>
      <c r="F84" s="1099"/>
      <c r="G84" s="1103" t="s">
        <v>4940</v>
      </c>
      <c r="H84" s="1097" t="s">
        <v>4939</v>
      </c>
    </row>
    <row r="85" spans="1:10" ht="3" hidden="1" customHeight="1">
      <c r="A85" s="1093" t="b">
        <v>0</v>
      </c>
      <c r="C85" s="1101"/>
      <c r="D85" s="1099"/>
      <c r="E85" s="1101"/>
      <c r="F85" s="1099"/>
      <c r="G85" s="1101"/>
    </row>
    <row r="86" spans="1:10" ht="12.75" hidden="1">
      <c r="A86" s="1093" t="b">
        <v>0</v>
      </c>
      <c r="B86" s="1093" t="s">
        <v>4938</v>
      </c>
      <c r="C86" s="1102"/>
      <c r="D86" s="1099"/>
      <c r="E86" s="1102"/>
      <c r="F86" s="1099"/>
      <c r="G86" s="1102"/>
      <c r="H86" s="1097" t="s">
        <v>4937</v>
      </c>
      <c r="I86" s="1094" t="s">
        <v>4936</v>
      </c>
    </row>
    <row r="87" spans="1:10" ht="3" hidden="1" customHeight="1" thickBot="1">
      <c r="A87" s="1093" t="b">
        <v>0</v>
      </c>
      <c r="C87" s="1101"/>
      <c r="D87" s="1099"/>
      <c r="E87" s="1101"/>
      <c r="F87" s="1099"/>
      <c r="G87" s="1101"/>
    </row>
    <row r="88" spans="1:10" ht="13.5" hidden="1" thickBot="1">
      <c r="A88" s="1093" t="b">
        <v>0</v>
      </c>
      <c r="B88" s="1100" t="s">
        <v>4935</v>
      </c>
      <c r="C88" s="1098" t="b">
        <v>0</v>
      </c>
      <c r="D88" s="1099"/>
      <c r="E88" s="1098" t="b">
        <v>0</v>
      </c>
      <c r="F88" s="1099"/>
      <c r="G88" s="1098" t="b">
        <v>0</v>
      </c>
      <c r="H88" s="1097" t="s">
        <v>4934</v>
      </c>
      <c r="I88" s="1096" t="b">
        <f>OR($C88,$E88,$G88)</f>
        <v>0</v>
      </c>
    </row>
    <row r="89" spans="1:10" ht="18.75" customHeight="1" thickBot="1"/>
    <row r="90" spans="1:10" ht="12.75">
      <c r="A90" s="1111">
        <v>2</v>
      </c>
      <c r="B90" s="1093" t="s">
        <v>4971</v>
      </c>
      <c r="C90" s="1106" t="s">
        <v>4827</v>
      </c>
      <c r="E90" s="1093" t="s">
        <v>5082</v>
      </c>
    </row>
    <row r="91" spans="1:10" ht="3" customHeight="1" thickBot="1">
      <c r="A91" s="1093" t="b">
        <v>0</v>
      </c>
      <c r="C91" s="1101"/>
    </row>
    <row r="92" spans="1:10" ht="13.5" thickBot="1">
      <c r="B92" s="1093" t="s">
        <v>4968</v>
      </c>
      <c r="C92" s="1110" t="b">
        <f>$A90&lt;=tabCount</f>
        <v>1</v>
      </c>
      <c r="E92" s="1093" t="s">
        <v>5081</v>
      </c>
      <c r="I92" s="1109">
        <f>I104+I116+I128</f>
        <v>1</v>
      </c>
      <c r="J92" s="1094" t="s">
        <v>5080</v>
      </c>
    </row>
    <row r="93" spans="1:10" ht="3" customHeight="1" thickBot="1">
      <c r="A93" s="1093" t="b">
        <v>0</v>
      </c>
      <c r="C93" s="1108"/>
      <c r="D93" s="1099"/>
    </row>
    <row r="94" spans="1:10" ht="12.75">
      <c r="A94" s="1093" t="b">
        <v>1</v>
      </c>
      <c r="B94" s="1107" t="s">
        <v>4965</v>
      </c>
      <c r="C94" s="1106" t="s">
        <v>4697</v>
      </c>
      <c r="D94" s="1099"/>
      <c r="E94" s="1106" t="s">
        <v>4698</v>
      </c>
      <c r="F94" s="1099"/>
      <c r="G94" s="1106" t="s">
        <v>5159</v>
      </c>
      <c r="H94" s="1097" t="s">
        <v>4947</v>
      </c>
    </row>
    <row r="95" spans="1:10" ht="3" customHeight="1">
      <c r="A95" s="1093" t="b">
        <v>1</v>
      </c>
      <c r="C95" s="1101"/>
      <c r="D95" s="1099"/>
      <c r="E95" s="1101"/>
      <c r="F95" s="1099"/>
      <c r="G95" s="1101"/>
    </row>
    <row r="96" spans="1:10" ht="12.75">
      <c r="A96" s="1093" t="b">
        <v>1</v>
      </c>
      <c r="B96" s="1093" t="s">
        <v>4946</v>
      </c>
      <c r="C96" s="1105" t="s">
        <v>5140</v>
      </c>
      <c r="D96" s="1099"/>
      <c r="E96" s="1105" t="s">
        <v>4448</v>
      </c>
      <c r="F96" s="1099"/>
      <c r="G96" s="1105" t="s">
        <v>5167</v>
      </c>
    </row>
    <row r="97" spans="1:9" ht="3" customHeight="1">
      <c r="A97" s="1093" t="b">
        <v>1</v>
      </c>
      <c r="C97" s="1101"/>
      <c r="D97" s="1099"/>
      <c r="E97" s="1101"/>
      <c r="F97" s="1099"/>
      <c r="G97" s="1101"/>
    </row>
    <row r="98" spans="1:9" ht="12.75">
      <c r="A98" s="1093" t="b">
        <v>1</v>
      </c>
      <c r="B98" s="1093" t="s">
        <v>4944</v>
      </c>
      <c r="C98" s="1104" t="str">
        <f>C96&amp;"_light"</f>
        <v>Handshake_light</v>
      </c>
      <c r="D98" s="1099"/>
      <c r="E98" s="1104" t="str">
        <f>E96&amp;"_light"</f>
        <v>People_light</v>
      </c>
      <c r="F98" s="1099"/>
      <c r="G98" s="1104" t="str">
        <f>G96&amp;"_light"</f>
        <v>Idea_light</v>
      </c>
    </row>
    <row r="99" spans="1:9" ht="3" customHeight="1">
      <c r="A99" s="1093" t="b">
        <v>1</v>
      </c>
      <c r="C99" s="1101"/>
      <c r="D99" s="1099"/>
      <c r="E99" s="1101"/>
      <c r="F99" s="1099"/>
      <c r="G99" s="1101"/>
    </row>
    <row r="100" spans="1:9" ht="12.75">
      <c r="A100" s="1093" t="b">
        <v>1</v>
      </c>
      <c r="B100" s="1093" t="s">
        <v>4943</v>
      </c>
      <c r="C100" s="1103" t="s">
        <v>5135</v>
      </c>
      <c r="D100" s="1099"/>
      <c r="E100" s="1103" t="s">
        <v>5137</v>
      </c>
      <c r="F100" s="1099"/>
      <c r="G100" s="1103" t="s">
        <v>5136</v>
      </c>
      <c r="H100" s="1097" t="s">
        <v>4939</v>
      </c>
    </row>
    <row r="101" spans="1:9" ht="3" customHeight="1">
      <c r="A101" s="1093" t="b">
        <v>1</v>
      </c>
      <c r="C101" s="1101"/>
      <c r="D101" s="1099"/>
      <c r="E101" s="1101"/>
      <c r="F101" s="1099"/>
      <c r="G101" s="1101"/>
    </row>
    <row r="102" spans="1:9" ht="12.75">
      <c r="A102" s="1093" t="b">
        <v>1</v>
      </c>
      <c r="B102" s="1093" t="s">
        <v>4938</v>
      </c>
      <c r="C102" s="1102"/>
      <c r="D102" s="1099"/>
      <c r="E102" s="1102"/>
      <c r="F102" s="1099"/>
      <c r="G102" s="1102"/>
      <c r="H102" s="1097" t="s">
        <v>4937</v>
      </c>
      <c r="I102" s="1094" t="s">
        <v>4936</v>
      </c>
    </row>
    <row r="103" spans="1:9" ht="3" customHeight="1" thickBot="1">
      <c r="A103" s="1093" t="b">
        <v>1</v>
      </c>
      <c r="C103" s="1101"/>
      <c r="D103" s="1099"/>
      <c r="E103" s="1101"/>
      <c r="F103" s="1099"/>
      <c r="G103" s="1101"/>
    </row>
    <row r="104" spans="1:9" ht="13.5" thickBot="1">
      <c r="A104" s="1093" t="b">
        <v>1</v>
      </c>
      <c r="B104" s="1100" t="s">
        <v>4935</v>
      </c>
      <c r="C104" s="1098" t="b">
        <v>1</v>
      </c>
      <c r="D104" s="1099"/>
      <c r="E104" s="1098" t="b">
        <v>1</v>
      </c>
      <c r="F104" s="1099"/>
      <c r="G104" s="1098" t="b">
        <v>1</v>
      </c>
      <c r="H104" s="1097" t="s">
        <v>4934</v>
      </c>
      <c r="I104" s="1096" t="b">
        <f>IF($C92=TRUE,TRUE)</f>
        <v>1</v>
      </c>
    </row>
    <row r="105" spans="1:9" ht="3" customHeight="1">
      <c r="A105" s="1093" t="b">
        <v>1</v>
      </c>
      <c r="C105" s="1108"/>
      <c r="D105" s="1099"/>
      <c r="E105" s="1108"/>
      <c r="F105" s="1099"/>
      <c r="G105" s="1108"/>
    </row>
    <row r="106" spans="1:9" ht="12.75" hidden="1">
      <c r="A106" s="1093" t="b">
        <v>0</v>
      </c>
      <c r="B106" s="1107" t="s">
        <v>4958</v>
      </c>
      <c r="C106" s="1106" t="s">
        <v>5079</v>
      </c>
      <c r="D106" s="1099"/>
      <c r="E106" s="1106" t="s">
        <v>5078</v>
      </c>
      <c r="F106" s="1099"/>
      <c r="G106" s="1106" t="s">
        <v>5077</v>
      </c>
      <c r="H106" s="1097" t="s">
        <v>4947</v>
      </c>
    </row>
    <row r="107" spans="1:9" ht="3" hidden="1" customHeight="1">
      <c r="A107" s="1093" t="b">
        <v>0</v>
      </c>
      <c r="C107" s="1101"/>
      <c r="D107" s="1099"/>
      <c r="E107" s="1101"/>
      <c r="F107" s="1099"/>
      <c r="G107" s="1101"/>
    </row>
    <row r="108" spans="1:9" ht="12.75" hidden="1">
      <c r="A108" s="1093" t="b">
        <v>0</v>
      </c>
      <c r="B108" s="1093" t="s">
        <v>4946</v>
      </c>
      <c r="C108" s="1105" t="s">
        <v>5076</v>
      </c>
      <c r="D108" s="1099"/>
      <c r="E108" s="1105" t="s">
        <v>5075</v>
      </c>
      <c r="F108" s="1099"/>
      <c r="G108" s="1105" t="s">
        <v>5074</v>
      </c>
    </row>
    <row r="109" spans="1:9" ht="3" hidden="1" customHeight="1">
      <c r="A109" s="1093" t="b">
        <v>0</v>
      </c>
      <c r="C109" s="1101"/>
      <c r="D109" s="1099"/>
      <c r="E109" s="1101"/>
      <c r="F109" s="1099"/>
      <c r="G109" s="1101"/>
    </row>
    <row r="110" spans="1:9" ht="12.75" hidden="1">
      <c r="A110" s="1093" t="b">
        <v>0</v>
      </c>
      <c r="B110" s="1093" t="s">
        <v>4944</v>
      </c>
      <c r="C110" s="1104" t="str">
        <f>C108&amp;"_light"</f>
        <v>Find_Research_1_light</v>
      </c>
      <c r="D110" s="1099"/>
      <c r="E110" s="1104" t="str">
        <f>E108&amp;"_light"</f>
        <v>Fire_1_light</v>
      </c>
      <c r="F110" s="1099"/>
      <c r="G110" s="1104" t="str">
        <f>G108&amp;"_light"</f>
        <v>Gears_1_light</v>
      </c>
    </row>
    <row r="111" spans="1:9" ht="3" hidden="1" customHeight="1">
      <c r="A111" s="1093" t="b">
        <v>0</v>
      </c>
      <c r="C111" s="1101"/>
      <c r="D111" s="1099"/>
      <c r="E111" s="1101"/>
      <c r="F111" s="1099"/>
      <c r="G111" s="1101"/>
    </row>
    <row r="112" spans="1:9" ht="12.75" hidden="1">
      <c r="A112" s="1093" t="b">
        <v>0</v>
      </c>
      <c r="B112" s="1093" t="s">
        <v>4943</v>
      </c>
      <c r="C112" s="1103" t="s">
        <v>4954</v>
      </c>
      <c r="D112" s="1099"/>
      <c r="E112" s="1103" t="s">
        <v>4953</v>
      </c>
      <c r="F112" s="1099"/>
      <c r="G112" s="1103" t="s">
        <v>4952</v>
      </c>
      <c r="H112" s="1097" t="s">
        <v>4939</v>
      </c>
    </row>
    <row r="113" spans="1:9" ht="3" hidden="1" customHeight="1">
      <c r="A113" s="1093" t="b">
        <v>0</v>
      </c>
      <c r="C113" s="1101"/>
      <c r="D113" s="1099"/>
      <c r="E113" s="1101"/>
      <c r="F113" s="1099"/>
      <c r="G113" s="1101"/>
    </row>
    <row r="114" spans="1:9" ht="12.75" hidden="1">
      <c r="A114" s="1093" t="b">
        <v>0</v>
      </c>
      <c r="B114" s="1093" t="s">
        <v>4938</v>
      </c>
      <c r="C114" s="1102"/>
      <c r="D114" s="1099"/>
      <c r="E114" s="1102"/>
      <c r="F114" s="1099"/>
      <c r="G114" s="1102"/>
      <c r="H114" s="1097" t="s">
        <v>4937</v>
      </c>
      <c r="I114" s="1094" t="s">
        <v>4936</v>
      </c>
    </row>
    <row r="115" spans="1:9" ht="3" hidden="1" customHeight="1" thickBot="1">
      <c r="A115" s="1093" t="b">
        <v>0</v>
      </c>
      <c r="C115" s="1101"/>
      <c r="D115" s="1099"/>
      <c r="E115" s="1101"/>
      <c r="F115" s="1099"/>
      <c r="G115" s="1101"/>
    </row>
    <row r="116" spans="1:9" ht="13.5" hidden="1" thickBot="1">
      <c r="A116" s="1093" t="b">
        <v>0</v>
      </c>
      <c r="B116" s="1100" t="s">
        <v>4935</v>
      </c>
      <c r="C116" s="1098" t="b">
        <v>0</v>
      </c>
      <c r="D116" s="1099"/>
      <c r="E116" s="1098" t="b">
        <v>0</v>
      </c>
      <c r="F116" s="1099"/>
      <c r="G116" s="1098" t="b">
        <v>0</v>
      </c>
      <c r="H116" s="1097" t="s">
        <v>4934</v>
      </c>
      <c r="I116" s="1096" t="b">
        <f>IF($I128=TRUE,TRUE,OR($C116,$E116,$G116))</f>
        <v>0</v>
      </c>
    </row>
    <row r="117" spans="1:9" ht="3" hidden="1" customHeight="1" thickBot="1">
      <c r="A117" s="1093" t="b">
        <v>0</v>
      </c>
      <c r="C117" s="1108"/>
      <c r="D117" s="1099"/>
      <c r="E117" s="1108"/>
      <c r="F117" s="1099"/>
      <c r="G117" s="1108"/>
    </row>
    <row r="118" spans="1:9" ht="12.75" hidden="1">
      <c r="A118" s="1093" t="b">
        <v>0</v>
      </c>
      <c r="B118" s="1107" t="s">
        <v>4951</v>
      </c>
      <c r="C118" s="1106" t="s">
        <v>5073</v>
      </c>
      <c r="D118" s="1099"/>
      <c r="E118" s="1106" t="s">
        <v>5072</v>
      </c>
      <c r="F118" s="1099"/>
      <c r="G118" s="1106" t="s">
        <v>5071</v>
      </c>
      <c r="H118" s="1097" t="s">
        <v>4947</v>
      </c>
    </row>
    <row r="119" spans="1:9" ht="3" hidden="1" customHeight="1">
      <c r="A119" s="1093" t="b">
        <v>0</v>
      </c>
      <c r="C119" s="1101"/>
      <c r="D119" s="1099"/>
      <c r="E119" s="1101"/>
      <c r="F119" s="1099"/>
      <c r="G119" s="1101"/>
    </row>
    <row r="120" spans="1:9" ht="12.75" hidden="1">
      <c r="A120" s="1093" t="b">
        <v>0</v>
      </c>
      <c r="B120" s="1093" t="s">
        <v>4946</v>
      </c>
      <c r="C120" s="1105" t="s">
        <v>5070</v>
      </c>
      <c r="D120" s="1099"/>
      <c r="E120" s="1105" t="s">
        <v>5069</v>
      </c>
      <c r="F120" s="1099"/>
      <c r="G120" s="1105" t="s">
        <v>5068</v>
      </c>
    </row>
    <row r="121" spans="1:9" ht="3" hidden="1" customHeight="1">
      <c r="A121" s="1093" t="b">
        <v>0</v>
      </c>
      <c r="C121" s="1101"/>
      <c r="D121" s="1099"/>
      <c r="E121" s="1101"/>
      <c r="F121" s="1099"/>
      <c r="G121" s="1101"/>
    </row>
    <row r="122" spans="1:9" ht="12.75" hidden="1">
      <c r="A122" s="1093" t="b">
        <v>0</v>
      </c>
      <c r="B122" s="1093" t="s">
        <v>4944</v>
      </c>
      <c r="C122" s="1104" t="str">
        <f>C120&amp;"_light"</f>
        <v>Global_1_light</v>
      </c>
      <c r="D122" s="1099"/>
      <c r="E122" s="1104" t="str">
        <f>E120&amp;"_light"</f>
        <v>Goal_Target_1_light</v>
      </c>
      <c r="F122" s="1099"/>
      <c r="G122" s="1104" t="str">
        <f>G120&amp;"_light"</f>
        <v>Good_Job_1_light</v>
      </c>
    </row>
    <row r="123" spans="1:9" ht="3" hidden="1" customHeight="1">
      <c r="A123" s="1093" t="b">
        <v>0</v>
      </c>
      <c r="C123" s="1101"/>
      <c r="D123" s="1099"/>
      <c r="E123" s="1101"/>
      <c r="F123" s="1099"/>
      <c r="G123" s="1101"/>
    </row>
    <row r="124" spans="1:9" ht="12.75" hidden="1">
      <c r="A124" s="1093" t="b">
        <v>0</v>
      </c>
      <c r="B124" s="1093" t="s">
        <v>4943</v>
      </c>
      <c r="C124" s="1103" t="s">
        <v>4942</v>
      </c>
      <c r="D124" s="1099"/>
      <c r="E124" s="1103" t="s">
        <v>4941</v>
      </c>
      <c r="F124" s="1099"/>
      <c r="G124" s="1103" t="s">
        <v>4940</v>
      </c>
      <c r="H124" s="1097" t="s">
        <v>4939</v>
      </c>
    </row>
    <row r="125" spans="1:9" ht="3" hidden="1" customHeight="1">
      <c r="A125" s="1093" t="b">
        <v>0</v>
      </c>
      <c r="C125" s="1101"/>
      <c r="D125" s="1099"/>
      <c r="E125" s="1101"/>
      <c r="F125" s="1099"/>
      <c r="G125" s="1101"/>
    </row>
    <row r="126" spans="1:9" ht="12.75" hidden="1">
      <c r="A126" s="1093" t="b">
        <v>0</v>
      </c>
      <c r="B126" s="1093" t="s">
        <v>4938</v>
      </c>
      <c r="C126" s="1102"/>
      <c r="D126" s="1099"/>
      <c r="E126" s="1102"/>
      <c r="F126" s="1099"/>
      <c r="G126" s="1102"/>
      <c r="H126" s="1097" t="s">
        <v>4937</v>
      </c>
      <c r="I126" s="1094" t="s">
        <v>4936</v>
      </c>
    </row>
    <row r="127" spans="1:9" ht="3" hidden="1" customHeight="1" thickBot="1">
      <c r="A127" s="1093" t="b">
        <v>0</v>
      </c>
      <c r="C127" s="1101"/>
      <c r="D127" s="1099"/>
      <c r="E127" s="1101"/>
      <c r="F127" s="1099"/>
      <c r="G127" s="1101"/>
    </row>
    <row r="128" spans="1:9" ht="13.5" hidden="1" thickBot="1">
      <c r="A128" s="1093" t="b">
        <v>0</v>
      </c>
      <c r="B128" s="1100" t="s">
        <v>4935</v>
      </c>
      <c r="C128" s="1098" t="b">
        <v>0</v>
      </c>
      <c r="D128" s="1099"/>
      <c r="E128" s="1098" t="b">
        <v>0</v>
      </c>
      <c r="F128" s="1099"/>
      <c r="G128" s="1098" t="b">
        <v>0</v>
      </c>
      <c r="H128" s="1097" t="s">
        <v>4934</v>
      </c>
      <c r="I128" s="1096" t="b">
        <f>OR($C128,$E128,$G128)</f>
        <v>0</v>
      </c>
    </row>
    <row r="129" spans="1:10" ht="18.75" customHeight="1" thickBot="1"/>
    <row r="130" spans="1:10" ht="12.75">
      <c r="A130" s="1111">
        <v>3</v>
      </c>
      <c r="B130" s="1093" t="s">
        <v>4971</v>
      </c>
      <c r="C130" s="1106" t="s">
        <v>4647</v>
      </c>
      <c r="E130" s="1093" t="s">
        <v>5067</v>
      </c>
    </row>
    <row r="131" spans="1:10" ht="3" customHeight="1" thickBot="1">
      <c r="A131" s="1093" t="b">
        <v>0</v>
      </c>
      <c r="C131" s="1101"/>
    </row>
    <row r="132" spans="1:10" ht="13.5" thickBot="1">
      <c r="B132" s="1093" t="s">
        <v>4968</v>
      </c>
      <c r="C132" s="1110" t="b">
        <f>$A130&lt;=tabCount</f>
        <v>1</v>
      </c>
      <c r="E132" s="1093" t="s">
        <v>5066</v>
      </c>
      <c r="I132" s="1109">
        <f>I144+I156+I168</f>
        <v>1</v>
      </c>
      <c r="J132" s="1094" t="s">
        <v>5065</v>
      </c>
    </row>
    <row r="133" spans="1:10" ht="3" customHeight="1" thickBot="1">
      <c r="A133" s="1093" t="b">
        <v>0</v>
      </c>
      <c r="C133" s="1108"/>
      <c r="D133" s="1099"/>
    </row>
    <row r="134" spans="1:10" ht="12.75">
      <c r="A134" s="1093" t="b">
        <v>1</v>
      </c>
      <c r="B134" s="1107" t="s">
        <v>4965</v>
      </c>
      <c r="C134" s="1106" t="s">
        <v>5131</v>
      </c>
      <c r="D134" s="1099"/>
      <c r="E134" s="1106" t="s">
        <v>5064</v>
      </c>
      <c r="F134" s="1099"/>
      <c r="G134" s="1106" t="s">
        <v>3216</v>
      </c>
      <c r="H134" s="1097" t="s">
        <v>4947</v>
      </c>
    </row>
    <row r="135" spans="1:10" ht="3" customHeight="1">
      <c r="A135" s="1093" t="b">
        <v>1</v>
      </c>
      <c r="C135" s="1101"/>
      <c r="D135" s="1099"/>
      <c r="E135" s="1101"/>
      <c r="F135" s="1099"/>
      <c r="G135" s="1101"/>
    </row>
    <row r="136" spans="1:10" ht="12.75">
      <c r="A136" s="1093" t="b">
        <v>1</v>
      </c>
      <c r="B136" s="1093" t="s">
        <v>4946</v>
      </c>
      <c r="C136" s="1105" t="s">
        <v>5141</v>
      </c>
      <c r="D136" s="1099"/>
      <c r="E136" s="1105" t="s">
        <v>5063</v>
      </c>
      <c r="F136" s="1099"/>
      <c r="G136" s="1105" t="s">
        <v>5007</v>
      </c>
    </row>
    <row r="137" spans="1:10" ht="3" customHeight="1">
      <c r="A137" s="1093" t="b">
        <v>1</v>
      </c>
      <c r="C137" s="1101"/>
      <c r="D137" s="1099"/>
      <c r="E137" s="1101"/>
      <c r="F137" s="1099"/>
      <c r="G137" s="1101"/>
    </row>
    <row r="138" spans="1:10" ht="12.75">
      <c r="A138" s="1093" t="b">
        <v>1</v>
      </c>
      <c r="B138" s="1093" t="s">
        <v>4944</v>
      </c>
      <c r="C138" s="1104" t="str">
        <f>C136&amp;"_light"</f>
        <v>Money_light</v>
      </c>
      <c r="D138" s="1099"/>
      <c r="E138" s="1104" t="str">
        <f>E136&amp;"_light"</f>
        <v>Ideas_Knowledge_1_light</v>
      </c>
      <c r="F138" s="1099"/>
      <c r="G138" s="1104" t="str">
        <f>G136&amp;"_light"</f>
        <v>Report_light</v>
      </c>
    </row>
    <row r="139" spans="1:10" ht="3" customHeight="1">
      <c r="A139" s="1093" t="b">
        <v>1</v>
      </c>
      <c r="C139" s="1101"/>
      <c r="D139" s="1099"/>
      <c r="E139" s="1101"/>
      <c r="F139" s="1099"/>
      <c r="G139" s="1101"/>
    </row>
    <row r="140" spans="1:10" ht="12.75">
      <c r="A140" s="1093" t="b">
        <v>1</v>
      </c>
      <c r="B140" s="1093" t="s">
        <v>4943</v>
      </c>
      <c r="C140" s="1103" t="s">
        <v>5138</v>
      </c>
      <c r="D140" s="1099"/>
      <c r="E140" s="1103" t="s">
        <v>4960</v>
      </c>
      <c r="F140" s="1099"/>
      <c r="G140" s="1103" t="s">
        <v>5139</v>
      </c>
      <c r="H140" s="1097" t="s">
        <v>4939</v>
      </c>
    </row>
    <row r="141" spans="1:10" ht="3" customHeight="1">
      <c r="A141" s="1093" t="b">
        <v>1</v>
      </c>
      <c r="C141" s="1101"/>
      <c r="D141" s="1099"/>
      <c r="E141" s="1101"/>
      <c r="F141" s="1099"/>
      <c r="G141" s="1101"/>
    </row>
    <row r="142" spans="1:10" ht="12.75">
      <c r="A142" s="1093" t="b">
        <v>1</v>
      </c>
      <c r="B142" s="1093" t="s">
        <v>4938</v>
      </c>
      <c r="C142" s="1102"/>
      <c r="D142" s="1099"/>
      <c r="E142" s="1102"/>
      <c r="F142" s="1099"/>
      <c r="G142" s="1102"/>
      <c r="H142" s="1097" t="s">
        <v>4937</v>
      </c>
      <c r="I142" s="1094" t="s">
        <v>4936</v>
      </c>
    </row>
    <row r="143" spans="1:10" ht="3" customHeight="1" thickBot="1">
      <c r="A143" s="1093" t="b">
        <v>1</v>
      </c>
      <c r="C143" s="1101"/>
      <c r="D143" s="1099"/>
      <c r="E143" s="1101"/>
      <c r="F143" s="1099"/>
      <c r="G143" s="1101"/>
    </row>
    <row r="144" spans="1:10" ht="13.5" thickBot="1">
      <c r="A144" s="1093" t="b">
        <v>1</v>
      </c>
      <c r="B144" s="1100" t="s">
        <v>4935</v>
      </c>
      <c r="C144" s="1098" t="b">
        <v>1</v>
      </c>
      <c r="D144" s="1099"/>
      <c r="E144" s="1098" t="b">
        <v>0</v>
      </c>
      <c r="F144" s="1099"/>
      <c r="G144" s="1098" t="b">
        <v>1</v>
      </c>
      <c r="H144" s="1097" t="s">
        <v>4934</v>
      </c>
      <c r="I144" s="1096" t="b">
        <f>IF($C132=TRUE,TRUE)</f>
        <v>1</v>
      </c>
    </row>
    <row r="145" spans="1:9" ht="3" customHeight="1">
      <c r="A145" s="1093" t="b">
        <v>1</v>
      </c>
      <c r="C145" s="1108"/>
      <c r="D145" s="1099"/>
      <c r="E145" s="1108"/>
      <c r="F145" s="1099"/>
      <c r="G145" s="1108"/>
    </row>
    <row r="146" spans="1:9" ht="12.75" hidden="1">
      <c r="A146" s="1093" t="b">
        <v>0</v>
      </c>
      <c r="B146" s="1107" t="s">
        <v>4958</v>
      </c>
      <c r="C146" s="1106" t="s">
        <v>5062</v>
      </c>
      <c r="D146" s="1099"/>
      <c r="E146" s="1106" t="s">
        <v>5061</v>
      </c>
      <c r="F146" s="1099"/>
      <c r="G146" s="1106" t="s">
        <v>5060</v>
      </c>
      <c r="H146" s="1097" t="s">
        <v>4947</v>
      </c>
    </row>
    <row r="147" spans="1:9" ht="3" hidden="1" customHeight="1">
      <c r="A147" s="1093" t="b">
        <v>0</v>
      </c>
      <c r="C147" s="1101"/>
      <c r="D147" s="1099"/>
      <c r="E147" s="1101"/>
      <c r="F147" s="1099"/>
      <c r="G147" s="1101"/>
    </row>
    <row r="148" spans="1:9" ht="12.75" hidden="1">
      <c r="A148" s="1093" t="b">
        <v>0</v>
      </c>
      <c r="B148" s="1093" t="s">
        <v>4946</v>
      </c>
      <c r="C148" s="1105" t="s">
        <v>5059</v>
      </c>
      <c r="D148" s="1099"/>
      <c r="E148" s="1105" t="s">
        <v>4522</v>
      </c>
      <c r="F148" s="1099"/>
      <c r="G148" s="1105" t="s">
        <v>5058</v>
      </c>
    </row>
    <row r="149" spans="1:9" ht="3" hidden="1" customHeight="1">
      <c r="A149" s="1093" t="b">
        <v>0</v>
      </c>
      <c r="C149" s="1101"/>
      <c r="D149" s="1099"/>
      <c r="E149" s="1101"/>
      <c r="F149" s="1099"/>
      <c r="G149" s="1101"/>
    </row>
    <row r="150" spans="1:9" ht="12.75" hidden="1">
      <c r="A150" s="1093" t="b">
        <v>0</v>
      </c>
      <c r="B150" s="1093" t="s">
        <v>4944</v>
      </c>
      <c r="C150" s="1104" t="str">
        <f>C148&amp;"_light"</f>
        <v>Ideas_Knowledge_3_light</v>
      </c>
      <c r="D150" s="1099"/>
      <c r="E150" s="1104" t="str">
        <f>E148&amp;"_light"</f>
        <v>Initiatives_light</v>
      </c>
      <c r="F150" s="1099"/>
      <c r="G150" s="1104" t="str">
        <f>G148&amp;"_light"</f>
        <v>Interview_1_light</v>
      </c>
    </row>
    <row r="151" spans="1:9" ht="3" hidden="1" customHeight="1">
      <c r="A151" s="1093" t="b">
        <v>0</v>
      </c>
      <c r="C151" s="1101"/>
      <c r="D151" s="1099"/>
      <c r="E151" s="1101"/>
      <c r="F151" s="1099"/>
      <c r="G151" s="1101"/>
    </row>
    <row r="152" spans="1:9" ht="12.75" hidden="1">
      <c r="A152" s="1093" t="b">
        <v>0</v>
      </c>
      <c r="B152" s="1093" t="s">
        <v>4943</v>
      </c>
      <c r="C152" s="1103" t="s">
        <v>4954</v>
      </c>
      <c r="D152" s="1099"/>
      <c r="E152" s="1103" t="s">
        <v>4953</v>
      </c>
      <c r="F152" s="1099"/>
      <c r="G152" s="1103" t="s">
        <v>4952</v>
      </c>
      <c r="H152" s="1097" t="s">
        <v>4939</v>
      </c>
    </row>
    <row r="153" spans="1:9" ht="3" hidden="1" customHeight="1">
      <c r="A153" s="1093" t="b">
        <v>0</v>
      </c>
      <c r="C153" s="1101"/>
      <c r="D153" s="1099"/>
      <c r="E153" s="1101"/>
      <c r="F153" s="1099"/>
      <c r="G153" s="1101"/>
    </row>
    <row r="154" spans="1:9" ht="12.75" hidden="1">
      <c r="A154" s="1093" t="b">
        <v>0</v>
      </c>
      <c r="B154" s="1093" t="s">
        <v>4938</v>
      </c>
      <c r="C154" s="1102"/>
      <c r="D154" s="1099"/>
      <c r="E154" s="1102"/>
      <c r="F154" s="1099"/>
      <c r="G154" s="1102"/>
      <c r="H154" s="1097" t="s">
        <v>4937</v>
      </c>
      <c r="I154" s="1094" t="s">
        <v>4936</v>
      </c>
    </row>
    <row r="155" spans="1:9" ht="3" hidden="1" customHeight="1" thickBot="1">
      <c r="A155" s="1093" t="b">
        <v>0</v>
      </c>
      <c r="C155" s="1101"/>
      <c r="D155" s="1099"/>
      <c r="E155" s="1101"/>
      <c r="F155" s="1099"/>
      <c r="G155" s="1101"/>
    </row>
    <row r="156" spans="1:9" ht="13.5" hidden="1" thickBot="1">
      <c r="A156" s="1093" t="b">
        <v>0</v>
      </c>
      <c r="B156" s="1100" t="s">
        <v>4935</v>
      </c>
      <c r="C156" s="1098" t="b">
        <v>0</v>
      </c>
      <c r="D156" s="1099"/>
      <c r="E156" s="1098" t="b">
        <v>0</v>
      </c>
      <c r="F156" s="1099"/>
      <c r="G156" s="1098" t="b">
        <v>0</v>
      </c>
      <c r="H156" s="1097" t="s">
        <v>4934</v>
      </c>
      <c r="I156" s="1096" t="b">
        <f>IF($I168=TRUE,TRUE,OR($C156,$E156,$G156))</f>
        <v>0</v>
      </c>
    </row>
    <row r="157" spans="1:9" ht="3" hidden="1" customHeight="1" thickBot="1">
      <c r="A157" s="1093" t="b">
        <v>0</v>
      </c>
      <c r="C157" s="1108"/>
      <c r="D157" s="1099"/>
      <c r="E157" s="1108"/>
      <c r="F157" s="1099"/>
      <c r="G157" s="1108"/>
    </row>
    <row r="158" spans="1:9" ht="12.75" hidden="1">
      <c r="A158" s="1093" t="b">
        <v>0</v>
      </c>
      <c r="B158" s="1107" t="s">
        <v>4951</v>
      </c>
      <c r="C158" s="1106" t="s">
        <v>5057</v>
      </c>
      <c r="D158" s="1099"/>
      <c r="E158" s="1106" t="s">
        <v>5056</v>
      </c>
      <c r="F158" s="1099"/>
      <c r="G158" s="1106" t="s">
        <v>5055</v>
      </c>
      <c r="H158" s="1097" t="s">
        <v>4947</v>
      </c>
    </row>
    <row r="159" spans="1:9" ht="3" hidden="1" customHeight="1">
      <c r="A159" s="1093" t="b">
        <v>0</v>
      </c>
      <c r="C159" s="1101"/>
      <c r="D159" s="1099"/>
      <c r="E159" s="1101"/>
      <c r="F159" s="1099"/>
      <c r="G159" s="1101"/>
    </row>
    <row r="160" spans="1:9" ht="12.75" hidden="1">
      <c r="A160" s="1093" t="b">
        <v>0</v>
      </c>
      <c r="B160" s="1093" t="s">
        <v>4946</v>
      </c>
      <c r="C160" s="1105" t="s">
        <v>5054</v>
      </c>
      <c r="D160" s="1099"/>
      <c r="E160" s="1105" t="s">
        <v>5053</v>
      </c>
      <c r="F160" s="1099"/>
      <c r="G160" s="1105" t="s">
        <v>5052</v>
      </c>
    </row>
    <row r="161" spans="1:10" ht="3" hidden="1" customHeight="1">
      <c r="A161" s="1093" t="b">
        <v>0</v>
      </c>
      <c r="C161" s="1101"/>
      <c r="D161" s="1099"/>
      <c r="E161" s="1101"/>
      <c r="F161" s="1099"/>
      <c r="G161" s="1101"/>
    </row>
    <row r="162" spans="1:10" ht="12.75" hidden="1">
      <c r="A162" s="1093" t="b">
        <v>0</v>
      </c>
      <c r="B162" s="1093" t="s">
        <v>4944</v>
      </c>
      <c r="C162" s="1104" t="str">
        <f>C160&amp;"_light"</f>
        <v>Investment_1_light</v>
      </c>
      <c r="D162" s="1099"/>
      <c r="E162" s="1104" t="str">
        <f>E160&amp;"_light"</f>
        <v>KickOff_1_light</v>
      </c>
      <c r="F162" s="1099"/>
      <c r="G162" s="1104" t="str">
        <f>G160&amp;"_light"</f>
        <v>Leadership_1_light</v>
      </c>
    </row>
    <row r="163" spans="1:10" ht="3" hidden="1" customHeight="1">
      <c r="A163" s="1093" t="b">
        <v>0</v>
      </c>
      <c r="C163" s="1101"/>
      <c r="D163" s="1099"/>
      <c r="E163" s="1101"/>
      <c r="F163" s="1099"/>
      <c r="G163" s="1101"/>
    </row>
    <row r="164" spans="1:10" ht="12.75" hidden="1">
      <c r="A164" s="1093" t="b">
        <v>0</v>
      </c>
      <c r="B164" s="1093" t="s">
        <v>4943</v>
      </c>
      <c r="C164" s="1103" t="s">
        <v>4942</v>
      </c>
      <c r="D164" s="1099"/>
      <c r="E164" s="1103" t="s">
        <v>4941</v>
      </c>
      <c r="F164" s="1099"/>
      <c r="G164" s="1103" t="s">
        <v>4940</v>
      </c>
      <c r="H164" s="1097" t="s">
        <v>4939</v>
      </c>
    </row>
    <row r="165" spans="1:10" ht="3" hidden="1" customHeight="1">
      <c r="A165" s="1093" t="b">
        <v>0</v>
      </c>
      <c r="C165" s="1101"/>
      <c r="D165" s="1099"/>
      <c r="E165" s="1101"/>
      <c r="F165" s="1099"/>
      <c r="G165" s="1101"/>
    </row>
    <row r="166" spans="1:10" ht="12.75" hidden="1">
      <c r="A166" s="1093" t="b">
        <v>0</v>
      </c>
      <c r="B166" s="1093" t="s">
        <v>4938</v>
      </c>
      <c r="C166" s="1102"/>
      <c r="D166" s="1099"/>
      <c r="E166" s="1102"/>
      <c r="F166" s="1099"/>
      <c r="G166" s="1102"/>
      <c r="H166" s="1097" t="s">
        <v>4937</v>
      </c>
      <c r="I166" s="1094" t="s">
        <v>4936</v>
      </c>
    </row>
    <row r="167" spans="1:10" ht="3" hidden="1" customHeight="1" thickBot="1">
      <c r="A167" s="1093" t="b">
        <v>0</v>
      </c>
      <c r="C167" s="1101"/>
      <c r="D167" s="1099"/>
      <c r="E167" s="1101"/>
      <c r="F167" s="1099"/>
      <c r="G167" s="1101"/>
    </row>
    <row r="168" spans="1:10" ht="13.5" hidden="1" thickBot="1">
      <c r="A168" s="1093" t="b">
        <v>0</v>
      </c>
      <c r="B168" s="1100" t="s">
        <v>4935</v>
      </c>
      <c r="C168" s="1098" t="b">
        <v>0</v>
      </c>
      <c r="D168" s="1099"/>
      <c r="E168" s="1098" t="b">
        <v>0</v>
      </c>
      <c r="F168" s="1099"/>
      <c r="G168" s="1098" t="b">
        <v>0</v>
      </c>
      <c r="H168" s="1097" t="s">
        <v>4934</v>
      </c>
      <c r="I168" s="1096" t="b">
        <f>OR($C168,$E168,$G168)</f>
        <v>0</v>
      </c>
    </row>
    <row r="169" spans="1:10" ht="18.75" customHeight="1" thickBot="1"/>
    <row r="170" spans="1:10" ht="12.75">
      <c r="A170" s="1111">
        <v>4</v>
      </c>
      <c r="B170" s="1093" t="s">
        <v>4971</v>
      </c>
      <c r="C170" s="1106" t="s">
        <v>4648</v>
      </c>
      <c r="E170" s="1093" t="s">
        <v>5051</v>
      </c>
    </row>
    <row r="171" spans="1:10" ht="3" customHeight="1" thickBot="1">
      <c r="A171" s="1093" t="b">
        <v>0</v>
      </c>
      <c r="C171" s="1101"/>
    </row>
    <row r="172" spans="1:10" ht="13.5" thickBot="1">
      <c r="B172" s="1093" t="s">
        <v>4968</v>
      </c>
      <c r="C172" s="1110" t="b">
        <f>$A170&lt;=tabCount</f>
        <v>1</v>
      </c>
      <c r="E172" s="1093" t="s">
        <v>5050</v>
      </c>
      <c r="I172" s="1109">
        <f>I184+I196+I208</f>
        <v>1</v>
      </c>
      <c r="J172" s="1094" t="s">
        <v>5049</v>
      </c>
    </row>
    <row r="173" spans="1:10" ht="3" customHeight="1" thickBot="1">
      <c r="A173" s="1093" t="b">
        <v>0</v>
      </c>
      <c r="C173" s="1108"/>
      <c r="D173" s="1099"/>
    </row>
    <row r="174" spans="1:10" ht="12.75">
      <c r="A174" s="1093" t="b">
        <v>1</v>
      </c>
      <c r="B174" s="1107" t="s">
        <v>4965</v>
      </c>
      <c r="C174" s="1106" t="s">
        <v>3980</v>
      </c>
      <c r="D174" s="1099"/>
      <c r="E174" s="1106" t="s">
        <v>3981</v>
      </c>
      <c r="F174" s="1099"/>
      <c r="G174" s="1106" t="s">
        <v>3998</v>
      </c>
      <c r="H174" s="1097" t="s">
        <v>4947</v>
      </c>
    </row>
    <row r="175" spans="1:10" ht="3" customHeight="1">
      <c r="A175" s="1093" t="b">
        <v>1</v>
      </c>
      <c r="C175" s="1101"/>
      <c r="D175" s="1099"/>
      <c r="E175" s="1101"/>
      <c r="F175" s="1099"/>
      <c r="G175" s="1101"/>
    </row>
    <row r="176" spans="1:10" ht="12.75">
      <c r="A176" s="1093" t="b">
        <v>1</v>
      </c>
      <c r="B176" s="1093" t="s">
        <v>4946</v>
      </c>
      <c r="C176" s="1105" t="s">
        <v>5142</v>
      </c>
      <c r="D176" s="1099"/>
      <c r="E176" s="1105" t="s">
        <v>4083</v>
      </c>
      <c r="F176" s="1099"/>
      <c r="G176" s="1105" t="s">
        <v>5089</v>
      </c>
    </row>
    <row r="177" spans="1:9" ht="3" customHeight="1">
      <c r="A177" s="1093" t="b">
        <v>1</v>
      </c>
      <c r="C177" s="1101"/>
      <c r="D177" s="1099"/>
      <c r="E177" s="1101"/>
      <c r="F177" s="1099"/>
      <c r="G177" s="1101"/>
    </row>
    <row r="178" spans="1:9" ht="12.75">
      <c r="A178" s="1093" t="b">
        <v>1</v>
      </c>
      <c r="B178" s="1093" t="s">
        <v>4944</v>
      </c>
      <c r="C178" s="1104" t="str">
        <f>C176&amp;"_light"</f>
        <v>Software_light</v>
      </c>
      <c r="D178" s="1099"/>
      <c r="E178" s="1104" t="str">
        <f>E176&amp;"_light"</f>
        <v>Relationship_light</v>
      </c>
      <c r="F178" s="1099"/>
      <c r="G178" s="1104" t="str">
        <f>G176&amp;"_light"</f>
        <v>Cycle_light</v>
      </c>
    </row>
    <row r="179" spans="1:9" ht="3" customHeight="1">
      <c r="A179" s="1093" t="b">
        <v>1</v>
      </c>
      <c r="C179" s="1101"/>
      <c r="D179" s="1099"/>
      <c r="E179" s="1101"/>
      <c r="F179" s="1099"/>
      <c r="G179" s="1101"/>
    </row>
    <row r="180" spans="1:9" ht="12.75">
      <c r="A180" s="1093" t="b">
        <v>1</v>
      </c>
      <c r="B180" s="1093" t="s">
        <v>4943</v>
      </c>
      <c r="C180" s="1103"/>
      <c r="D180" s="1099"/>
      <c r="E180" s="1103"/>
      <c r="F180" s="1099"/>
      <c r="G180" s="1103"/>
      <c r="H180" s="1097" t="s">
        <v>4939</v>
      </c>
    </row>
    <row r="181" spans="1:9" ht="3" customHeight="1">
      <c r="A181" s="1093" t="b">
        <v>1</v>
      </c>
      <c r="C181" s="1101"/>
      <c r="D181" s="1099"/>
      <c r="E181" s="1101"/>
      <c r="F181" s="1099"/>
      <c r="G181" s="1101"/>
    </row>
    <row r="182" spans="1:9" ht="12.75">
      <c r="A182" s="1093" t="b">
        <v>1</v>
      </c>
      <c r="B182" s="1093" t="s">
        <v>4938</v>
      </c>
      <c r="C182" s="1102" t="s">
        <v>1974</v>
      </c>
      <c r="D182" s="1099"/>
      <c r="E182" s="1102" t="s">
        <v>4336</v>
      </c>
      <c r="F182" s="1099"/>
      <c r="G182" s="1102" t="s">
        <v>2652</v>
      </c>
      <c r="H182" s="1097" t="s">
        <v>4937</v>
      </c>
      <c r="I182" s="1094" t="s">
        <v>4936</v>
      </c>
    </row>
    <row r="183" spans="1:9" ht="3" customHeight="1" thickBot="1">
      <c r="A183" s="1093" t="b">
        <v>1</v>
      </c>
      <c r="C183" s="1101"/>
      <c r="D183" s="1099"/>
      <c r="E183" s="1101"/>
      <c r="F183" s="1099"/>
      <c r="G183" s="1101"/>
    </row>
    <row r="184" spans="1:9" ht="13.5" thickBot="1">
      <c r="A184" s="1093" t="b">
        <v>1</v>
      </c>
      <c r="B184" s="1100" t="s">
        <v>4935</v>
      </c>
      <c r="C184" s="1098" t="b">
        <v>1</v>
      </c>
      <c r="D184" s="1099"/>
      <c r="E184" s="1098" t="b">
        <v>1</v>
      </c>
      <c r="F184" s="1099"/>
      <c r="G184" s="1098" t="b">
        <v>1</v>
      </c>
      <c r="H184" s="1097" t="s">
        <v>4934</v>
      </c>
      <c r="I184" s="1096" t="b">
        <f>IF($C172=TRUE,TRUE)</f>
        <v>1</v>
      </c>
    </row>
    <row r="185" spans="1:9" ht="3" customHeight="1">
      <c r="A185" s="1093" t="b">
        <v>1</v>
      </c>
      <c r="C185" s="1108"/>
      <c r="D185" s="1099"/>
      <c r="E185" s="1108"/>
      <c r="F185" s="1099"/>
      <c r="G185" s="1108"/>
    </row>
    <row r="186" spans="1:9" ht="12.75" hidden="1">
      <c r="A186" s="1093" t="b">
        <v>0</v>
      </c>
      <c r="B186" s="1107" t="s">
        <v>4958</v>
      </c>
      <c r="C186" s="1106" t="s">
        <v>5048</v>
      </c>
      <c r="D186" s="1099"/>
      <c r="E186" s="1106" t="s">
        <v>5047</v>
      </c>
      <c r="F186" s="1099"/>
      <c r="G186" s="1106" t="s">
        <v>5046</v>
      </c>
      <c r="H186" s="1097" t="s">
        <v>4947</v>
      </c>
    </row>
    <row r="187" spans="1:9" ht="3" hidden="1" customHeight="1">
      <c r="A187" s="1093" t="b">
        <v>0</v>
      </c>
      <c r="C187" s="1101"/>
      <c r="D187" s="1099"/>
      <c r="E187" s="1101"/>
      <c r="F187" s="1099"/>
      <c r="G187" s="1101"/>
    </row>
    <row r="188" spans="1:9" ht="12.75" hidden="1">
      <c r="A188" s="1093" t="b">
        <v>0</v>
      </c>
      <c r="B188" s="1093" t="s">
        <v>4946</v>
      </c>
      <c r="C188" s="1105" t="s">
        <v>5045</v>
      </c>
      <c r="D188" s="1099"/>
      <c r="E188" s="1105" t="s">
        <v>5044</v>
      </c>
      <c r="F188" s="1099"/>
      <c r="G188" s="1105" t="s">
        <v>5043</v>
      </c>
    </row>
    <row r="189" spans="1:9" ht="3" hidden="1" customHeight="1">
      <c r="A189" s="1093" t="b">
        <v>0</v>
      </c>
      <c r="C189" s="1101"/>
      <c r="D189" s="1099"/>
      <c r="E189" s="1101"/>
      <c r="F189" s="1099"/>
      <c r="G189" s="1101"/>
    </row>
    <row r="190" spans="1:9" ht="12.75" hidden="1">
      <c r="A190" s="1093" t="b">
        <v>0</v>
      </c>
      <c r="B190" s="1093" t="s">
        <v>4944</v>
      </c>
      <c r="C190" s="1104" t="str">
        <f>C188&amp;"_light"</f>
        <v>Money_1_light</v>
      </c>
      <c r="D190" s="1099"/>
      <c r="E190" s="1104" t="str">
        <f>E188&amp;"_light"</f>
        <v>NPS_light</v>
      </c>
      <c r="F190" s="1099"/>
      <c r="G190" s="1104" t="str">
        <f>G188&amp;"_light"</f>
        <v>Oil_1_light</v>
      </c>
    </row>
    <row r="191" spans="1:9" ht="3" hidden="1" customHeight="1">
      <c r="A191" s="1093" t="b">
        <v>0</v>
      </c>
      <c r="C191" s="1101"/>
      <c r="D191" s="1099"/>
      <c r="E191" s="1101"/>
      <c r="F191" s="1099"/>
      <c r="G191" s="1101"/>
    </row>
    <row r="192" spans="1:9" ht="12.75" hidden="1">
      <c r="A192" s="1093" t="b">
        <v>0</v>
      </c>
      <c r="B192" s="1093" t="s">
        <v>4943</v>
      </c>
      <c r="C192" s="1103" t="s">
        <v>4954</v>
      </c>
      <c r="D192" s="1099"/>
      <c r="E192" s="1103" t="s">
        <v>4953</v>
      </c>
      <c r="F192" s="1099"/>
      <c r="G192" s="1103" t="s">
        <v>4952</v>
      </c>
      <c r="H192" s="1097" t="s">
        <v>4939</v>
      </c>
    </row>
    <row r="193" spans="1:9" ht="3" hidden="1" customHeight="1">
      <c r="A193" s="1093" t="b">
        <v>0</v>
      </c>
      <c r="C193" s="1101"/>
      <c r="D193" s="1099"/>
      <c r="E193" s="1101"/>
      <c r="F193" s="1099"/>
      <c r="G193" s="1101"/>
    </row>
    <row r="194" spans="1:9" ht="12.75" hidden="1">
      <c r="A194" s="1093" t="b">
        <v>0</v>
      </c>
      <c r="B194" s="1093" t="s">
        <v>4938</v>
      </c>
      <c r="C194" s="1102"/>
      <c r="D194" s="1099"/>
      <c r="E194" s="1102"/>
      <c r="F194" s="1099"/>
      <c r="G194" s="1102"/>
      <c r="H194" s="1097" t="s">
        <v>4937</v>
      </c>
      <c r="I194" s="1094" t="s">
        <v>4936</v>
      </c>
    </row>
    <row r="195" spans="1:9" ht="3" hidden="1" customHeight="1" thickBot="1">
      <c r="A195" s="1093" t="b">
        <v>0</v>
      </c>
      <c r="C195" s="1101"/>
      <c r="D195" s="1099"/>
      <c r="E195" s="1101"/>
      <c r="F195" s="1099"/>
      <c r="G195" s="1101"/>
    </row>
    <row r="196" spans="1:9" ht="13.5" hidden="1" thickBot="1">
      <c r="A196" s="1093" t="b">
        <v>0</v>
      </c>
      <c r="B196" s="1100" t="s">
        <v>4935</v>
      </c>
      <c r="C196" s="1098" t="b">
        <v>0</v>
      </c>
      <c r="D196" s="1099"/>
      <c r="E196" s="1098" t="b">
        <v>0</v>
      </c>
      <c r="F196" s="1099"/>
      <c r="G196" s="1098" t="b">
        <v>0</v>
      </c>
      <c r="H196" s="1097" t="s">
        <v>4934</v>
      </c>
      <c r="I196" s="1096" t="b">
        <f>IF($I208=TRUE,TRUE,OR($C196,$E196,$G196))</f>
        <v>0</v>
      </c>
    </row>
    <row r="197" spans="1:9" ht="3" hidden="1" customHeight="1" thickBot="1">
      <c r="A197" s="1093" t="b">
        <v>0</v>
      </c>
      <c r="C197" s="1108"/>
      <c r="D197" s="1099"/>
      <c r="E197" s="1108"/>
      <c r="F197" s="1099"/>
      <c r="G197" s="1108"/>
    </row>
    <row r="198" spans="1:9" ht="12.75" hidden="1">
      <c r="A198" s="1093" t="b">
        <v>0</v>
      </c>
      <c r="B198" s="1107" t="s">
        <v>4951</v>
      </c>
      <c r="C198" s="1106" t="s">
        <v>5042</v>
      </c>
      <c r="D198" s="1099"/>
      <c r="E198" s="1106" t="s">
        <v>5041</v>
      </c>
      <c r="F198" s="1099"/>
      <c r="G198" s="1106" t="s">
        <v>5040</v>
      </c>
      <c r="H198" s="1097" t="s">
        <v>4947</v>
      </c>
    </row>
    <row r="199" spans="1:9" ht="3" hidden="1" customHeight="1">
      <c r="A199" s="1093" t="b">
        <v>0</v>
      </c>
      <c r="C199" s="1101"/>
      <c r="D199" s="1099"/>
      <c r="E199" s="1101"/>
      <c r="F199" s="1099"/>
      <c r="G199" s="1101"/>
    </row>
    <row r="200" spans="1:9" ht="12.75" hidden="1">
      <c r="A200" s="1093" t="b">
        <v>0</v>
      </c>
      <c r="B200" s="1093" t="s">
        <v>4946</v>
      </c>
      <c r="C200" s="1105" t="s">
        <v>4448</v>
      </c>
      <c r="D200" s="1099"/>
      <c r="E200" s="1105" t="s">
        <v>5039</v>
      </c>
      <c r="F200" s="1099"/>
      <c r="G200" s="1105" t="s">
        <v>5038</v>
      </c>
    </row>
    <row r="201" spans="1:9" ht="3" hidden="1" customHeight="1">
      <c r="A201" s="1093" t="b">
        <v>0</v>
      </c>
      <c r="C201" s="1101"/>
      <c r="D201" s="1099"/>
      <c r="E201" s="1101"/>
      <c r="F201" s="1099"/>
      <c r="G201" s="1101"/>
    </row>
    <row r="202" spans="1:9" ht="12.75" hidden="1">
      <c r="A202" s="1093" t="b">
        <v>0</v>
      </c>
      <c r="B202" s="1093" t="s">
        <v>4944</v>
      </c>
      <c r="C202" s="1104" t="str">
        <f>C200&amp;"_light"</f>
        <v>People_light</v>
      </c>
      <c r="D202" s="1099"/>
      <c r="E202" s="1104" t="str">
        <f>E200&amp;"_light"</f>
        <v>Person_1_light</v>
      </c>
      <c r="F202" s="1099"/>
      <c r="G202" s="1104" t="str">
        <f>G200&amp;"_light"</f>
        <v>Person_2_light</v>
      </c>
    </row>
    <row r="203" spans="1:9" ht="3" hidden="1" customHeight="1">
      <c r="A203" s="1093" t="b">
        <v>0</v>
      </c>
      <c r="C203" s="1101"/>
      <c r="D203" s="1099"/>
      <c r="E203" s="1101"/>
      <c r="F203" s="1099"/>
      <c r="G203" s="1101"/>
    </row>
    <row r="204" spans="1:9" ht="12.75" hidden="1">
      <c r="A204" s="1093" t="b">
        <v>0</v>
      </c>
      <c r="B204" s="1093" t="s">
        <v>4943</v>
      </c>
      <c r="C204" s="1103" t="s">
        <v>4942</v>
      </c>
      <c r="D204" s="1099"/>
      <c r="E204" s="1103" t="s">
        <v>4941</v>
      </c>
      <c r="F204" s="1099"/>
      <c r="G204" s="1103" t="s">
        <v>4940</v>
      </c>
      <c r="H204" s="1097" t="s">
        <v>4939</v>
      </c>
    </row>
    <row r="205" spans="1:9" ht="3" hidden="1" customHeight="1">
      <c r="A205" s="1093" t="b">
        <v>0</v>
      </c>
      <c r="C205" s="1101"/>
      <c r="D205" s="1099"/>
      <c r="E205" s="1101"/>
      <c r="F205" s="1099"/>
      <c r="G205" s="1101"/>
    </row>
    <row r="206" spans="1:9" ht="12.75" hidden="1">
      <c r="A206" s="1093" t="b">
        <v>0</v>
      </c>
      <c r="B206" s="1093" t="s">
        <v>4938</v>
      </c>
      <c r="C206" s="1102"/>
      <c r="D206" s="1099"/>
      <c r="E206" s="1102"/>
      <c r="F206" s="1099"/>
      <c r="G206" s="1102"/>
      <c r="H206" s="1097" t="s">
        <v>4937</v>
      </c>
      <c r="I206" s="1094" t="s">
        <v>4936</v>
      </c>
    </row>
    <row r="207" spans="1:9" ht="3" hidden="1" customHeight="1" thickBot="1">
      <c r="A207" s="1093" t="b">
        <v>0</v>
      </c>
      <c r="C207" s="1101"/>
      <c r="D207" s="1099"/>
      <c r="E207" s="1101"/>
      <c r="F207" s="1099"/>
      <c r="G207" s="1101"/>
    </row>
    <row r="208" spans="1:9" ht="13.5" hidden="1" thickBot="1">
      <c r="A208" s="1093" t="b">
        <v>0</v>
      </c>
      <c r="B208" s="1100" t="s">
        <v>4935</v>
      </c>
      <c r="C208" s="1098" t="b">
        <v>0</v>
      </c>
      <c r="D208" s="1099"/>
      <c r="E208" s="1098" t="b">
        <v>0</v>
      </c>
      <c r="F208" s="1099"/>
      <c r="G208" s="1098" t="b">
        <v>0</v>
      </c>
      <c r="H208" s="1097" t="s">
        <v>4934</v>
      </c>
      <c r="I208" s="1096" t="b">
        <f>OR($C208,$E208,$G208)</f>
        <v>0</v>
      </c>
    </row>
    <row r="209" spans="1:10" ht="18.75" customHeight="1" thickBot="1"/>
    <row r="210" spans="1:10" ht="12.75">
      <c r="A210" s="1111">
        <v>5</v>
      </c>
      <c r="B210" s="1093" t="s">
        <v>4971</v>
      </c>
      <c r="C210" s="1106" t="s">
        <v>5037</v>
      </c>
      <c r="E210" s="1093" t="s">
        <v>5036</v>
      </c>
    </row>
    <row r="211" spans="1:10" ht="3" customHeight="1" thickBot="1">
      <c r="A211" s="1093" t="b">
        <v>0</v>
      </c>
      <c r="C211" s="1101"/>
    </row>
    <row r="212" spans="1:10" ht="13.5" thickBot="1">
      <c r="B212" s="1093" t="s">
        <v>4968</v>
      </c>
      <c r="C212" s="1110" t="b">
        <f>$A210&lt;=tabCount</f>
        <v>0</v>
      </c>
      <c r="E212" s="1093" t="s">
        <v>5035</v>
      </c>
      <c r="I212" s="1109">
        <f>I224+I236+I248</f>
        <v>0</v>
      </c>
      <c r="J212" s="1094" t="s">
        <v>5034</v>
      </c>
    </row>
    <row r="213" spans="1:10" ht="3" customHeight="1">
      <c r="A213" s="1093" t="b">
        <v>0</v>
      </c>
      <c r="C213" s="1108"/>
      <c r="D213" s="1099"/>
    </row>
    <row r="214" spans="1:10" ht="12.75" hidden="1">
      <c r="A214" s="1093" t="b">
        <v>0</v>
      </c>
      <c r="B214" s="1107" t="s">
        <v>4965</v>
      </c>
      <c r="C214" s="1106" t="s">
        <v>5033</v>
      </c>
      <c r="D214" s="1099"/>
      <c r="E214" s="1106" t="s">
        <v>5032</v>
      </c>
      <c r="F214" s="1099"/>
      <c r="G214" s="1106" t="s">
        <v>5031</v>
      </c>
      <c r="H214" s="1097" t="s">
        <v>4947</v>
      </c>
    </row>
    <row r="215" spans="1:10" ht="3" hidden="1" customHeight="1">
      <c r="A215" s="1093" t="b">
        <v>0</v>
      </c>
      <c r="C215" s="1101"/>
      <c r="D215" s="1099"/>
      <c r="E215" s="1101"/>
      <c r="F215" s="1099"/>
      <c r="G215" s="1101"/>
    </row>
    <row r="216" spans="1:10" ht="12.75" hidden="1">
      <c r="A216" s="1093" t="b">
        <v>0</v>
      </c>
      <c r="B216" s="1093" t="s">
        <v>4946</v>
      </c>
      <c r="C216" s="1105" t="s">
        <v>5030</v>
      </c>
      <c r="D216" s="1099"/>
      <c r="E216" s="1105" t="s">
        <v>5029</v>
      </c>
      <c r="F216" s="1099"/>
      <c r="G216" s="1105" t="s">
        <v>5028</v>
      </c>
    </row>
    <row r="217" spans="1:10" ht="3" hidden="1" customHeight="1">
      <c r="A217" s="1093" t="b">
        <v>0</v>
      </c>
      <c r="C217" s="1101"/>
      <c r="D217" s="1099"/>
      <c r="E217" s="1101"/>
      <c r="F217" s="1099"/>
      <c r="G217" s="1101"/>
    </row>
    <row r="218" spans="1:10" ht="12.75" hidden="1">
      <c r="A218" s="1093" t="b">
        <v>0</v>
      </c>
      <c r="B218" s="1093" t="s">
        <v>4944</v>
      </c>
      <c r="C218" s="1104" t="str">
        <f>C216&amp;"_light"</f>
        <v>Person_3_light</v>
      </c>
      <c r="D218" s="1099"/>
      <c r="E218" s="1104" t="str">
        <f>E216&amp;"_light"</f>
        <v>Person_4_light</v>
      </c>
      <c r="F218" s="1099"/>
      <c r="G218" s="1104" t="str">
        <f>G216&amp;"_light"</f>
        <v>Person_Millenial_1_light</v>
      </c>
    </row>
    <row r="219" spans="1:10" ht="3" hidden="1" customHeight="1">
      <c r="A219" s="1093" t="b">
        <v>0</v>
      </c>
      <c r="C219" s="1101"/>
      <c r="D219" s="1099"/>
      <c r="E219" s="1101"/>
      <c r="F219" s="1099"/>
      <c r="G219" s="1101"/>
    </row>
    <row r="220" spans="1:10" ht="12.75" hidden="1">
      <c r="A220" s="1093" t="b">
        <v>0</v>
      </c>
      <c r="B220" s="1093" t="s">
        <v>4943</v>
      </c>
      <c r="C220" s="1103" t="s">
        <v>4961</v>
      </c>
      <c r="D220" s="1099"/>
      <c r="E220" s="1103" t="s">
        <v>4960</v>
      </c>
      <c r="F220" s="1099"/>
      <c r="G220" s="1103" t="s">
        <v>4984</v>
      </c>
      <c r="H220" s="1097" t="s">
        <v>4939</v>
      </c>
    </row>
    <row r="221" spans="1:10" ht="3" hidden="1" customHeight="1">
      <c r="A221" s="1093" t="b">
        <v>0</v>
      </c>
      <c r="C221" s="1101"/>
      <c r="D221" s="1099"/>
      <c r="E221" s="1101"/>
      <c r="F221" s="1099"/>
      <c r="G221" s="1101"/>
    </row>
    <row r="222" spans="1:10" ht="12.75" hidden="1">
      <c r="A222" s="1093" t="b">
        <v>0</v>
      </c>
      <c r="B222" s="1093" t="s">
        <v>4938</v>
      </c>
      <c r="C222" s="1102"/>
      <c r="D222" s="1099"/>
      <c r="E222" s="1102"/>
      <c r="F222" s="1099"/>
      <c r="G222" s="1102"/>
      <c r="H222" s="1097" t="s">
        <v>4937</v>
      </c>
      <c r="I222" s="1094" t="s">
        <v>4936</v>
      </c>
    </row>
    <row r="223" spans="1:10" ht="3" hidden="1" customHeight="1" thickBot="1">
      <c r="A223" s="1093" t="b">
        <v>0</v>
      </c>
      <c r="C223" s="1101"/>
      <c r="D223" s="1099"/>
      <c r="E223" s="1101"/>
      <c r="F223" s="1099"/>
      <c r="G223" s="1101"/>
    </row>
    <row r="224" spans="1:10" ht="13.5" hidden="1" thickBot="1">
      <c r="A224" s="1093" t="b">
        <v>0</v>
      </c>
      <c r="B224" s="1100" t="s">
        <v>4935</v>
      </c>
      <c r="C224" s="1098" t="b">
        <v>0</v>
      </c>
      <c r="D224" s="1099"/>
      <c r="E224" s="1098" t="b">
        <v>0</v>
      </c>
      <c r="F224" s="1099"/>
      <c r="G224" s="1098" t="b">
        <v>0</v>
      </c>
      <c r="H224" s="1097" t="s">
        <v>4934</v>
      </c>
      <c r="I224" s="1096" t="b">
        <f>IF($C212=TRUE,TRUE)</f>
        <v>0</v>
      </c>
    </row>
    <row r="225" spans="1:9" ht="3" hidden="1" customHeight="1" thickBot="1">
      <c r="A225" s="1093" t="b">
        <v>0</v>
      </c>
      <c r="C225" s="1108"/>
      <c r="D225" s="1099"/>
      <c r="E225" s="1108"/>
      <c r="F225" s="1099"/>
      <c r="G225" s="1108"/>
    </row>
    <row r="226" spans="1:9" ht="12.75" hidden="1">
      <c r="A226" s="1093" t="b">
        <v>0</v>
      </c>
      <c r="B226" s="1107" t="s">
        <v>4958</v>
      </c>
      <c r="C226" s="1106" t="s">
        <v>5027</v>
      </c>
      <c r="D226" s="1099"/>
      <c r="E226" s="1106" t="s">
        <v>5026</v>
      </c>
      <c r="F226" s="1099"/>
      <c r="G226" s="1106" t="s">
        <v>5025</v>
      </c>
      <c r="H226" s="1097" t="s">
        <v>4947</v>
      </c>
    </row>
    <row r="227" spans="1:9" ht="3" hidden="1" customHeight="1">
      <c r="A227" s="1093" t="b">
        <v>0</v>
      </c>
      <c r="C227" s="1101"/>
      <c r="D227" s="1099"/>
      <c r="E227" s="1101"/>
      <c r="F227" s="1099"/>
      <c r="G227" s="1101"/>
    </row>
    <row r="228" spans="1:9" ht="12.75" hidden="1">
      <c r="A228" s="1093" t="b">
        <v>0</v>
      </c>
      <c r="B228" s="1093" t="s">
        <v>4946</v>
      </c>
      <c r="C228" s="1105" t="s">
        <v>5024</v>
      </c>
      <c r="D228" s="1099"/>
      <c r="E228" s="1105" t="s">
        <v>5023</v>
      </c>
      <c r="F228" s="1099"/>
      <c r="G228" s="1105" t="s">
        <v>5022</v>
      </c>
    </row>
    <row r="229" spans="1:9" ht="3" hidden="1" customHeight="1">
      <c r="A229" s="1093" t="b">
        <v>0</v>
      </c>
      <c r="C229" s="1101"/>
      <c r="D229" s="1099"/>
      <c r="E229" s="1101"/>
      <c r="F229" s="1099"/>
      <c r="G229" s="1101"/>
    </row>
    <row r="230" spans="1:9" ht="12.75" hidden="1">
      <c r="A230" s="1093" t="b">
        <v>0</v>
      </c>
      <c r="B230" s="1093" t="s">
        <v>4944</v>
      </c>
      <c r="C230" s="1104" t="str">
        <f>C228&amp;"_light"</f>
        <v>PNL_light</v>
      </c>
      <c r="D230" s="1099"/>
      <c r="E230" s="1104" t="str">
        <f>E228&amp;"_light"</f>
        <v>Presentation_1_light</v>
      </c>
      <c r="F230" s="1099"/>
      <c r="G230" s="1104" t="str">
        <f>G228&amp;"_light"</f>
        <v>Process_light</v>
      </c>
    </row>
    <row r="231" spans="1:9" ht="3" hidden="1" customHeight="1">
      <c r="A231" s="1093" t="b">
        <v>0</v>
      </c>
      <c r="C231" s="1101"/>
      <c r="D231" s="1099"/>
      <c r="E231" s="1101"/>
      <c r="F231" s="1099"/>
      <c r="G231" s="1101"/>
    </row>
    <row r="232" spans="1:9" ht="12.75" hidden="1">
      <c r="A232" s="1093" t="b">
        <v>0</v>
      </c>
      <c r="B232" s="1093" t="s">
        <v>4943</v>
      </c>
      <c r="C232" s="1103" t="s">
        <v>4954</v>
      </c>
      <c r="D232" s="1099"/>
      <c r="E232" s="1103" t="s">
        <v>4953</v>
      </c>
      <c r="F232" s="1099"/>
      <c r="G232" s="1103" t="s">
        <v>4952</v>
      </c>
      <c r="H232" s="1097" t="s">
        <v>4939</v>
      </c>
    </row>
    <row r="233" spans="1:9" ht="3" hidden="1" customHeight="1">
      <c r="A233" s="1093" t="b">
        <v>0</v>
      </c>
      <c r="C233" s="1101"/>
      <c r="D233" s="1099"/>
      <c r="E233" s="1101"/>
      <c r="F233" s="1099"/>
      <c r="G233" s="1101"/>
    </row>
    <row r="234" spans="1:9" ht="12.75" hidden="1">
      <c r="A234" s="1093" t="b">
        <v>0</v>
      </c>
      <c r="B234" s="1093" t="s">
        <v>4938</v>
      </c>
      <c r="C234" s="1102"/>
      <c r="D234" s="1099"/>
      <c r="E234" s="1102"/>
      <c r="F234" s="1099"/>
      <c r="G234" s="1102"/>
      <c r="H234" s="1097" t="s">
        <v>4937</v>
      </c>
      <c r="I234" s="1094" t="s">
        <v>4936</v>
      </c>
    </row>
    <row r="235" spans="1:9" ht="3" hidden="1" customHeight="1" thickBot="1">
      <c r="A235" s="1093" t="b">
        <v>0</v>
      </c>
      <c r="C235" s="1101"/>
      <c r="D235" s="1099"/>
      <c r="E235" s="1101"/>
      <c r="F235" s="1099"/>
      <c r="G235" s="1101"/>
    </row>
    <row r="236" spans="1:9" ht="13.5" hidden="1" thickBot="1">
      <c r="A236" s="1093" t="b">
        <v>0</v>
      </c>
      <c r="B236" s="1100" t="s">
        <v>4935</v>
      </c>
      <c r="C236" s="1098" t="b">
        <v>0</v>
      </c>
      <c r="D236" s="1099"/>
      <c r="E236" s="1098" t="b">
        <v>0</v>
      </c>
      <c r="F236" s="1099"/>
      <c r="G236" s="1098" t="b">
        <v>0</v>
      </c>
      <c r="H236" s="1097" t="s">
        <v>4934</v>
      </c>
      <c r="I236" s="1096" t="b">
        <f>IF($I248=TRUE,TRUE,OR($C236,$E236,$G236))</f>
        <v>0</v>
      </c>
    </row>
    <row r="237" spans="1:9" ht="3" hidden="1" customHeight="1" thickBot="1">
      <c r="A237" s="1093" t="b">
        <v>0</v>
      </c>
      <c r="C237" s="1108"/>
      <c r="D237" s="1099"/>
      <c r="E237" s="1108"/>
      <c r="F237" s="1099"/>
      <c r="G237" s="1108"/>
    </row>
    <row r="238" spans="1:9" ht="12.75" hidden="1">
      <c r="A238" s="1093" t="b">
        <v>0</v>
      </c>
      <c r="B238" s="1107" t="s">
        <v>4951</v>
      </c>
      <c r="C238" s="1106" t="s">
        <v>5021</v>
      </c>
      <c r="D238" s="1099"/>
      <c r="E238" s="1106" t="s">
        <v>5020</v>
      </c>
      <c r="F238" s="1099"/>
      <c r="G238" s="1106" t="s">
        <v>5019</v>
      </c>
      <c r="H238" s="1097" t="s">
        <v>4947</v>
      </c>
    </row>
    <row r="239" spans="1:9" ht="3" hidden="1" customHeight="1">
      <c r="A239" s="1093" t="b">
        <v>0</v>
      </c>
      <c r="C239" s="1101"/>
      <c r="D239" s="1099"/>
      <c r="E239" s="1101"/>
      <c r="F239" s="1099"/>
      <c r="G239" s="1101"/>
    </row>
    <row r="240" spans="1:9" ht="12.75" hidden="1">
      <c r="A240" s="1093" t="b">
        <v>0</v>
      </c>
      <c r="B240" s="1093" t="s">
        <v>4946</v>
      </c>
      <c r="C240" s="1105" t="s">
        <v>5018</v>
      </c>
      <c r="D240" s="1099"/>
      <c r="E240" s="1105" t="s">
        <v>5017</v>
      </c>
      <c r="F240" s="1099"/>
      <c r="G240" s="1105" t="s">
        <v>5016</v>
      </c>
    </row>
    <row r="241" spans="1:10" ht="3" hidden="1" customHeight="1">
      <c r="A241" s="1093" t="b">
        <v>0</v>
      </c>
      <c r="C241" s="1101"/>
      <c r="D241" s="1099"/>
      <c r="E241" s="1101"/>
      <c r="F241" s="1099"/>
      <c r="G241" s="1101"/>
    </row>
    <row r="242" spans="1:10" ht="12.75" hidden="1">
      <c r="A242" s="1093" t="b">
        <v>0</v>
      </c>
      <c r="B242" s="1093" t="s">
        <v>4944</v>
      </c>
      <c r="C242" s="1104" t="str">
        <f>C240&amp;"_light"</f>
        <v>Program_1_light</v>
      </c>
      <c r="D242" s="1099"/>
      <c r="E242" s="1104" t="str">
        <f>E240&amp;"_light"</f>
        <v>Puzzle_Strategic_1_light</v>
      </c>
      <c r="F242" s="1099"/>
      <c r="G242" s="1104" t="str">
        <f>G240&amp;"_light"</f>
        <v>Questions_1_light</v>
      </c>
    </row>
    <row r="243" spans="1:10" ht="3" hidden="1" customHeight="1">
      <c r="A243" s="1093" t="b">
        <v>0</v>
      </c>
      <c r="C243" s="1101"/>
      <c r="D243" s="1099"/>
      <c r="E243" s="1101"/>
      <c r="F243" s="1099"/>
      <c r="G243" s="1101"/>
    </row>
    <row r="244" spans="1:10" ht="12.75" hidden="1">
      <c r="A244" s="1093" t="b">
        <v>0</v>
      </c>
      <c r="B244" s="1093" t="s">
        <v>4943</v>
      </c>
      <c r="C244" s="1103" t="s">
        <v>4942</v>
      </c>
      <c r="D244" s="1099"/>
      <c r="E244" s="1103" t="s">
        <v>4941</v>
      </c>
      <c r="F244" s="1099"/>
      <c r="G244" s="1103" t="s">
        <v>4940</v>
      </c>
      <c r="H244" s="1097" t="s">
        <v>4939</v>
      </c>
    </row>
    <row r="245" spans="1:10" ht="3" hidden="1" customHeight="1">
      <c r="A245" s="1093" t="b">
        <v>0</v>
      </c>
      <c r="C245" s="1101"/>
      <c r="D245" s="1099"/>
      <c r="E245" s="1101"/>
      <c r="F245" s="1099"/>
      <c r="G245" s="1101"/>
    </row>
    <row r="246" spans="1:10" ht="12.75" hidden="1">
      <c r="A246" s="1093" t="b">
        <v>0</v>
      </c>
      <c r="B246" s="1093" t="s">
        <v>4938</v>
      </c>
      <c r="C246" s="1102"/>
      <c r="D246" s="1099"/>
      <c r="E246" s="1102"/>
      <c r="F246" s="1099"/>
      <c r="G246" s="1102"/>
      <c r="H246" s="1097" t="s">
        <v>4937</v>
      </c>
      <c r="I246" s="1094" t="s">
        <v>4936</v>
      </c>
    </row>
    <row r="247" spans="1:10" ht="3" hidden="1" customHeight="1" thickBot="1">
      <c r="A247" s="1093" t="b">
        <v>0</v>
      </c>
      <c r="C247" s="1101"/>
      <c r="D247" s="1099"/>
      <c r="E247" s="1101"/>
      <c r="F247" s="1099"/>
      <c r="G247" s="1101"/>
    </row>
    <row r="248" spans="1:10" ht="13.5" hidden="1" thickBot="1">
      <c r="A248" s="1093" t="b">
        <v>0</v>
      </c>
      <c r="B248" s="1100" t="s">
        <v>4935</v>
      </c>
      <c r="C248" s="1098" t="b">
        <v>0</v>
      </c>
      <c r="D248" s="1099"/>
      <c r="E248" s="1098" t="b">
        <v>0</v>
      </c>
      <c r="F248" s="1099"/>
      <c r="G248" s="1098" t="b">
        <v>0</v>
      </c>
      <c r="H248" s="1097" t="s">
        <v>4934</v>
      </c>
      <c r="I248" s="1096" t="b">
        <f>OR($C248,$E248,$G248)</f>
        <v>0</v>
      </c>
    </row>
    <row r="249" spans="1:10" ht="18.75" customHeight="1" thickBot="1"/>
    <row r="250" spans="1:10" ht="12.75">
      <c r="A250" s="1111">
        <v>6</v>
      </c>
      <c r="B250" s="1093" t="s">
        <v>4971</v>
      </c>
      <c r="C250" s="1106" t="s">
        <v>5015</v>
      </c>
      <c r="E250" s="1093" t="s">
        <v>5014</v>
      </c>
    </row>
    <row r="251" spans="1:10" ht="3" customHeight="1" thickBot="1">
      <c r="C251" s="1101"/>
    </row>
    <row r="252" spans="1:10" ht="13.5" thickBot="1">
      <c r="B252" s="1093" t="s">
        <v>4968</v>
      </c>
      <c r="C252" s="1110" t="b">
        <f>$A250&lt;=tabCount</f>
        <v>0</v>
      </c>
      <c r="E252" s="1093" t="s">
        <v>5013</v>
      </c>
      <c r="I252" s="1109">
        <f>I264+I276+I288</f>
        <v>0</v>
      </c>
      <c r="J252" s="1094" t="s">
        <v>5012</v>
      </c>
    </row>
    <row r="253" spans="1:10" ht="3" customHeight="1">
      <c r="C253" s="1108"/>
      <c r="D253" s="1099"/>
    </row>
    <row r="254" spans="1:10" ht="12.75" hidden="1">
      <c r="A254" s="1093" t="b">
        <v>0</v>
      </c>
      <c r="B254" s="1107" t="s">
        <v>4965</v>
      </c>
      <c r="C254" s="1106" t="s">
        <v>5011</v>
      </c>
      <c r="D254" s="1099"/>
      <c r="E254" s="1106" t="s">
        <v>5010</v>
      </c>
      <c r="F254" s="1099"/>
      <c r="G254" s="1106" t="s">
        <v>5009</v>
      </c>
      <c r="H254" s="1097" t="s">
        <v>4947</v>
      </c>
    </row>
    <row r="255" spans="1:10" ht="3" hidden="1" customHeight="1">
      <c r="A255" s="1093" t="b">
        <v>0</v>
      </c>
      <c r="C255" s="1101"/>
      <c r="D255" s="1099"/>
      <c r="E255" s="1101"/>
      <c r="F255" s="1099"/>
      <c r="G255" s="1101"/>
    </row>
    <row r="256" spans="1:10" ht="12.75" hidden="1">
      <c r="A256" s="1093" t="b">
        <v>0</v>
      </c>
      <c r="B256" s="1093" t="s">
        <v>4946</v>
      </c>
      <c r="C256" s="1105" t="s">
        <v>5008</v>
      </c>
      <c r="D256" s="1099"/>
      <c r="E256" s="1105" t="s">
        <v>4083</v>
      </c>
      <c r="F256" s="1099"/>
      <c r="G256" s="1105" t="s">
        <v>5007</v>
      </c>
    </row>
    <row r="257" spans="1:9" ht="3" hidden="1" customHeight="1">
      <c r="A257" s="1093" t="b">
        <v>0</v>
      </c>
      <c r="C257" s="1101"/>
      <c r="D257" s="1099"/>
      <c r="E257" s="1101"/>
      <c r="F257" s="1099"/>
      <c r="G257" s="1101"/>
    </row>
    <row r="258" spans="1:9" ht="12.75" hidden="1">
      <c r="A258" s="1093" t="b">
        <v>0</v>
      </c>
      <c r="B258" s="1093" t="s">
        <v>4944</v>
      </c>
      <c r="C258" s="1104" t="str">
        <f>C256&amp;"_light"</f>
        <v>Quote_Feedback_1_light</v>
      </c>
      <c r="D258" s="1099"/>
      <c r="E258" s="1104" t="str">
        <f>E256&amp;"_light"</f>
        <v>Relationship_light</v>
      </c>
      <c r="F258" s="1099"/>
      <c r="G258" s="1104" t="str">
        <f>G256&amp;"_light"</f>
        <v>Report_light</v>
      </c>
    </row>
    <row r="259" spans="1:9" ht="3" hidden="1" customHeight="1">
      <c r="A259" s="1093" t="b">
        <v>0</v>
      </c>
      <c r="C259" s="1101"/>
      <c r="D259" s="1099"/>
      <c r="E259" s="1101"/>
      <c r="F259" s="1099"/>
      <c r="G259" s="1101"/>
    </row>
    <row r="260" spans="1:9" ht="12.75" hidden="1">
      <c r="A260" s="1093" t="b">
        <v>0</v>
      </c>
      <c r="B260" s="1093" t="s">
        <v>4943</v>
      </c>
      <c r="C260" s="1103" t="s">
        <v>4961</v>
      </c>
      <c r="D260" s="1099"/>
      <c r="E260" s="1103" t="s">
        <v>4960</v>
      </c>
      <c r="F260" s="1099"/>
      <c r="G260" s="1103" t="s">
        <v>4984</v>
      </c>
      <c r="H260" s="1097" t="s">
        <v>4939</v>
      </c>
    </row>
    <row r="261" spans="1:9" ht="3" hidden="1" customHeight="1">
      <c r="A261" s="1093" t="b">
        <v>0</v>
      </c>
      <c r="C261" s="1101"/>
      <c r="D261" s="1099"/>
      <c r="E261" s="1101"/>
      <c r="F261" s="1099"/>
      <c r="G261" s="1101"/>
    </row>
    <row r="262" spans="1:9" ht="12.75" hidden="1">
      <c r="A262" s="1093" t="b">
        <v>0</v>
      </c>
      <c r="B262" s="1093" t="s">
        <v>4938</v>
      </c>
      <c r="C262" s="1102"/>
      <c r="D262" s="1099"/>
      <c r="E262" s="1102"/>
      <c r="F262" s="1099"/>
      <c r="G262" s="1102"/>
      <c r="H262" s="1097" t="s">
        <v>4937</v>
      </c>
      <c r="I262" s="1094" t="s">
        <v>4936</v>
      </c>
    </row>
    <row r="263" spans="1:9" ht="3" hidden="1" customHeight="1" thickBot="1">
      <c r="A263" s="1093" t="b">
        <v>0</v>
      </c>
      <c r="C263" s="1101"/>
      <c r="D263" s="1099"/>
      <c r="E263" s="1101"/>
      <c r="F263" s="1099"/>
      <c r="G263" s="1101"/>
    </row>
    <row r="264" spans="1:9" ht="13.5" hidden="1" thickBot="1">
      <c r="A264" s="1093" t="b">
        <v>0</v>
      </c>
      <c r="B264" s="1100" t="s">
        <v>4935</v>
      </c>
      <c r="C264" s="1098" t="b">
        <v>0</v>
      </c>
      <c r="D264" s="1099"/>
      <c r="E264" s="1098" t="b">
        <v>0</v>
      </c>
      <c r="F264" s="1099"/>
      <c r="G264" s="1098" t="b">
        <v>0</v>
      </c>
      <c r="H264" s="1097" t="s">
        <v>4934</v>
      </c>
      <c r="I264" s="1096" t="b">
        <f>IF($C252=TRUE,TRUE)</f>
        <v>0</v>
      </c>
    </row>
    <row r="265" spans="1:9" ht="3" hidden="1" customHeight="1" thickBot="1">
      <c r="A265" s="1093" t="b">
        <v>0</v>
      </c>
      <c r="C265" s="1108"/>
      <c r="D265" s="1099"/>
      <c r="E265" s="1108"/>
      <c r="F265" s="1099"/>
      <c r="G265" s="1108"/>
    </row>
    <row r="266" spans="1:9" ht="12.75" hidden="1">
      <c r="A266" s="1093" t="b">
        <v>0</v>
      </c>
      <c r="B266" s="1107" t="s">
        <v>4958</v>
      </c>
      <c r="C266" s="1106" t="s">
        <v>5006</v>
      </c>
      <c r="D266" s="1099"/>
      <c r="E266" s="1106" t="s">
        <v>5005</v>
      </c>
      <c r="F266" s="1099"/>
      <c r="G266" s="1106" t="s">
        <v>5004</v>
      </c>
      <c r="H266" s="1097" t="s">
        <v>4947</v>
      </c>
    </row>
    <row r="267" spans="1:9" ht="3" hidden="1" customHeight="1">
      <c r="A267" s="1093" t="b">
        <v>0</v>
      </c>
      <c r="C267" s="1101"/>
      <c r="D267" s="1099"/>
      <c r="E267" s="1101"/>
      <c r="F267" s="1099"/>
      <c r="G267" s="1101"/>
    </row>
    <row r="268" spans="1:9" ht="12.75" hidden="1">
      <c r="A268" s="1093" t="b">
        <v>0</v>
      </c>
      <c r="B268" s="1093" t="s">
        <v>4946</v>
      </c>
      <c r="C268" s="1105" t="s">
        <v>5003</v>
      </c>
      <c r="D268" s="1099"/>
      <c r="E268" s="1105" t="s">
        <v>5002</v>
      </c>
      <c r="F268" s="1099"/>
      <c r="G268" s="1105" t="s">
        <v>5001</v>
      </c>
    </row>
    <row r="269" spans="1:9" ht="3" hidden="1" customHeight="1">
      <c r="A269" s="1093" t="b">
        <v>0</v>
      </c>
      <c r="C269" s="1101"/>
      <c r="D269" s="1099"/>
      <c r="E269" s="1101"/>
      <c r="F269" s="1099"/>
      <c r="G269" s="1101"/>
    </row>
    <row r="270" spans="1:9" ht="12.75" hidden="1">
      <c r="A270" s="1093" t="b">
        <v>0</v>
      </c>
      <c r="B270" s="1093" t="s">
        <v>4944</v>
      </c>
      <c r="C270" s="1104" t="str">
        <f>C268&amp;"_light"</f>
        <v>Research_1_light</v>
      </c>
      <c r="D270" s="1099"/>
      <c r="E270" s="1104" t="str">
        <f>E268&amp;"_light"</f>
        <v>Research_2_light</v>
      </c>
      <c r="F270" s="1099"/>
      <c r="G270" s="1104" t="str">
        <f>G268&amp;"_light"</f>
        <v>Security_1_light</v>
      </c>
    </row>
    <row r="271" spans="1:9" ht="3" hidden="1" customHeight="1">
      <c r="A271" s="1093" t="b">
        <v>0</v>
      </c>
      <c r="C271" s="1101"/>
      <c r="D271" s="1099"/>
      <c r="E271" s="1101"/>
      <c r="F271" s="1099"/>
      <c r="G271" s="1101"/>
    </row>
    <row r="272" spans="1:9" ht="12.75" hidden="1">
      <c r="A272" s="1093" t="b">
        <v>0</v>
      </c>
      <c r="B272" s="1093" t="s">
        <v>4943</v>
      </c>
      <c r="C272" s="1103" t="s">
        <v>4954</v>
      </c>
      <c r="D272" s="1099"/>
      <c r="E272" s="1103" t="s">
        <v>4953</v>
      </c>
      <c r="F272" s="1099"/>
      <c r="G272" s="1103" t="s">
        <v>4952</v>
      </c>
      <c r="H272" s="1097" t="s">
        <v>4939</v>
      </c>
    </row>
    <row r="273" spans="1:9" ht="3" hidden="1" customHeight="1">
      <c r="A273" s="1093" t="b">
        <v>0</v>
      </c>
      <c r="C273" s="1101"/>
      <c r="D273" s="1099"/>
      <c r="E273" s="1101"/>
      <c r="F273" s="1099"/>
      <c r="G273" s="1101"/>
    </row>
    <row r="274" spans="1:9" ht="12.75" hidden="1">
      <c r="A274" s="1093" t="b">
        <v>0</v>
      </c>
      <c r="B274" s="1093" t="s">
        <v>4938</v>
      </c>
      <c r="C274" s="1102"/>
      <c r="D274" s="1099"/>
      <c r="E274" s="1102"/>
      <c r="F274" s="1099"/>
      <c r="G274" s="1102"/>
      <c r="H274" s="1097" t="s">
        <v>4937</v>
      </c>
      <c r="I274" s="1094" t="s">
        <v>4936</v>
      </c>
    </row>
    <row r="275" spans="1:9" ht="3" hidden="1" customHeight="1" thickBot="1">
      <c r="A275" s="1093" t="b">
        <v>0</v>
      </c>
      <c r="C275" s="1101"/>
      <c r="D275" s="1099"/>
      <c r="E275" s="1101"/>
      <c r="F275" s="1099"/>
      <c r="G275" s="1101"/>
    </row>
    <row r="276" spans="1:9" ht="13.5" hidden="1" thickBot="1">
      <c r="A276" s="1093" t="b">
        <v>0</v>
      </c>
      <c r="B276" s="1100" t="s">
        <v>4935</v>
      </c>
      <c r="C276" s="1098" t="b">
        <v>0</v>
      </c>
      <c r="D276" s="1099"/>
      <c r="E276" s="1098" t="b">
        <v>0</v>
      </c>
      <c r="F276" s="1099"/>
      <c r="G276" s="1098" t="b">
        <v>0</v>
      </c>
      <c r="H276" s="1097" t="s">
        <v>4934</v>
      </c>
      <c r="I276" s="1096" t="b">
        <f>IF($I288=TRUE,TRUE,OR($C276,$E276,$G276))</f>
        <v>0</v>
      </c>
    </row>
    <row r="277" spans="1:9" ht="3" hidden="1" customHeight="1" thickBot="1">
      <c r="A277" s="1093" t="b">
        <v>0</v>
      </c>
      <c r="C277" s="1108"/>
      <c r="D277" s="1099"/>
      <c r="E277" s="1108"/>
      <c r="F277" s="1099"/>
      <c r="G277" s="1108"/>
    </row>
    <row r="278" spans="1:9" ht="12.75" hidden="1">
      <c r="A278" s="1093" t="b">
        <v>0</v>
      </c>
      <c r="B278" s="1107" t="s">
        <v>4951</v>
      </c>
      <c r="C278" s="1106" t="s">
        <v>5000</v>
      </c>
      <c r="D278" s="1099"/>
      <c r="E278" s="1106" t="s">
        <v>4999</v>
      </c>
      <c r="F278" s="1099"/>
      <c r="G278" s="1106" t="s">
        <v>4998</v>
      </c>
      <c r="H278" s="1097" t="s">
        <v>4947</v>
      </c>
    </row>
    <row r="279" spans="1:9" ht="3" hidden="1" customHeight="1">
      <c r="A279" s="1093" t="b">
        <v>0</v>
      </c>
      <c r="C279" s="1101"/>
      <c r="D279" s="1099"/>
      <c r="E279" s="1101"/>
      <c r="F279" s="1099"/>
      <c r="G279" s="1101"/>
    </row>
    <row r="280" spans="1:9" ht="12.75" hidden="1">
      <c r="A280" s="1093" t="b">
        <v>0</v>
      </c>
      <c r="B280" s="1093" t="s">
        <v>4946</v>
      </c>
      <c r="C280" s="1105" t="s">
        <v>4997</v>
      </c>
      <c r="D280" s="1099"/>
      <c r="E280" s="1105" t="s">
        <v>4996</v>
      </c>
      <c r="F280" s="1099"/>
      <c r="G280" s="1105" t="s">
        <v>4995</v>
      </c>
    </row>
    <row r="281" spans="1:9" ht="3" hidden="1" customHeight="1">
      <c r="A281" s="1093" t="b">
        <v>0</v>
      </c>
      <c r="C281" s="1101"/>
      <c r="D281" s="1099"/>
      <c r="E281" s="1101"/>
      <c r="F281" s="1099"/>
      <c r="G281" s="1101"/>
    </row>
    <row r="282" spans="1:9" ht="12.75" hidden="1">
      <c r="A282" s="1093" t="b">
        <v>0</v>
      </c>
      <c r="B282" s="1093" t="s">
        <v>4944</v>
      </c>
      <c r="C282" s="1104" t="str">
        <f>C280&amp;"_light"</f>
        <v>Service_light</v>
      </c>
      <c r="D282" s="1099"/>
      <c r="E282" s="1104" t="str">
        <f>E280&amp;"_light"</f>
        <v>Strength_1_light</v>
      </c>
      <c r="F282" s="1099"/>
      <c r="G282" s="1104" t="str">
        <f>G280&amp;"_light"</f>
        <v>Take_Action_1_light</v>
      </c>
    </row>
    <row r="283" spans="1:9" ht="3" hidden="1" customHeight="1">
      <c r="A283" s="1093" t="b">
        <v>0</v>
      </c>
      <c r="C283" s="1101"/>
      <c r="D283" s="1099"/>
      <c r="E283" s="1101"/>
      <c r="F283" s="1099"/>
      <c r="G283" s="1101"/>
    </row>
    <row r="284" spans="1:9" ht="12.75" hidden="1">
      <c r="A284" s="1093" t="b">
        <v>0</v>
      </c>
      <c r="B284" s="1093" t="s">
        <v>4943</v>
      </c>
      <c r="C284" s="1103" t="s">
        <v>4942</v>
      </c>
      <c r="D284" s="1099"/>
      <c r="E284" s="1103" t="s">
        <v>4941</v>
      </c>
      <c r="F284" s="1099"/>
      <c r="G284" s="1103" t="s">
        <v>4940</v>
      </c>
      <c r="H284" s="1097" t="s">
        <v>4939</v>
      </c>
    </row>
    <row r="285" spans="1:9" ht="3" hidden="1" customHeight="1">
      <c r="A285" s="1093" t="b">
        <v>0</v>
      </c>
      <c r="C285" s="1101"/>
      <c r="D285" s="1099"/>
      <c r="E285" s="1101"/>
      <c r="F285" s="1099"/>
      <c r="G285" s="1101"/>
    </row>
    <row r="286" spans="1:9" ht="12.75" hidden="1">
      <c r="A286" s="1093" t="b">
        <v>0</v>
      </c>
      <c r="B286" s="1093" t="s">
        <v>4938</v>
      </c>
      <c r="C286" s="1102"/>
      <c r="D286" s="1099"/>
      <c r="E286" s="1102"/>
      <c r="F286" s="1099"/>
      <c r="G286" s="1102"/>
      <c r="H286" s="1097" t="s">
        <v>4937</v>
      </c>
      <c r="I286" s="1094" t="s">
        <v>4936</v>
      </c>
    </row>
    <row r="287" spans="1:9" ht="3" hidden="1" customHeight="1" thickBot="1">
      <c r="A287" s="1093" t="b">
        <v>0</v>
      </c>
      <c r="C287" s="1101"/>
      <c r="D287" s="1099"/>
      <c r="E287" s="1101"/>
      <c r="F287" s="1099"/>
      <c r="G287" s="1101"/>
    </row>
    <row r="288" spans="1:9" ht="13.5" hidden="1" thickBot="1">
      <c r="A288" s="1093" t="b">
        <v>0</v>
      </c>
      <c r="B288" s="1100" t="s">
        <v>4935</v>
      </c>
      <c r="C288" s="1098" t="b">
        <v>0</v>
      </c>
      <c r="D288" s="1099"/>
      <c r="E288" s="1098" t="b">
        <v>0</v>
      </c>
      <c r="F288" s="1099"/>
      <c r="G288" s="1098" t="b">
        <v>0</v>
      </c>
      <c r="H288" s="1097" t="s">
        <v>4934</v>
      </c>
      <c r="I288" s="1096" t="b">
        <f>OR($C288,$E288,$G288)</f>
        <v>0</v>
      </c>
    </row>
    <row r="289" spans="1:10" ht="18.75" customHeight="1" thickBot="1"/>
    <row r="290" spans="1:10" ht="12.75">
      <c r="A290" s="1111">
        <v>7</v>
      </c>
      <c r="B290" s="1093" t="s">
        <v>4971</v>
      </c>
      <c r="C290" s="1106" t="s">
        <v>4994</v>
      </c>
      <c r="E290" s="1093" t="s">
        <v>4993</v>
      </c>
    </row>
    <row r="291" spans="1:10" ht="3" customHeight="1" thickBot="1">
      <c r="A291" s="1093" t="b">
        <v>0</v>
      </c>
      <c r="C291" s="1101"/>
    </row>
    <row r="292" spans="1:10" ht="13.5" thickBot="1">
      <c r="B292" s="1093" t="s">
        <v>4968</v>
      </c>
      <c r="C292" s="1110" t="b">
        <f>$A290&lt;=tabCount</f>
        <v>0</v>
      </c>
      <c r="E292" s="1093" t="s">
        <v>4992</v>
      </c>
      <c r="I292" s="1109">
        <f>I304+I316+I328</f>
        <v>0</v>
      </c>
      <c r="J292" s="1094" t="s">
        <v>4991</v>
      </c>
    </row>
    <row r="293" spans="1:10" ht="3" customHeight="1">
      <c r="A293" s="1093" t="b">
        <v>0</v>
      </c>
      <c r="C293" s="1108"/>
      <c r="D293" s="1099"/>
    </row>
    <row r="294" spans="1:10" ht="12.75" hidden="1">
      <c r="A294" s="1093" t="b">
        <v>0</v>
      </c>
      <c r="B294" s="1107" t="s">
        <v>4965</v>
      </c>
      <c r="C294" s="1106" t="s">
        <v>4990</v>
      </c>
      <c r="D294" s="1099"/>
      <c r="E294" s="1106" t="s">
        <v>4989</v>
      </c>
      <c r="F294" s="1099"/>
      <c r="G294" s="1106" t="s">
        <v>4988</v>
      </c>
      <c r="H294" s="1097" t="s">
        <v>4947</v>
      </c>
    </row>
    <row r="295" spans="1:10" ht="3" hidden="1" customHeight="1">
      <c r="A295" s="1093" t="b">
        <v>0</v>
      </c>
      <c r="C295" s="1101"/>
      <c r="D295" s="1099"/>
      <c r="E295" s="1101"/>
      <c r="F295" s="1099"/>
      <c r="G295" s="1101"/>
    </row>
    <row r="296" spans="1:10" ht="12.75" hidden="1">
      <c r="A296" s="1093" t="b">
        <v>0</v>
      </c>
      <c r="B296" s="1093" t="s">
        <v>4946</v>
      </c>
      <c r="C296" s="1105" t="s">
        <v>4987</v>
      </c>
      <c r="D296" s="1099"/>
      <c r="E296" s="1105" t="s">
        <v>4986</v>
      </c>
      <c r="F296" s="1099"/>
      <c r="G296" s="1105" t="s">
        <v>4985</v>
      </c>
    </row>
    <row r="297" spans="1:10" ht="3" hidden="1" customHeight="1">
      <c r="A297" s="1093" t="b">
        <v>0</v>
      </c>
      <c r="C297" s="1101"/>
      <c r="D297" s="1099"/>
      <c r="E297" s="1101"/>
      <c r="F297" s="1099"/>
      <c r="G297" s="1101"/>
    </row>
    <row r="298" spans="1:10" ht="12.75" hidden="1">
      <c r="A298" s="1093" t="b">
        <v>0</v>
      </c>
      <c r="B298" s="1093" t="s">
        <v>4944</v>
      </c>
      <c r="C298" s="1104" t="str">
        <f>C296&amp;"_light"</f>
        <v>Tasks_1_light</v>
      </c>
      <c r="D298" s="1099"/>
      <c r="E298" s="1104" t="str">
        <f>E296&amp;"_light"</f>
        <v>Team_1_light</v>
      </c>
      <c r="F298" s="1099"/>
      <c r="G298" s="1104" t="str">
        <f>G296&amp;"_light"</f>
        <v>Team_2_light</v>
      </c>
    </row>
    <row r="299" spans="1:10" ht="3" hidden="1" customHeight="1">
      <c r="A299" s="1093" t="b">
        <v>0</v>
      </c>
      <c r="C299" s="1101"/>
      <c r="D299" s="1099"/>
      <c r="E299" s="1101"/>
      <c r="F299" s="1099"/>
      <c r="G299" s="1101"/>
    </row>
    <row r="300" spans="1:10" ht="12.75" hidden="1">
      <c r="A300" s="1093" t="b">
        <v>0</v>
      </c>
      <c r="B300" s="1093" t="s">
        <v>4943</v>
      </c>
      <c r="C300" s="1103" t="s">
        <v>4961</v>
      </c>
      <c r="D300" s="1099"/>
      <c r="E300" s="1103" t="s">
        <v>4960</v>
      </c>
      <c r="F300" s="1099"/>
      <c r="G300" s="1103" t="s">
        <v>4984</v>
      </c>
      <c r="H300" s="1097" t="s">
        <v>4939</v>
      </c>
    </row>
    <row r="301" spans="1:10" ht="3" hidden="1" customHeight="1">
      <c r="A301" s="1093" t="b">
        <v>0</v>
      </c>
      <c r="C301" s="1101"/>
      <c r="D301" s="1099"/>
      <c r="E301" s="1101"/>
      <c r="F301" s="1099"/>
      <c r="G301" s="1101"/>
    </row>
    <row r="302" spans="1:10" ht="12.75" hidden="1">
      <c r="A302" s="1093" t="b">
        <v>0</v>
      </c>
      <c r="B302" s="1093" t="s">
        <v>4938</v>
      </c>
      <c r="C302" s="1102"/>
      <c r="D302" s="1099"/>
      <c r="E302" s="1102"/>
      <c r="F302" s="1099"/>
      <c r="G302" s="1102"/>
      <c r="H302" s="1097" t="s">
        <v>4937</v>
      </c>
      <c r="I302" s="1094" t="s">
        <v>4936</v>
      </c>
    </row>
    <row r="303" spans="1:10" ht="3" hidden="1" customHeight="1" thickBot="1">
      <c r="A303" s="1093" t="b">
        <v>0</v>
      </c>
      <c r="C303" s="1101"/>
      <c r="D303" s="1099"/>
      <c r="E303" s="1101"/>
      <c r="F303" s="1099"/>
      <c r="G303" s="1101"/>
    </row>
    <row r="304" spans="1:10" ht="13.5" hidden="1" thickBot="1">
      <c r="A304" s="1093" t="b">
        <v>0</v>
      </c>
      <c r="B304" s="1100" t="s">
        <v>4935</v>
      </c>
      <c r="C304" s="1098" t="b">
        <v>0</v>
      </c>
      <c r="D304" s="1099"/>
      <c r="E304" s="1098" t="b">
        <v>0</v>
      </c>
      <c r="F304" s="1099"/>
      <c r="G304" s="1098" t="b">
        <v>0</v>
      </c>
      <c r="H304" s="1097" t="s">
        <v>4934</v>
      </c>
      <c r="I304" s="1096" t="b">
        <f>IF($C292=TRUE,TRUE)</f>
        <v>0</v>
      </c>
    </row>
    <row r="305" spans="1:9" ht="3" hidden="1" customHeight="1" thickBot="1">
      <c r="A305" s="1093" t="b">
        <v>0</v>
      </c>
      <c r="C305" s="1108"/>
      <c r="D305" s="1099"/>
      <c r="E305" s="1108"/>
      <c r="F305" s="1099"/>
      <c r="G305" s="1108"/>
    </row>
    <row r="306" spans="1:9" ht="12.75" hidden="1">
      <c r="A306" s="1093" t="b">
        <v>0</v>
      </c>
      <c r="B306" s="1107" t="s">
        <v>4958</v>
      </c>
      <c r="C306" s="1106" t="s">
        <v>4983</v>
      </c>
      <c r="D306" s="1099"/>
      <c r="E306" s="1106" t="s">
        <v>4982</v>
      </c>
      <c r="F306" s="1099"/>
      <c r="G306" s="1106" t="s">
        <v>4981</v>
      </c>
      <c r="H306" s="1097" t="s">
        <v>4947</v>
      </c>
    </row>
    <row r="307" spans="1:9" ht="3" hidden="1" customHeight="1">
      <c r="A307" s="1093" t="b">
        <v>0</v>
      </c>
      <c r="C307" s="1101"/>
      <c r="D307" s="1099"/>
      <c r="E307" s="1101"/>
      <c r="F307" s="1099"/>
      <c r="G307" s="1101"/>
    </row>
    <row r="308" spans="1:9" ht="12.75" hidden="1">
      <c r="A308" s="1093" t="b">
        <v>0</v>
      </c>
      <c r="B308" s="1093" t="s">
        <v>4946</v>
      </c>
      <c r="C308" s="1105" t="s">
        <v>4980</v>
      </c>
      <c r="D308" s="1099"/>
      <c r="E308" s="1105" t="s">
        <v>4979</v>
      </c>
      <c r="F308" s="1099"/>
      <c r="G308" s="1105" t="s">
        <v>4978</v>
      </c>
    </row>
    <row r="309" spans="1:9" ht="3" hidden="1" customHeight="1">
      <c r="A309" s="1093" t="b">
        <v>0</v>
      </c>
      <c r="C309" s="1101"/>
      <c r="D309" s="1099"/>
      <c r="E309" s="1101"/>
      <c r="F309" s="1099"/>
      <c r="G309" s="1101"/>
    </row>
    <row r="310" spans="1:9" ht="12.75" hidden="1">
      <c r="A310" s="1093" t="b">
        <v>0</v>
      </c>
      <c r="B310" s="1093" t="s">
        <v>4944</v>
      </c>
      <c r="C310" s="1104" t="str">
        <f>C308&amp;"_light"</f>
        <v>Team_3_light</v>
      </c>
      <c r="D310" s="1099"/>
      <c r="E310" s="1104" t="str">
        <f>E308&amp;"_light"</f>
        <v>Team_Growth_1_light</v>
      </c>
      <c r="F310" s="1099"/>
      <c r="G310" s="1104" t="str">
        <f>G308&amp;"_light"</f>
        <v>Time_Speed_1_light</v>
      </c>
    </row>
    <row r="311" spans="1:9" ht="3" hidden="1" customHeight="1">
      <c r="A311" s="1093" t="b">
        <v>0</v>
      </c>
      <c r="C311" s="1101"/>
      <c r="D311" s="1099"/>
      <c r="E311" s="1101"/>
      <c r="F311" s="1099"/>
      <c r="G311" s="1101"/>
    </row>
    <row r="312" spans="1:9" ht="12.75" hidden="1">
      <c r="A312" s="1093" t="b">
        <v>0</v>
      </c>
      <c r="B312" s="1093" t="s">
        <v>4943</v>
      </c>
      <c r="C312" s="1103" t="s">
        <v>4954</v>
      </c>
      <c r="D312" s="1099"/>
      <c r="E312" s="1103" t="s">
        <v>4953</v>
      </c>
      <c r="F312" s="1099"/>
      <c r="G312" s="1103" t="s">
        <v>4952</v>
      </c>
      <c r="H312" s="1097" t="s">
        <v>4939</v>
      </c>
    </row>
    <row r="313" spans="1:9" ht="3" hidden="1" customHeight="1">
      <c r="A313" s="1093" t="b">
        <v>0</v>
      </c>
      <c r="C313" s="1101"/>
      <c r="D313" s="1099"/>
      <c r="E313" s="1101"/>
      <c r="F313" s="1099"/>
      <c r="G313" s="1101"/>
    </row>
    <row r="314" spans="1:9" ht="12.75" hidden="1">
      <c r="A314" s="1093" t="b">
        <v>0</v>
      </c>
      <c r="B314" s="1093" t="s">
        <v>4938</v>
      </c>
      <c r="C314" s="1102"/>
      <c r="D314" s="1099"/>
      <c r="E314" s="1102"/>
      <c r="F314" s="1099"/>
      <c r="G314" s="1102"/>
      <c r="H314" s="1097" t="s">
        <v>4937</v>
      </c>
      <c r="I314" s="1094" t="s">
        <v>4936</v>
      </c>
    </row>
    <row r="315" spans="1:9" ht="3" hidden="1" customHeight="1" thickBot="1">
      <c r="A315" s="1093" t="b">
        <v>0</v>
      </c>
      <c r="C315" s="1101"/>
      <c r="D315" s="1099"/>
      <c r="E315" s="1101"/>
      <c r="F315" s="1099"/>
      <c r="G315" s="1101"/>
    </row>
    <row r="316" spans="1:9" ht="13.5" hidden="1" thickBot="1">
      <c r="A316" s="1093" t="b">
        <v>0</v>
      </c>
      <c r="B316" s="1100" t="s">
        <v>4935</v>
      </c>
      <c r="C316" s="1098" t="b">
        <v>0</v>
      </c>
      <c r="D316" s="1099"/>
      <c r="E316" s="1098" t="b">
        <v>0</v>
      </c>
      <c r="F316" s="1099"/>
      <c r="G316" s="1098" t="b">
        <v>0</v>
      </c>
      <c r="H316" s="1097" t="s">
        <v>4934</v>
      </c>
      <c r="I316" s="1096" t="b">
        <f>IF($I328=TRUE,TRUE,OR($C316,$E316,$G316))</f>
        <v>0</v>
      </c>
    </row>
    <row r="317" spans="1:9" ht="3" hidden="1" customHeight="1" thickBot="1">
      <c r="A317" s="1093" t="b">
        <v>0</v>
      </c>
      <c r="C317" s="1108"/>
      <c r="D317" s="1099"/>
      <c r="E317" s="1108"/>
      <c r="F317" s="1099"/>
      <c r="G317" s="1108"/>
    </row>
    <row r="318" spans="1:9" ht="12.75" hidden="1">
      <c r="A318" s="1093" t="b">
        <v>0</v>
      </c>
      <c r="B318" s="1107" t="s">
        <v>4951</v>
      </c>
      <c r="C318" s="1106" t="s">
        <v>4977</v>
      </c>
      <c r="D318" s="1099"/>
      <c r="E318" s="1106" t="s">
        <v>4976</v>
      </c>
      <c r="F318" s="1099"/>
      <c r="G318" s="1106" t="s">
        <v>4975</v>
      </c>
      <c r="H318" s="1097" t="s">
        <v>4947</v>
      </c>
    </row>
    <row r="319" spans="1:9" ht="3" hidden="1" customHeight="1">
      <c r="A319" s="1093" t="b">
        <v>0</v>
      </c>
      <c r="C319" s="1101"/>
      <c r="D319" s="1099"/>
      <c r="E319" s="1101"/>
      <c r="F319" s="1099"/>
      <c r="G319" s="1101"/>
    </row>
    <row r="320" spans="1:9" ht="12.75" hidden="1">
      <c r="A320" s="1093" t="b">
        <v>0</v>
      </c>
      <c r="B320" s="1093" t="s">
        <v>4946</v>
      </c>
      <c r="C320" s="1105" t="s">
        <v>4974</v>
      </c>
      <c r="D320" s="1099"/>
      <c r="E320" s="1105" t="s">
        <v>4973</v>
      </c>
      <c r="F320" s="1099"/>
      <c r="G320" s="1105" t="s">
        <v>4972</v>
      </c>
    </row>
    <row r="321" spans="1:10" ht="3" hidden="1" customHeight="1">
      <c r="A321" s="1093" t="b">
        <v>0</v>
      </c>
      <c r="C321" s="1101"/>
      <c r="D321" s="1099"/>
      <c r="E321" s="1101"/>
      <c r="F321" s="1099"/>
      <c r="G321" s="1101"/>
    </row>
    <row r="322" spans="1:10" ht="12.75" hidden="1">
      <c r="A322" s="1093" t="b">
        <v>0</v>
      </c>
      <c r="B322" s="1093" t="s">
        <v>4944</v>
      </c>
      <c r="C322" s="1104" t="str">
        <f>C320&amp;"_light"</f>
        <v>Tools_1_light</v>
      </c>
      <c r="D322" s="1099"/>
      <c r="E322" s="1104" t="str">
        <f>E320&amp;"_light"</f>
        <v>Tools_2_light</v>
      </c>
      <c r="F322" s="1099"/>
      <c r="G322" s="1104" t="str">
        <f>G320&amp;"_light"</f>
        <v>Vision_1_light</v>
      </c>
    </row>
    <row r="323" spans="1:10" ht="3" hidden="1" customHeight="1">
      <c r="A323" s="1093" t="b">
        <v>0</v>
      </c>
      <c r="C323" s="1101"/>
      <c r="D323" s="1099"/>
      <c r="E323" s="1101"/>
      <c r="F323" s="1099"/>
      <c r="G323" s="1101"/>
    </row>
    <row r="324" spans="1:10" ht="12.75" hidden="1">
      <c r="A324" s="1093" t="b">
        <v>0</v>
      </c>
      <c r="B324" s="1093" t="s">
        <v>4943</v>
      </c>
      <c r="C324" s="1103" t="s">
        <v>4942</v>
      </c>
      <c r="D324" s="1099"/>
      <c r="E324" s="1103" t="s">
        <v>4941</v>
      </c>
      <c r="F324" s="1099"/>
      <c r="G324" s="1103" t="s">
        <v>4940</v>
      </c>
      <c r="H324" s="1097" t="s">
        <v>4939</v>
      </c>
    </row>
    <row r="325" spans="1:10" ht="3" hidden="1" customHeight="1">
      <c r="A325" s="1093" t="b">
        <v>0</v>
      </c>
      <c r="C325" s="1101"/>
      <c r="D325" s="1099"/>
      <c r="E325" s="1101"/>
      <c r="F325" s="1099"/>
      <c r="G325" s="1101"/>
    </row>
    <row r="326" spans="1:10" ht="12.75" hidden="1">
      <c r="A326" s="1093" t="b">
        <v>0</v>
      </c>
      <c r="B326" s="1093" t="s">
        <v>4938</v>
      </c>
      <c r="C326" s="1102"/>
      <c r="D326" s="1099"/>
      <c r="E326" s="1102"/>
      <c r="F326" s="1099"/>
      <c r="G326" s="1102"/>
      <c r="H326" s="1097" t="s">
        <v>4937</v>
      </c>
      <c r="I326" s="1094" t="s">
        <v>4936</v>
      </c>
    </row>
    <row r="327" spans="1:10" ht="3" hidden="1" customHeight="1" thickBot="1">
      <c r="A327" s="1093" t="b">
        <v>0</v>
      </c>
      <c r="C327" s="1101"/>
      <c r="D327" s="1099"/>
      <c r="E327" s="1101"/>
      <c r="F327" s="1099"/>
      <c r="G327" s="1101"/>
    </row>
    <row r="328" spans="1:10" ht="13.5" hidden="1" thickBot="1">
      <c r="A328" s="1093" t="b">
        <v>0</v>
      </c>
      <c r="B328" s="1100" t="s">
        <v>4935</v>
      </c>
      <c r="C328" s="1098" t="b">
        <v>0</v>
      </c>
      <c r="D328" s="1099"/>
      <c r="E328" s="1098" t="b">
        <v>0</v>
      </c>
      <c r="F328" s="1099"/>
      <c r="G328" s="1098" t="b">
        <v>0</v>
      </c>
      <c r="H328" s="1097" t="s">
        <v>4934</v>
      </c>
      <c r="I328" s="1096" t="b">
        <f>OR($C328,$E328,$G328)</f>
        <v>0</v>
      </c>
    </row>
    <row r="329" spans="1:10" ht="18.75" customHeight="1" thickBot="1"/>
    <row r="330" spans="1:10" ht="12.75">
      <c r="A330" s="1111">
        <v>8</v>
      </c>
      <c r="B330" s="1093" t="s">
        <v>4971</v>
      </c>
      <c r="C330" s="1106" t="s">
        <v>4970</v>
      </c>
      <c r="E330" s="1093" t="s">
        <v>4969</v>
      </c>
    </row>
    <row r="331" spans="1:10" ht="3" customHeight="1" thickBot="1">
      <c r="A331" s="1093" t="b">
        <v>0</v>
      </c>
      <c r="C331" s="1101"/>
    </row>
    <row r="332" spans="1:10" ht="13.5" thickBot="1">
      <c r="B332" s="1093" t="s">
        <v>4968</v>
      </c>
      <c r="C332" s="1110" t="b">
        <f>$A330&lt;=tabCount</f>
        <v>0</v>
      </c>
      <c r="E332" s="1093" t="s">
        <v>4967</v>
      </c>
      <c r="I332" s="1109">
        <f>I344+I356+I368</f>
        <v>0</v>
      </c>
      <c r="J332" s="1094" t="s">
        <v>4966</v>
      </c>
    </row>
    <row r="333" spans="1:10" ht="3" customHeight="1">
      <c r="A333" s="1093" t="b">
        <v>0</v>
      </c>
      <c r="C333" s="1108"/>
      <c r="D333" s="1099"/>
    </row>
    <row r="334" spans="1:10" ht="12.75" hidden="1">
      <c r="A334" s="1093" t="b">
        <v>0</v>
      </c>
      <c r="B334" s="1107" t="s">
        <v>4965</v>
      </c>
      <c r="C334" s="1106" t="s">
        <v>4964</v>
      </c>
      <c r="D334" s="1099"/>
      <c r="E334" s="1106" t="s">
        <v>4963</v>
      </c>
      <c r="F334" s="1099"/>
      <c r="G334" s="1106" t="s">
        <v>4962</v>
      </c>
      <c r="H334" s="1097" t="s">
        <v>4947</v>
      </c>
    </row>
    <row r="335" spans="1:10" ht="3" hidden="1" customHeight="1">
      <c r="A335" s="1093" t="b">
        <v>0</v>
      </c>
      <c r="C335" s="1101"/>
      <c r="D335" s="1099"/>
      <c r="E335" s="1101"/>
      <c r="F335" s="1099"/>
      <c r="G335" s="1101"/>
    </row>
    <row r="336" spans="1:10" ht="12.75" hidden="1">
      <c r="A336" s="1093" t="b">
        <v>0</v>
      </c>
      <c r="B336" s="1093" t="s">
        <v>4946</v>
      </c>
      <c r="C336" s="1105" t="s">
        <v>4945</v>
      </c>
      <c r="D336" s="1099"/>
      <c r="E336" s="1105" t="s">
        <v>4945</v>
      </c>
      <c r="F336" s="1099"/>
      <c r="G336" s="1105" t="s">
        <v>4945</v>
      </c>
    </row>
    <row r="337" spans="1:9" ht="3" hidden="1" customHeight="1">
      <c r="A337" s="1093" t="b">
        <v>0</v>
      </c>
      <c r="C337" s="1101"/>
      <c r="D337" s="1099"/>
      <c r="E337" s="1101"/>
      <c r="F337" s="1099"/>
      <c r="G337" s="1101"/>
    </row>
    <row r="338" spans="1:9" ht="12.75" hidden="1">
      <c r="A338" s="1093" t="b">
        <v>0</v>
      </c>
      <c r="B338" s="1093" t="s">
        <v>4944</v>
      </c>
      <c r="C338" s="1104" t="str">
        <f>C336&amp;"_light"</f>
        <v>Work_Time_1_light</v>
      </c>
      <c r="D338" s="1099"/>
      <c r="E338" s="1104" t="str">
        <f>E336&amp;"_light"</f>
        <v>Work_Time_1_light</v>
      </c>
      <c r="F338" s="1099"/>
      <c r="G338" s="1104" t="str">
        <f>G336&amp;"_light"</f>
        <v>Work_Time_1_light</v>
      </c>
    </row>
    <row r="339" spans="1:9" ht="3" hidden="1" customHeight="1">
      <c r="A339" s="1093" t="b">
        <v>0</v>
      </c>
      <c r="C339" s="1101"/>
      <c r="D339" s="1099"/>
      <c r="E339" s="1101"/>
      <c r="F339" s="1099"/>
      <c r="G339" s="1101"/>
    </row>
    <row r="340" spans="1:9" ht="12.75" hidden="1">
      <c r="A340" s="1093" t="b">
        <v>0</v>
      </c>
      <c r="B340" s="1093" t="s">
        <v>4943</v>
      </c>
      <c r="C340" s="1103" t="s">
        <v>4961</v>
      </c>
      <c r="D340" s="1099"/>
      <c r="E340" s="1103" t="s">
        <v>4960</v>
      </c>
      <c r="F340" s="1099"/>
      <c r="G340" s="1103" t="s">
        <v>4959</v>
      </c>
      <c r="H340" s="1097" t="s">
        <v>4939</v>
      </c>
    </row>
    <row r="341" spans="1:9" ht="3" hidden="1" customHeight="1">
      <c r="A341" s="1093" t="b">
        <v>0</v>
      </c>
      <c r="C341" s="1101"/>
      <c r="D341" s="1099"/>
      <c r="E341" s="1101"/>
      <c r="F341" s="1099"/>
      <c r="G341" s="1101"/>
    </row>
    <row r="342" spans="1:9" ht="12.75" hidden="1">
      <c r="A342" s="1093" t="b">
        <v>0</v>
      </c>
      <c r="B342" s="1093" t="s">
        <v>4938</v>
      </c>
      <c r="C342" s="1102"/>
      <c r="D342" s="1099"/>
      <c r="E342" s="1102"/>
      <c r="F342" s="1099"/>
      <c r="G342" s="1102"/>
      <c r="H342" s="1097" t="s">
        <v>4937</v>
      </c>
      <c r="I342" s="1094" t="s">
        <v>4936</v>
      </c>
    </row>
    <row r="343" spans="1:9" ht="3" hidden="1" customHeight="1" thickBot="1">
      <c r="A343" s="1093" t="b">
        <v>0</v>
      </c>
      <c r="C343" s="1101"/>
      <c r="D343" s="1099"/>
      <c r="E343" s="1101"/>
      <c r="F343" s="1099"/>
      <c r="G343" s="1101"/>
    </row>
    <row r="344" spans="1:9" ht="13.5" hidden="1" thickBot="1">
      <c r="A344" s="1093" t="b">
        <v>0</v>
      </c>
      <c r="B344" s="1100" t="s">
        <v>4935</v>
      </c>
      <c r="C344" s="1098" t="b">
        <v>0</v>
      </c>
      <c r="D344" s="1099"/>
      <c r="E344" s="1098" t="b">
        <v>0</v>
      </c>
      <c r="F344" s="1099"/>
      <c r="G344" s="1098" t="b">
        <v>0</v>
      </c>
      <c r="H344" s="1097" t="s">
        <v>4934</v>
      </c>
      <c r="I344" s="1096" t="b">
        <f>IF($C332=TRUE,TRUE)</f>
        <v>0</v>
      </c>
    </row>
    <row r="345" spans="1:9" ht="3" hidden="1" customHeight="1" thickBot="1">
      <c r="A345" s="1093" t="b">
        <v>0</v>
      </c>
      <c r="C345" s="1108"/>
      <c r="D345" s="1099"/>
      <c r="E345" s="1108" t="b">
        <v>0</v>
      </c>
      <c r="F345" s="1099"/>
      <c r="G345" s="1108"/>
    </row>
    <row r="346" spans="1:9" ht="12.75" hidden="1">
      <c r="A346" s="1093" t="b">
        <v>0</v>
      </c>
      <c r="B346" s="1107" t="s">
        <v>4958</v>
      </c>
      <c r="C346" s="1106" t="s">
        <v>4957</v>
      </c>
      <c r="D346" s="1099"/>
      <c r="E346" s="1106" t="s">
        <v>4956</v>
      </c>
      <c r="F346" s="1099"/>
      <c r="G346" s="1106" t="s">
        <v>4955</v>
      </c>
      <c r="H346" s="1097" t="s">
        <v>4947</v>
      </c>
    </row>
    <row r="347" spans="1:9" ht="3" hidden="1" customHeight="1">
      <c r="A347" s="1093" t="b">
        <v>0</v>
      </c>
      <c r="C347" s="1101"/>
      <c r="D347" s="1099"/>
      <c r="E347" s="1101"/>
      <c r="F347" s="1099"/>
      <c r="G347" s="1101"/>
    </row>
    <row r="348" spans="1:9" ht="12.75" hidden="1">
      <c r="A348" s="1093" t="b">
        <v>0</v>
      </c>
      <c r="B348" s="1093" t="s">
        <v>4946</v>
      </c>
      <c r="C348" s="1105" t="s">
        <v>4945</v>
      </c>
      <c r="D348" s="1099"/>
      <c r="E348" s="1105" t="s">
        <v>4945</v>
      </c>
      <c r="F348" s="1099"/>
      <c r="G348" s="1105" t="s">
        <v>4945</v>
      </c>
    </row>
    <row r="349" spans="1:9" ht="3" hidden="1" customHeight="1">
      <c r="A349" s="1093" t="b">
        <v>0</v>
      </c>
      <c r="C349" s="1101"/>
      <c r="D349" s="1099"/>
      <c r="E349" s="1101"/>
      <c r="F349" s="1099"/>
      <c r="G349" s="1101"/>
    </row>
    <row r="350" spans="1:9" ht="12.75" hidden="1">
      <c r="A350" s="1093" t="b">
        <v>0</v>
      </c>
      <c r="B350" s="1093" t="s">
        <v>4944</v>
      </c>
      <c r="C350" s="1104" t="str">
        <f>C348&amp;"_light"</f>
        <v>Work_Time_1_light</v>
      </c>
      <c r="D350" s="1099"/>
      <c r="E350" s="1104" t="str">
        <f>E348&amp;"_light"</f>
        <v>Work_Time_1_light</v>
      </c>
      <c r="F350" s="1099"/>
      <c r="G350" s="1104" t="str">
        <f>G348&amp;"_light"</f>
        <v>Work_Time_1_light</v>
      </c>
    </row>
    <row r="351" spans="1:9" ht="3" hidden="1" customHeight="1">
      <c r="A351" s="1093" t="b">
        <v>0</v>
      </c>
      <c r="C351" s="1101"/>
      <c r="D351" s="1099"/>
      <c r="E351" s="1101"/>
      <c r="F351" s="1099"/>
      <c r="G351" s="1101"/>
    </row>
    <row r="352" spans="1:9" ht="12.75" hidden="1">
      <c r="A352" s="1093" t="b">
        <v>0</v>
      </c>
      <c r="B352" s="1093" t="s">
        <v>4943</v>
      </c>
      <c r="C352" s="1103" t="s">
        <v>4954</v>
      </c>
      <c r="D352" s="1099"/>
      <c r="E352" s="1103" t="s">
        <v>4953</v>
      </c>
      <c r="F352" s="1099"/>
      <c r="G352" s="1103" t="s">
        <v>4952</v>
      </c>
      <c r="H352" s="1097" t="s">
        <v>4939</v>
      </c>
    </row>
    <row r="353" spans="1:9" ht="3" hidden="1" customHeight="1">
      <c r="A353" s="1093" t="b">
        <v>0</v>
      </c>
      <c r="C353" s="1101"/>
      <c r="D353" s="1099"/>
      <c r="E353" s="1101"/>
      <c r="F353" s="1099"/>
      <c r="G353" s="1101"/>
    </row>
    <row r="354" spans="1:9" ht="12.75" hidden="1">
      <c r="A354" s="1093" t="b">
        <v>0</v>
      </c>
      <c r="B354" s="1093" t="s">
        <v>4938</v>
      </c>
      <c r="C354" s="1102"/>
      <c r="D354" s="1099"/>
      <c r="E354" s="1102"/>
      <c r="F354" s="1099"/>
      <c r="G354" s="1102"/>
      <c r="H354" s="1097" t="s">
        <v>4937</v>
      </c>
      <c r="I354" s="1094" t="s">
        <v>4936</v>
      </c>
    </row>
    <row r="355" spans="1:9" ht="3" hidden="1" customHeight="1" thickBot="1">
      <c r="A355" s="1093" t="b">
        <v>0</v>
      </c>
      <c r="C355" s="1101"/>
      <c r="D355" s="1099"/>
      <c r="E355" s="1101"/>
      <c r="F355" s="1099"/>
      <c r="G355" s="1101"/>
    </row>
    <row r="356" spans="1:9" ht="13.5" hidden="1" thickBot="1">
      <c r="A356" s="1093" t="b">
        <v>0</v>
      </c>
      <c r="B356" s="1100" t="s">
        <v>4935</v>
      </c>
      <c r="C356" s="1098" t="b">
        <v>0</v>
      </c>
      <c r="D356" s="1099"/>
      <c r="E356" s="1098" t="b">
        <v>0</v>
      </c>
      <c r="F356" s="1099"/>
      <c r="G356" s="1098" t="b">
        <v>0</v>
      </c>
      <c r="H356" s="1097" t="s">
        <v>4934</v>
      </c>
      <c r="I356" s="1096" t="b">
        <f>IF($I368=TRUE,TRUE,OR($C356,$E356,$G356))</f>
        <v>0</v>
      </c>
    </row>
    <row r="357" spans="1:9" ht="3" customHeight="1">
      <c r="C357" s="1108"/>
      <c r="D357" s="1099"/>
      <c r="E357" s="1108"/>
      <c r="F357" s="1099"/>
      <c r="G357" s="1108"/>
    </row>
    <row r="358" spans="1:9" ht="12.75" hidden="1">
      <c r="A358" s="1093" t="b">
        <v>0</v>
      </c>
      <c r="B358" s="1107" t="s">
        <v>4951</v>
      </c>
      <c r="C358" s="1106" t="s">
        <v>4950</v>
      </c>
      <c r="D358" s="1099"/>
      <c r="E358" s="1106" t="s">
        <v>4949</v>
      </c>
      <c r="F358" s="1099"/>
      <c r="G358" s="1106" t="s">
        <v>4948</v>
      </c>
      <c r="H358" s="1097" t="s">
        <v>4947</v>
      </c>
    </row>
    <row r="359" spans="1:9" ht="3" hidden="1" customHeight="1">
      <c r="A359" s="1093" t="b">
        <v>0</v>
      </c>
      <c r="C359" s="1101"/>
      <c r="D359" s="1099"/>
      <c r="E359" s="1101"/>
      <c r="F359" s="1099"/>
      <c r="G359" s="1101"/>
    </row>
    <row r="360" spans="1:9" ht="12.75" hidden="1">
      <c r="A360" s="1093" t="b">
        <v>0</v>
      </c>
      <c r="B360" s="1093" t="s">
        <v>4946</v>
      </c>
      <c r="C360" s="1105" t="s">
        <v>4945</v>
      </c>
      <c r="D360" s="1099"/>
      <c r="E360" s="1105" t="s">
        <v>4945</v>
      </c>
      <c r="F360" s="1099"/>
      <c r="G360" s="1105" t="s">
        <v>4945</v>
      </c>
    </row>
    <row r="361" spans="1:9" ht="3" hidden="1" customHeight="1">
      <c r="A361" s="1093" t="b">
        <v>0</v>
      </c>
      <c r="C361" s="1101"/>
      <c r="D361" s="1099"/>
      <c r="E361" s="1101"/>
      <c r="F361" s="1099"/>
      <c r="G361" s="1101"/>
    </row>
    <row r="362" spans="1:9" ht="12.75" hidden="1">
      <c r="A362" s="1093" t="b">
        <v>0</v>
      </c>
      <c r="B362" s="1093" t="s">
        <v>4944</v>
      </c>
      <c r="C362" s="1104" t="str">
        <f>C360&amp;"_light"</f>
        <v>Work_Time_1_light</v>
      </c>
      <c r="D362" s="1099"/>
      <c r="E362" s="1104" t="str">
        <f>E360&amp;"_light"</f>
        <v>Work_Time_1_light</v>
      </c>
      <c r="F362" s="1099"/>
      <c r="G362" s="1104" t="str">
        <f>G360&amp;"_light"</f>
        <v>Work_Time_1_light</v>
      </c>
    </row>
    <row r="363" spans="1:9" ht="3" hidden="1" customHeight="1">
      <c r="A363" s="1093" t="b">
        <v>0</v>
      </c>
      <c r="C363" s="1101"/>
      <c r="D363" s="1099"/>
      <c r="E363" s="1101"/>
      <c r="F363" s="1099"/>
      <c r="G363" s="1101"/>
    </row>
    <row r="364" spans="1:9" ht="12.75" hidden="1">
      <c r="A364" s="1093" t="b">
        <v>0</v>
      </c>
      <c r="B364" s="1093" t="s">
        <v>4943</v>
      </c>
      <c r="C364" s="1103" t="s">
        <v>4942</v>
      </c>
      <c r="D364" s="1099"/>
      <c r="E364" s="1103" t="s">
        <v>4941</v>
      </c>
      <c r="F364" s="1099"/>
      <c r="G364" s="1103" t="s">
        <v>4940</v>
      </c>
      <c r="H364" s="1097" t="s">
        <v>4939</v>
      </c>
    </row>
    <row r="365" spans="1:9" ht="3" hidden="1" customHeight="1">
      <c r="A365" s="1093" t="b">
        <v>0</v>
      </c>
      <c r="C365" s="1101"/>
      <c r="D365" s="1099"/>
      <c r="E365" s="1101"/>
      <c r="F365" s="1099"/>
      <c r="G365" s="1101"/>
    </row>
    <row r="366" spans="1:9" ht="12.75" hidden="1">
      <c r="A366" s="1093" t="b">
        <v>0</v>
      </c>
      <c r="B366" s="1093" t="s">
        <v>4938</v>
      </c>
      <c r="C366" s="1102"/>
      <c r="D366" s="1099"/>
      <c r="E366" s="1102"/>
      <c r="F366" s="1099"/>
      <c r="G366" s="1102"/>
      <c r="H366" s="1097" t="s">
        <v>4937</v>
      </c>
      <c r="I366" s="1094" t="s">
        <v>4936</v>
      </c>
    </row>
    <row r="367" spans="1:9" ht="3" hidden="1" customHeight="1" thickBot="1">
      <c r="A367" s="1093" t="b">
        <v>0</v>
      </c>
      <c r="C367" s="1101"/>
      <c r="D367" s="1099"/>
      <c r="E367" s="1101"/>
      <c r="F367" s="1099"/>
      <c r="G367" s="1101"/>
    </row>
    <row r="368" spans="1:9" ht="13.5" hidden="1" thickBot="1">
      <c r="A368" s="1093" t="b">
        <v>0</v>
      </c>
      <c r="B368" s="1100" t="s">
        <v>4935</v>
      </c>
      <c r="C368" s="1098" t="b">
        <v>0</v>
      </c>
      <c r="D368" s="1099"/>
      <c r="E368" s="1098" t="b">
        <v>0</v>
      </c>
      <c r="F368" s="1099"/>
      <c r="G368" s="1098" t="b">
        <v>0</v>
      </c>
      <c r="H368" s="1097" t="s">
        <v>4934</v>
      </c>
      <c r="I368" s="1096" t="b">
        <f>OR($C368,$E368,$G368)</f>
        <v>0</v>
      </c>
    </row>
  </sheetData>
  <conditionalFormatting sqref="H9">
    <cfRule type="colorScale" priority="2">
      <colorScale>
        <cfvo type="min"/>
        <cfvo type="percentile" val="50"/>
        <cfvo type="max"/>
        <color rgb="FFF8696B"/>
        <color rgb="FFFFEB84"/>
        <color rgb="FF63BE7B"/>
      </colorScale>
    </cfRule>
  </conditionalFormatting>
  <conditionalFormatting sqref="H8">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errorTitle="1 to 3 Rows" error="Please select 1 to 3 rows" sqref="C43">
      <formula1>"1,2,3"</formula1>
    </dataValidation>
    <dataValidation type="list" allowBlank="1" showInputMessage="1" showErrorMessage="1" errorTitle="1 to 8 Tabs" error="Please select between 1 to 8 tabs" sqref="C41">
      <formula1>"1,2,3,4,5,6,7,8"</formula1>
    </dataValidation>
    <dataValidation type="list" allowBlank="1" showInputMessage="1" showErrorMessage="1" sqref="C64 E64 G64 G76 E76 C76 C88 E88 G88 C104 E104 G104 G116 E116 C116 C128 E128 G128 C144 E144 G144 G156 E156 C156 G368 E168 G168 C184 E184 G184 G196 E196 C196 C208 E208 G208 C224 E224 G224 G236 E236 C236 C248 E248 G248 C264 E264 G264 G276 E276 C276 C288 E288 G288 C304 E304 G304 G316 E316 C316 C328 E328 G328 C344 E344 G344 G356 E356 C356 C368 E368 C168">
      <formula1>"TRUE, FALSE"</formula1>
    </dataValidation>
  </dataValidations>
  <hyperlinks>
    <hyperlink ref="C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9025" r:id="rId5" name="Button 1">
              <controlPr defaultSize="0" print="0" autoFill="0" autoPict="0" macro="[0]!NavFormat">
                <anchor moveWithCells="1" sizeWithCells="1">
                  <from>
                    <xdr:col>4</xdr:col>
                    <xdr:colOff>342900</xdr:colOff>
                    <xdr:row>44</xdr:row>
                    <xdr:rowOff>19050</xdr:rowOff>
                  </from>
                  <to>
                    <xdr:col>6</xdr:col>
                    <xdr:colOff>323850</xdr:colOff>
                    <xdr:row>46</xdr:row>
                    <xdr:rowOff>152400</xdr:rowOff>
                  </to>
                </anchor>
              </controlPr>
            </control>
          </mc:Choice>
        </mc:AlternateContent>
        <mc:AlternateContent xmlns:mc="http://schemas.openxmlformats.org/markup-compatibility/2006">
          <mc:Choice Requires="x14">
            <control shapeId="129026" r:id="rId6" name="Button 2">
              <controlPr defaultSize="0" print="0" autoFill="0" autoPict="0" macro="[0]!NavSheetHideRows">
                <anchor moveWithCells="1" sizeWithCells="1">
                  <from>
                    <xdr:col>2</xdr:col>
                    <xdr:colOff>0</xdr:colOff>
                    <xdr:row>44</xdr:row>
                    <xdr:rowOff>19050</xdr:rowOff>
                  </from>
                  <to>
                    <xdr:col>3</xdr:col>
                    <xdr:colOff>38100</xdr:colOff>
                    <xdr:row>46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Intro">
    <tabColor rgb="FF000099"/>
  </sheetPr>
  <dimension ref="A1:P99"/>
  <sheetViews>
    <sheetView topLeftCell="A5" zoomScaleNormal="100" workbookViewId="0">
      <selection activeCell="I14" sqref="I14"/>
    </sheetView>
  </sheetViews>
  <sheetFormatPr defaultColWidth="18.83203125" defaultRowHeight="12.75" customHeight="1"/>
  <cols>
    <col min="1" max="1" width="16.6640625" style="850" customWidth="1"/>
    <col min="2" max="2" width="10.83203125" style="852" customWidth="1"/>
    <col min="3" max="3" width="15.83203125" style="851" customWidth="1"/>
    <col min="4" max="4" width="13.6640625" style="851" customWidth="1"/>
    <col min="5" max="5" width="20.83203125" style="851" customWidth="1"/>
    <col min="6" max="8" width="15.83203125" style="851" customWidth="1"/>
    <col min="9" max="9" width="30.83203125" style="851" customWidth="1"/>
    <col min="10" max="10" width="15.83203125" style="851" customWidth="1"/>
    <col min="11" max="11" width="16.6640625" style="850" customWidth="1"/>
    <col min="12" max="14" width="15.83203125" style="852" customWidth="1"/>
    <col min="15" max="16" width="9.33203125" style="852" customWidth="1"/>
    <col min="17" max="16384" width="18.83203125" style="851"/>
  </cols>
  <sheetData>
    <row r="1" spans="1:16" s="850" customFormat="1" ht="20.100000000000001" customHeight="1"/>
    <row r="2" spans="1:16" s="850" customFormat="1" ht="20.100000000000001" customHeight="1">
      <c r="B2" s="858"/>
      <c r="C2" s="858"/>
      <c r="D2" s="858"/>
      <c r="E2" s="858"/>
      <c r="F2" s="858"/>
      <c r="G2" s="858"/>
      <c r="H2" s="858"/>
      <c r="I2" s="858"/>
      <c r="J2" s="858"/>
    </row>
    <row r="3" spans="1:16" s="850" customFormat="1" ht="20.100000000000001" customHeight="1">
      <c r="A3" s="850" t="s">
        <v>4604</v>
      </c>
      <c r="B3" s="858"/>
      <c r="C3" s="858"/>
      <c r="D3" s="858"/>
      <c r="E3" s="858"/>
      <c r="F3" s="858"/>
      <c r="G3" s="858"/>
      <c r="H3" s="858"/>
      <c r="I3" s="858"/>
      <c r="J3" s="858"/>
    </row>
    <row r="4" spans="1:16" ht="62.25" customHeight="1">
      <c r="B4" s="858"/>
      <c r="C4" s="858"/>
      <c r="D4" s="858"/>
      <c r="E4" s="858"/>
      <c r="F4" s="858"/>
      <c r="G4" s="858"/>
      <c r="H4" s="858"/>
      <c r="I4" s="858"/>
      <c r="J4" s="858"/>
      <c r="L4" s="850"/>
      <c r="M4" s="850"/>
      <c r="N4" s="850"/>
      <c r="O4" s="850"/>
      <c r="P4" s="850"/>
    </row>
    <row r="5" spans="1:16" ht="32.25" customHeight="1">
      <c r="B5" s="857"/>
      <c r="C5" s="857"/>
      <c r="D5" s="857"/>
      <c r="E5" s="857"/>
      <c r="F5" s="857"/>
      <c r="G5" s="857"/>
      <c r="H5" s="857"/>
      <c r="I5" s="857"/>
      <c r="J5" s="857"/>
      <c r="L5" s="850"/>
      <c r="M5" s="850"/>
      <c r="N5" s="850"/>
      <c r="O5" s="850"/>
      <c r="P5" s="850"/>
    </row>
    <row r="6" spans="1:16" ht="20.100000000000001" customHeight="1">
      <c r="B6" s="857"/>
      <c r="C6" s="854"/>
      <c r="D6" s="854"/>
      <c r="E6" s="854"/>
      <c r="F6" s="857"/>
      <c r="G6" s="857"/>
      <c r="H6" s="857"/>
      <c r="I6" s="857"/>
      <c r="J6" s="857"/>
      <c r="L6" s="850"/>
      <c r="M6" s="850"/>
      <c r="N6" s="850"/>
      <c r="O6" s="850"/>
      <c r="P6" s="850"/>
    </row>
    <row r="7" spans="1:16" ht="20.100000000000001" customHeight="1">
      <c r="B7" s="857"/>
      <c r="C7" s="854"/>
      <c r="D7" s="854"/>
      <c r="E7" s="854"/>
      <c r="F7" s="1028"/>
      <c r="G7" s="857"/>
      <c r="H7" s="857"/>
      <c r="I7" s="857"/>
      <c r="J7" s="857"/>
      <c r="L7" s="850"/>
      <c r="M7" s="850"/>
      <c r="N7" s="850"/>
      <c r="O7" s="850"/>
      <c r="P7" s="850"/>
    </row>
    <row r="8" spans="1:16" ht="20.100000000000001" customHeight="1">
      <c r="B8" s="857"/>
      <c r="C8" s="854"/>
      <c r="D8" s="854"/>
      <c r="E8" s="854"/>
      <c r="F8" s="857"/>
      <c r="G8" s="857"/>
      <c r="H8" s="857"/>
      <c r="I8" s="857"/>
      <c r="J8" s="857"/>
      <c r="L8" s="850"/>
      <c r="M8" s="850"/>
      <c r="N8" s="850"/>
      <c r="O8" s="850"/>
      <c r="P8" s="850"/>
    </row>
    <row r="9" spans="1:16" ht="20.100000000000001" customHeight="1">
      <c r="B9" s="857"/>
      <c r="C9" s="854"/>
      <c r="D9" s="854"/>
      <c r="E9" s="854"/>
      <c r="F9" s="857"/>
      <c r="G9" s="857"/>
      <c r="H9" s="857"/>
      <c r="I9" s="857"/>
      <c r="J9" s="857"/>
      <c r="L9" s="850"/>
      <c r="M9" s="850"/>
      <c r="N9" s="850"/>
      <c r="O9" s="850"/>
      <c r="P9" s="850"/>
    </row>
    <row r="10" spans="1:16" ht="20.100000000000001" customHeight="1">
      <c r="B10" s="857"/>
      <c r="C10" s="854"/>
      <c r="D10" s="854"/>
      <c r="E10" s="854"/>
      <c r="F10" s="857"/>
      <c r="G10" s="857"/>
      <c r="H10" s="857"/>
      <c r="I10" s="857"/>
      <c r="J10" s="857"/>
      <c r="L10" s="850"/>
      <c r="M10" s="850"/>
      <c r="N10" s="850"/>
      <c r="O10" s="850"/>
      <c r="P10" s="850"/>
    </row>
    <row r="11" spans="1:16" ht="19.5" customHeight="1">
      <c r="B11" s="857"/>
      <c r="C11" s="857"/>
      <c r="D11" s="857"/>
      <c r="E11" s="857"/>
      <c r="F11" s="857"/>
      <c r="G11" s="857"/>
      <c r="H11" s="857"/>
      <c r="I11" s="857"/>
      <c r="J11" s="857"/>
      <c r="L11" s="850"/>
      <c r="M11" s="850"/>
      <c r="N11" s="850"/>
      <c r="O11" s="850"/>
      <c r="P11" s="850"/>
    </row>
    <row r="12" spans="1:16" ht="9.9499999999999993" customHeight="1">
      <c r="B12" s="857"/>
      <c r="C12" s="857"/>
      <c r="D12" s="857"/>
      <c r="E12" s="857"/>
      <c r="F12" s="857"/>
      <c r="G12" s="857"/>
      <c r="H12" s="857"/>
      <c r="I12" s="857"/>
      <c r="J12" s="857"/>
      <c r="L12" s="850"/>
      <c r="M12" s="850"/>
      <c r="N12" s="850"/>
      <c r="O12" s="850"/>
      <c r="P12" s="850"/>
    </row>
    <row r="13" spans="1:16" ht="27.75" customHeight="1">
      <c r="B13" s="853"/>
      <c r="C13" s="853"/>
      <c r="D13" s="853"/>
      <c r="E13" s="853"/>
      <c r="F13" s="856"/>
      <c r="G13" s="853"/>
      <c r="H13" s="853"/>
      <c r="I13" s="1502" t="s">
        <v>3811</v>
      </c>
      <c r="J13" s="853"/>
      <c r="L13" s="850"/>
      <c r="M13" s="850"/>
      <c r="N13" s="850"/>
      <c r="O13" s="850"/>
      <c r="P13" s="850"/>
    </row>
    <row r="14" spans="1:16" ht="20.100000000000001" customHeight="1">
      <c r="B14" s="853"/>
      <c r="C14" s="853"/>
      <c r="D14" s="853"/>
      <c r="E14" s="856"/>
      <c r="F14" s="856"/>
      <c r="G14" s="853"/>
      <c r="H14" s="853"/>
      <c r="I14" s="861">
        <f>xxYear</f>
        <v>1</v>
      </c>
      <c r="J14" s="853"/>
      <c r="L14" s="850"/>
      <c r="M14" s="850"/>
      <c r="N14" s="850"/>
      <c r="O14" s="850"/>
      <c r="P14" s="850"/>
    </row>
    <row r="15" spans="1:16" ht="11.25" customHeight="1">
      <c r="B15" s="853"/>
      <c r="C15" s="853"/>
      <c r="D15" s="853"/>
      <c r="E15" s="856"/>
      <c r="F15" s="856"/>
      <c r="G15" s="853"/>
      <c r="H15" s="853"/>
      <c r="I15" s="860"/>
      <c r="J15" s="853"/>
      <c r="L15" s="850"/>
      <c r="M15" s="850"/>
      <c r="N15" s="850"/>
      <c r="O15" s="850"/>
      <c r="P15" s="850"/>
    </row>
    <row r="16" spans="1:16" ht="20.100000000000001" customHeight="1">
      <c r="B16" s="853"/>
      <c r="C16" s="853"/>
      <c r="D16" s="855"/>
      <c r="E16" s="856"/>
      <c r="F16" s="856"/>
      <c r="G16" s="862" t="s">
        <v>309</v>
      </c>
      <c r="H16" s="856"/>
      <c r="I16" s="873">
        <v>1</v>
      </c>
      <c r="J16" s="853"/>
      <c r="L16" s="850"/>
      <c r="M16" s="850"/>
      <c r="N16" s="850"/>
      <c r="O16" s="850"/>
      <c r="P16" s="850"/>
    </row>
    <row r="17" spans="2:16" ht="20.100000000000001" customHeight="1">
      <c r="B17" s="856"/>
      <c r="C17" s="856"/>
      <c r="D17" s="856"/>
      <c r="E17" s="856"/>
      <c r="F17" s="855"/>
      <c r="G17" s="863"/>
      <c r="H17" s="853"/>
      <c r="I17" s="853"/>
      <c r="J17" s="853"/>
      <c r="L17" s="850"/>
      <c r="M17" s="850"/>
      <c r="N17" s="850"/>
      <c r="O17" s="850"/>
      <c r="P17" s="850"/>
    </row>
    <row r="18" spans="2:16" ht="20.100000000000001" customHeight="1">
      <c r="B18" s="856"/>
      <c r="C18" s="856"/>
      <c r="D18" s="856"/>
      <c r="E18" s="856"/>
      <c r="F18" s="856"/>
      <c r="G18" s="862" t="s">
        <v>310</v>
      </c>
      <c r="H18" s="859"/>
      <c r="I18" s="1084" t="s">
        <v>5681</v>
      </c>
      <c r="J18" s="853"/>
      <c r="L18" s="850"/>
      <c r="M18" s="850"/>
      <c r="N18" s="850"/>
      <c r="O18" s="850"/>
      <c r="P18" s="850"/>
    </row>
    <row r="19" spans="2:16" ht="10.5" customHeight="1">
      <c r="B19" s="856"/>
      <c r="C19" s="856"/>
      <c r="D19" s="856"/>
      <c r="E19" s="856"/>
      <c r="F19" s="856"/>
      <c r="G19" s="853"/>
      <c r="H19" s="853"/>
      <c r="I19" s="853"/>
      <c r="J19" s="853"/>
      <c r="L19" s="850"/>
      <c r="M19" s="850"/>
      <c r="N19" s="850"/>
      <c r="O19" s="850"/>
      <c r="P19" s="850"/>
    </row>
    <row r="20" spans="2:16" ht="20.100000000000001" customHeight="1">
      <c r="B20" s="856"/>
      <c r="C20" s="856"/>
      <c r="D20" s="856"/>
      <c r="E20" s="856"/>
      <c r="F20" s="855"/>
      <c r="G20" s="863"/>
      <c r="H20" s="853"/>
      <c r="I20" s="853"/>
      <c r="J20" s="853"/>
      <c r="L20" s="850"/>
      <c r="M20" s="850"/>
      <c r="N20" s="850"/>
      <c r="O20" s="850"/>
      <c r="P20" s="850"/>
    </row>
    <row r="21" spans="2:16" ht="10.5" customHeight="1">
      <c r="B21" s="853"/>
      <c r="C21" s="853"/>
      <c r="D21" s="853"/>
      <c r="E21" s="853"/>
      <c r="F21" s="853"/>
      <c r="G21" s="853"/>
      <c r="H21" s="853"/>
      <c r="I21" s="853"/>
      <c r="J21" s="853"/>
      <c r="L21" s="850"/>
      <c r="M21" s="850"/>
      <c r="N21" s="850"/>
      <c r="O21" s="850"/>
      <c r="P21" s="850"/>
    </row>
    <row r="22" spans="2:16" ht="10.5" customHeight="1">
      <c r="B22" s="853"/>
      <c r="C22" s="853"/>
      <c r="D22" s="853"/>
      <c r="E22" s="853"/>
      <c r="F22" s="853"/>
      <c r="G22" s="853"/>
      <c r="H22" s="853"/>
      <c r="I22" s="853"/>
      <c r="J22" s="853"/>
      <c r="L22" s="850"/>
      <c r="M22" s="850"/>
      <c r="N22" s="850"/>
      <c r="O22" s="850"/>
      <c r="P22" s="850"/>
    </row>
    <row r="23" spans="2:16" s="850" customFormat="1" ht="4.5" customHeight="1"/>
    <row r="24" spans="2:16" s="850" customFormat="1" ht="20.100000000000001" customHeight="1"/>
    <row r="25" spans="2:16" s="850" customFormat="1" ht="4.5" customHeight="1"/>
    <row r="26" spans="2:16" s="850" customFormat="1" ht="10.5"/>
    <row r="27" spans="2:16" s="850" customFormat="1" ht="10.5"/>
    <row r="28" spans="2:16" s="850" customFormat="1" ht="10.5"/>
    <row r="29" spans="2:16" s="850" customFormat="1" ht="10.5"/>
    <row r="30" spans="2:16" s="850" customFormat="1" ht="10.5"/>
    <row r="31" spans="2:16" s="850" customFormat="1" ht="10.5"/>
    <row r="32" spans="2:16" s="850" customFormat="1" ht="10.5"/>
    <row r="33" spans="1:16" s="850" customFormat="1" ht="10.5"/>
    <row r="34" spans="1:16" s="850" customFormat="1" ht="10.5"/>
    <row r="35" spans="1:16" s="850" customFormat="1" ht="10.5">
      <c r="F35" s="1083"/>
    </row>
    <row r="36" spans="1:16" s="850" customFormat="1" ht="10.5"/>
    <row r="37" spans="1:16" s="850" customFormat="1" ht="10.5"/>
    <row r="38" spans="1:16" s="850" customFormat="1" ht="10.5"/>
    <row r="39" spans="1:16" s="850" customFormat="1" ht="10.5"/>
    <row r="40" spans="1:16" s="850" customFormat="1" ht="10.5"/>
    <row r="41" spans="1:16" s="850" customFormat="1" ht="10.5"/>
    <row r="42" spans="1:16" s="850" customFormat="1" ht="10.5"/>
    <row r="43" spans="1:16" s="850" customFormat="1" ht="10.5"/>
    <row r="44" spans="1:16" s="850" customFormat="1" ht="10.5"/>
    <row r="45" spans="1:16" s="852" customFormat="1" ht="10.5">
      <c r="A45" s="850"/>
      <c r="B45" s="850"/>
      <c r="C45" s="850"/>
      <c r="D45" s="850"/>
      <c r="E45" s="850"/>
      <c r="F45" s="850"/>
      <c r="G45" s="850"/>
      <c r="H45" s="850"/>
      <c r="I45" s="850"/>
      <c r="J45" s="850"/>
      <c r="K45" s="850"/>
      <c r="L45" s="850"/>
      <c r="M45" s="850"/>
      <c r="N45" s="850"/>
      <c r="O45" s="850"/>
      <c r="P45" s="850"/>
    </row>
    <row r="46" spans="1:16" s="852" customFormat="1" ht="10.5">
      <c r="A46" s="850"/>
      <c r="B46" s="850"/>
      <c r="C46" s="850"/>
      <c r="D46" s="850"/>
      <c r="E46" s="850"/>
      <c r="F46" s="850"/>
      <c r="G46" s="850"/>
      <c r="H46" s="850"/>
      <c r="I46" s="850"/>
      <c r="J46" s="850"/>
      <c r="K46" s="850"/>
      <c r="L46" s="850"/>
      <c r="M46" s="850"/>
      <c r="N46" s="850"/>
      <c r="O46" s="850"/>
      <c r="P46" s="850"/>
    </row>
    <row r="47" spans="1:16" s="852" customFormat="1" ht="10.5">
      <c r="A47" s="850"/>
      <c r="B47" s="850"/>
      <c r="C47" s="850"/>
      <c r="D47" s="850"/>
      <c r="E47" s="850"/>
      <c r="F47" s="850"/>
      <c r="G47" s="850"/>
      <c r="H47" s="850"/>
      <c r="I47" s="850"/>
      <c r="J47" s="850"/>
      <c r="K47" s="850"/>
      <c r="L47" s="850"/>
      <c r="M47" s="850"/>
      <c r="N47" s="850"/>
      <c r="O47" s="850"/>
      <c r="P47" s="850"/>
    </row>
    <row r="48" spans="1:16" s="852" customFormat="1" ht="10.5">
      <c r="A48" s="850"/>
      <c r="B48" s="850"/>
      <c r="C48" s="850"/>
      <c r="D48" s="850"/>
      <c r="E48" s="850"/>
      <c r="F48" s="850"/>
      <c r="G48" s="850"/>
      <c r="H48" s="850"/>
      <c r="I48" s="850"/>
      <c r="J48" s="850"/>
      <c r="K48" s="850"/>
      <c r="L48" s="850"/>
      <c r="M48" s="850"/>
      <c r="N48" s="850"/>
      <c r="O48" s="850"/>
      <c r="P48" s="850"/>
    </row>
    <row r="49" spans="1:16" s="852" customFormat="1" ht="10.5">
      <c r="A49" s="850"/>
      <c r="B49" s="850"/>
      <c r="C49" s="850"/>
      <c r="D49" s="850"/>
      <c r="E49" s="850"/>
      <c r="F49" s="850"/>
      <c r="G49" s="850"/>
      <c r="H49" s="850"/>
      <c r="I49" s="850"/>
      <c r="J49" s="850"/>
      <c r="K49" s="850"/>
      <c r="L49" s="850"/>
      <c r="M49" s="850"/>
      <c r="N49" s="850"/>
      <c r="O49" s="850"/>
      <c r="P49" s="850"/>
    </row>
    <row r="50" spans="1:16" s="852" customFormat="1" ht="10.5">
      <c r="A50" s="850"/>
      <c r="B50" s="850"/>
      <c r="C50" s="850"/>
      <c r="D50" s="850"/>
      <c r="E50" s="850"/>
      <c r="F50" s="850"/>
      <c r="G50" s="850"/>
      <c r="H50" s="850"/>
      <c r="I50" s="850"/>
      <c r="J50" s="850"/>
      <c r="K50" s="850"/>
      <c r="L50" s="850"/>
      <c r="M50" s="850"/>
      <c r="N50" s="850"/>
      <c r="O50" s="850"/>
      <c r="P50" s="850"/>
    </row>
    <row r="51" spans="1:16" s="852" customFormat="1" ht="10.5">
      <c r="A51" s="850"/>
      <c r="B51" s="850"/>
      <c r="C51" s="850"/>
      <c r="D51" s="850"/>
      <c r="E51" s="850"/>
      <c r="F51" s="850"/>
      <c r="G51" s="850"/>
      <c r="H51" s="850"/>
      <c r="I51" s="850"/>
      <c r="J51" s="850"/>
      <c r="K51" s="850"/>
      <c r="L51" s="850"/>
      <c r="M51" s="850"/>
      <c r="N51" s="850"/>
      <c r="O51" s="850"/>
      <c r="P51" s="850"/>
    </row>
    <row r="52" spans="1:16" ht="10.5">
      <c r="B52" s="850"/>
      <c r="C52" s="850"/>
      <c r="D52" s="850"/>
      <c r="E52" s="850"/>
      <c r="F52" s="850"/>
      <c r="G52" s="850"/>
      <c r="H52" s="850"/>
      <c r="I52" s="850"/>
      <c r="J52" s="850"/>
      <c r="L52" s="850"/>
      <c r="M52" s="850"/>
      <c r="N52" s="850"/>
      <c r="O52" s="850"/>
      <c r="P52" s="850"/>
    </row>
    <row r="53" spans="1:16" ht="10.5">
      <c r="B53" s="850"/>
      <c r="C53" s="850"/>
      <c r="D53" s="850"/>
      <c r="E53" s="850"/>
      <c r="F53" s="850"/>
      <c r="G53" s="850"/>
      <c r="H53" s="850"/>
      <c r="I53" s="850"/>
      <c r="J53" s="850"/>
      <c r="L53" s="850"/>
      <c r="M53" s="850"/>
      <c r="N53" s="850"/>
      <c r="O53" s="850"/>
      <c r="P53" s="850"/>
    </row>
    <row r="54" spans="1:16" ht="10.5">
      <c r="B54" s="850"/>
      <c r="C54" s="850"/>
      <c r="D54" s="850"/>
      <c r="E54" s="850"/>
      <c r="F54" s="850"/>
      <c r="G54" s="850"/>
      <c r="H54" s="850"/>
      <c r="I54" s="850"/>
      <c r="J54" s="850"/>
      <c r="L54" s="850"/>
      <c r="M54" s="850"/>
      <c r="N54" s="850"/>
      <c r="O54" s="850"/>
      <c r="P54" s="850"/>
    </row>
    <row r="55" spans="1:16" ht="10.5">
      <c r="B55" s="850"/>
      <c r="C55" s="850"/>
      <c r="D55" s="850"/>
      <c r="E55" s="850"/>
      <c r="F55" s="850"/>
      <c r="G55" s="850"/>
      <c r="H55" s="850"/>
      <c r="I55" s="850"/>
      <c r="J55" s="850"/>
      <c r="L55" s="850"/>
      <c r="M55" s="850"/>
      <c r="N55" s="850"/>
      <c r="O55" s="850"/>
      <c r="P55" s="850"/>
    </row>
    <row r="56" spans="1:16" ht="10.5">
      <c r="B56" s="850"/>
      <c r="C56" s="850"/>
      <c r="D56" s="850"/>
      <c r="E56" s="850"/>
      <c r="F56" s="850"/>
      <c r="G56" s="850"/>
      <c r="H56" s="850"/>
      <c r="I56" s="850"/>
      <c r="J56" s="850"/>
      <c r="L56" s="850"/>
      <c r="M56" s="850"/>
      <c r="N56" s="850"/>
      <c r="O56" s="850"/>
      <c r="P56" s="850"/>
    </row>
    <row r="57" spans="1:16" ht="10.5">
      <c r="B57" s="850"/>
      <c r="C57" s="850"/>
      <c r="D57" s="850"/>
      <c r="E57" s="850"/>
      <c r="F57" s="850"/>
      <c r="G57" s="850"/>
      <c r="H57" s="850"/>
      <c r="I57" s="850"/>
      <c r="J57" s="850"/>
      <c r="L57" s="850"/>
      <c r="M57" s="850"/>
      <c r="N57" s="850"/>
      <c r="O57" s="850"/>
      <c r="P57" s="850"/>
    </row>
    <row r="58" spans="1:16" ht="10.5">
      <c r="B58" s="850"/>
      <c r="C58" s="850"/>
      <c r="D58" s="850"/>
      <c r="E58" s="850"/>
      <c r="F58" s="850"/>
      <c r="G58" s="850"/>
      <c r="H58" s="850"/>
      <c r="I58" s="850"/>
      <c r="J58" s="850"/>
      <c r="L58" s="850"/>
      <c r="M58" s="850"/>
      <c r="N58" s="850"/>
      <c r="O58" s="850"/>
      <c r="P58" s="850"/>
    </row>
    <row r="59" spans="1:16" ht="10.5">
      <c r="B59" s="850"/>
      <c r="C59" s="850"/>
      <c r="D59" s="850"/>
      <c r="E59" s="850"/>
      <c r="F59" s="850"/>
      <c r="G59" s="850"/>
      <c r="H59" s="850"/>
      <c r="I59" s="850"/>
      <c r="J59" s="850"/>
      <c r="L59" s="850"/>
      <c r="M59" s="850"/>
      <c r="N59" s="850"/>
      <c r="O59" s="850"/>
      <c r="P59" s="850"/>
    </row>
    <row r="60" spans="1:16" ht="10.5">
      <c r="B60" s="850"/>
      <c r="C60" s="850"/>
      <c r="D60" s="850"/>
      <c r="E60" s="850"/>
      <c r="F60" s="850"/>
      <c r="G60" s="850"/>
      <c r="H60" s="850"/>
      <c r="I60" s="850"/>
      <c r="J60" s="850"/>
      <c r="L60" s="850"/>
      <c r="M60" s="850"/>
      <c r="N60" s="850"/>
      <c r="O60" s="850"/>
      <c r="P60" s="850"/>
    </row>
    <row r="61" spans="1:16" ht="10.5">
      <c r="B61" s="850"/>
      <c r="C61" s="850"/>
      <c r="D61" s="850"/>
      <c r="E61" s="850"/>
      <c r="F61" s="850"/>
      <c r="G61" s="850"/>
      <c r="H61" s="850"/>
      <c r="I61" s="850"/>
      <c r="J61" s="850"/>
      <c r="L61" s="850"/>
      <c r="M61" s="850"/>
      <c r="N61" s="850"/>
      <c r="O61" s="850"/>
      <c r="P61" s="850"/>
    </row>
    <row r="62" spans="1:16" ht="10.5">
      <c r="B62" s="850"/>
      <c r="C62" s="850"/>
      <c r="D62" s="850"/>
      <c r="E62" s="850"/>
      <c r="F62" s="850"/>
      <c r="G62" s="850"/>
      <c r="H62" s="850"/>
      <c r="I62" s="850"/>
      <c r="J62" s="850"/>
      <c r="L62" s="850"/>
      <c r="M62" s="850"/>
      <c r="N62" s="850"/>
      <c r="O62" s="850"/>
      <c r="P62" s="850"/>
    </row>
    <row r="63" spans="1:16" ht="10.5">
      <c r="B63" s="850"/>
      <c r="C63" s="850"/>
      <c r="D63" s="850"/>
      <c r="E63" s="850"/>
      <c r="F63" s="850"/>
      <c r="G63" s="850"/>
      <c r="H63" s="850"/>
      <c r="I63" s="850"/>
      <c r="J63" s="850"/>
      <c r="L63" s="850"/>
      <c r="M63" s="850"/>
      <c r="N63" s="850"/>
      <c r="O63" s="850"/>
      <c r="P63" s="850"/>
    </row>
    <row r="64" spans="1:16" ht="10.5">
      <c r="B64" s="850"/>
      <c r="C64" s="850"/>
      <c r="D64" s="850"/>
      <c r="E64" s="850"/>
      <c r="F64" s="850"/>
      <c r="G64" s="850"/>
      <c r="H64" s="850"/>
      <c r="I64" s="850"/>
      <c r="J64" s="850"/>
      <c r="L64" s="850"/>
      <c r="M64" s="850"/>
      <c r="N64" s="850"/>
      <c r="O64" s="850"/>
      <c r="P64" s="850"/>
    </row>
    <row r="65" spans="2:16" ht="10.5">
      <c r="B65" s="850"/>
      <c r="C65" s="850"/>
      <c r="D65" s="850"/>
      <c r="E65" s="850"/>
      <c r="F65" s="850"/>
      <c r="G65" s="850"/>
      <c r="H65" s="850"/>
      <c r="I65" s="850"/>
      <c r="J65" s="850"/>
      <c r="L65" s="850"/>
      <c r="M65" s="850"/>
      <c r="N65" s="850"/>
      <c r="O65" s="850"/>
      <c r="P65" s="850"/>
    </row>
    <row r="66" spans="2:16" s="850" customFormat="1" ht="10.5"/>
    <row r="67" spans="2:16" s="850" customFormat="1" ht="10.5"/>
    <row r="68" spans="2:16" s="850" customFormat="1" ht="10.5"/>
    <row r="69" spans="2:16" s="850" customFormat="1" ht="10.5"/>
    <row r="70" spans="2:16" s="850" customFormat="1" ht="10.5"/>
    <row r="71" spans="2:16" s="850" customFormat="1" ht="10.5"/>
    <row r="72" spans="2:16" s="850" customFormat="1" ht="10.5"/>
    <row r="73" spans="2:16" s="850" customFormat="1" ht="10.5"/>
    <row r="74" spans="2:16" s="850" customFormat="1" ht="10.5"/>
    <row r="75" spans="2:16" s="850" customFormat="1" ht="10.5"/>
    <row r="76" spans="2:16" s="850" customFormat="1" ht="10.5"/>
    <row r="77" spans="2:16" s="850" customFormat="1" ht="10.5"/>
    <row r="78" spans="2:16" s="850" customFormat="1" ht="10.5"/>
    <row r="79" spans="2:16" s="850" customFormat="1" ht="10.5"/>
    <row r="80" spans="2:16" s="850" customFormat="1" ht="10.5"/>
    <row r="81" s="850" customFormat="1" ht="10.5"/>
    <row r="82" s="850" customFormat="1" ht="10.5"/>
    <row r="83" s="850" customFormat="1" ht="10.5"/>
    <row r="84" s="850" customFormat="1" ht="10.5"/>
    <row r="85" s="850" customFormat="1" ht="10.5"/>
    <row r="86" s="850" customFormat="1" ht="10.5"/>
    <row r="87" s="850" customFormat="1" ht="10.5"/>
    <row r="88" s="850" customFormat="1" ht="10.5"/>
    <row r="89" s="850" customFormat="1" ht="10.5"/>
    <row r="90" s="850" customFormat="1" ht="10.5"/>
    <row r="91" s="850" customFormat="1" ht="10.5"/>
    <row r="92" s="850" customFormat="1" ht="10.5"/>
    <row r="93" s="850" customFormat="1" ht="10.5"/>
    <row r="94" s="850" customFormat="1" ht="10.5"/>
    <row r="95" s="850" customFormat="1" ht="10.5"/>
    <row r="96" s="850" customFormat="1" ht="10.5"/>
    <row r="97" s="850" customFormat="1" ht="10.5"/>
    <row r="98" s="850" customFormat="1" ht="10.5"/>
    <row r="99" s="850" customFormat="1" ht="10.5"/>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4" r:id="rId4" name="Drop Down 6">
              <controlPr defaultSize="0" autoLine="0" autoPict="0" macro="[0]!menuFinancialSelect">
                <anchor moveWithCells="1">
                  <from>
                    <xdr:col>13</xdr:col>
                    <xdr:colOff>266700</xdr:colOff>
                    <xdr:row>98</xdr:row>
                    <xdr:rowOff>0</xdr:rowOff>
                  </from>
                  <to>
                    <xdr:col>15</xdr:col>
                    <xdr:colOff>485775</xdr:colOff>
                    <xdr:row>98</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DecSummary">
    <tabColor rgb="FF000099"/>
    <pageSetUpPr fitToPage="1"/>
  </sheetPr>
  <dimension ref="C1:Q87"/>
  <sheetViews>
    <sheetView showGridLines="0" zoomScaleNormal="100" workbookViewId="0">
      <pane ySplit="2" topLeftCell="A3" activePane="bottomLeft" state="frozen"/>
      <selection pane="bottomLeft" activeCell="D29" sqref="D29"/>
    </sheetView>
  </sheetViews>
  <sheetFormatPr defaultColWidth="18.83203125" defaultRowHeight="12.95" customHeight="1"/>
  <cols>
    <col min="1" max="1" width="1.83203125" style="874" customWidth="1"/>
    <col min="2" max="2" width="8.5" style="874" customWidth="1"/>
    <col min="3" max="3" width="9.33203125" style="874" customWidth="1"/>
    <col min="4" max="4" width="30.83203125" style="874" customWidth="1"/>
    <col min="5" max="5" width="7.83203125" style="874" customWidth="1"/>
    <col min="6" max="6" width="18.83203125" style="874" customWidth="1"/>
    <col min="7" max="7" width="1.83203125" style="874" customWidth="1"/>
    <col min="8" max="8" width="18.83203125" style="874" customWidth="1"/>
    <col min="9" max="9" width="1.83203125" style="874" customWidth="1"/>
    <col min="10" max="10" width="18.83203125" style="874" customWidth="1"/>
    <col min="11" max="11" width="1.83203125" style="874" customWidth="1"/>
    <col min="12" max="12" width="18.83203125" style="874" customWidth="1"/>
    <col min="13" max="13" width="1.83203125" style="874" customWidth="1"/>
    <col min="14" max="14" width="18.83203125" style="874" customWidth="1"/>
    <col min="15" max="15" width="4.83203125" style="874" customWidth="1"/>
    <col min="16" max="16" width="1.83203125" style="874" customWidth="1"/>
    <col min="17" max="17" width="9.33203125" style="874" customWidth="1"/>
    <col min="18" max="16384" width="18.83203125" style="874"/>
  </cols>
  <sheetData>
    <row r="1" spans="3:17" ht="18" customHeight="1"/>
    <row r="2" spans="3:17" ht="21" customHeight="1" thickBot="1"/>
    <row r="3" spans="3:17" ht="14.25">
      <c r="C3" s="936" t="s">
        <v>4811</v>
      </c>
      <c r="D3" s="978"/>
      <c r="E3" s="978"/>
      <c r="F3" s="978"/>
      <c r="G3" s="978"/>
      <c r="H3" s="978"/>
      <c r="I3" s="978"/>
      <c r="J3" s="978"/>
      <c r="K3" s="978"/>
      <c r="L3" s="978"/>
      <c r="M3" s="978"/>
      <c r="N3" s="978"/>
      <c r="O3" s="978"/>
      <c r="P3" s="978"/>
      <c r="Q3" s="977" t="str">
        <f>INDEX(decTeamName,xxIndexTeam)&amp;", Year "&amp;xxYear</f>
        <v>Entrevard, Year 1</v>
      </c>
    </row>
    <row r="4" spans="3:17" ht="12.75">
      <c r="C4" s="941"/>
      <c r="D4" s="931"/>
      <c r="E4" s="931"/>
      <c r="F4" s="931"/>
      <c r="G4" s="931"/>
      <c r="H4" s="931"/>
      <c r="I4" s="931"/>
      <c r="J4" s="931"/>
      <c r="K4" s="931"/>
      <c r="L4" s="931"/>
      <c r="M4" s="931"/>
      <c r="N4" s="931"/>
      <c r="O4" s="931"/>
      <c r="P4" s="931"/>
      <c r="Q4" s="942"/>
    </row>
    <row r="5" spans="3:17" ht="12.75">
      <c r="C5" s="941"/>
      <c r="D5" s="1031" t="s">
        <v>4812</v>
      </c>
      <c r="E5" s="1031"/>
      <c r="F5" s="1031"/>
      <c r="G5" s="1031"/>
      <c r="H5" s="1031"/>
      <c r="I5" s="1031"/>
      <c r="J5" s="1031"/>
      <c r="K5" s="1031"/>
      <c r="L5" s="1031"/>
      <c r="M5" s="1031"/>
      <c r="N5" s="1031"/>
      <c r="O5" s="1031"/>
      <c r="P5" s="1031"/>
      <c r="Q5" s="942"/>
    </row>
    <row r="6" spans="3:17" ht="12.75">
      <c r="C6" s="941"/>
      <c r="D6" s="1034"/>
      <c r="E6" s="1035"/>
      <c r="F6" s="1035"/>
      <c r="G6" s="1035"/>
      <c r="H6" s="1035"/>
      <c r="I6" s="1035"/>
      <c r="J6" s="1035"/>
      <c r="K6" s="1035"/>
      <c r="L6" s="1035"/>
      <c r="M6" s="1035"/>
      <c r="N6" s="1035"/>
      <c r="O6" s="1035"/>
      <c r="P6" s="1036"/>
      <c r="Q6" s="942"/>
    </row>
    <row r="7" spans="3:17" ht="12.75">
      <c r="C7" s="941"/>
      <c r="D7" s="1037"/>
      <c r="E7" s="931"/>
      <c r="F7" s="1033" t="s">
        <v>4697</v>
      </c>
      <c r="G7" s="931"/>
      <c r="H7" s="1033" t="s">
        <v>4698</v>
      </c>
      <c r="I7" s="931"/>
      <c r="J7" s="1033" t="s">
        <v>5159</v>
      </c>
      <c r="K7" s="931"/>
      <c r="L7" s="931"/>
      <c r="M7" s="931"/>
      <c r="N7" s="931"/>
      <c r="O7" s="931"/>
      <c r="P7" s="1032"/>
      <c r="Q7" s="942"/>
    </row>
    <row r="8" spans="3:17" ht="12.75">
      <c r="C8" s="941"/>
      <c r="D8" s="982"/>
      <c r="E8" s="934"/>
      <c r="F8" s="934"/>
      <c r="G8" s="934"/>
      <c r="H8" s="934"/>
      <c r="I8" s="934"/>
      <c r="J8" s="934"/>
      <c r="K8" s="934"/>
      <c r="L8" s="934"/>
      <c r="M8" s="934"/>
      <c r="N8" s="934"/>
      <c r="O8" s="934"/>
      <c r="P8" s="983"/>
      <c r="Q8" s="942"/>
    </row>
    <row r="9" spans="3:17" ht="12.75">
      <c r="C9" s="941"/>
      <c r="D9" s="1040" t="s">
        <v>4813</v>
      </c>
      <c r="E9" s="1041"/>
      <c r="F9" s="1042">
        <f>INDEX(decProd1Price,xxIndexTeam)</f>
        <v>255</v>
      </c>
      <c r="G9" s="1042"/>
      <c r="H9" s="1042">
        <f>INDEX(decProd1V2Price,xxIndexTeam)</f>
        <v>275</v>
      </c>
      <c r="I9" s="1042"/>
      <c r="J9" s="1042">
        <f>INDEX(decProd1V3Price,xxIndexTeam)</f>
        <v>295</v>
      </c>
      <c r="K9" s="934"/>
      <c r="L9" s="934"/>
      <c r="M9" s="934"/>
      <c r="N9" s="934"/>
      <c r="O9" s="934"/>
      <c r="P9" s="983"/>
      <c r="Q9" s="942"/>
    </row>
    <row r="10" spans="3:17" ht="12.75">
      <c r="C10" s="941"/>
      <c r="D10" s="982"/>
      <c r="E10" s="934"/>
      <c r="F10" s="934"/>
      <c r="G10" s="934"/>
      <c r="H10" s="934"/>
      <c r="I10" s="934"/>
      <c r="J10" s="934"/>
      <c r="K10" s="934"/>
      <c r="L10" s="934"/>
      <c r="M10" s="934"/>
      <c r="N10" s="934"/>
      <c r="O10" s="934"/>
      <c r="P10" s="983"/>
      <c r="Q10" s="942"/>
    </row>
    <row r="11" spans="3:17" ht="12.75">
      <c r="C11" s="941"/>
      <c r="D11" s="1040" t="s">
        <v>4814</v>
      </c>
      <c r="E11" s="1041"/>
      <c r="F11" s="1044">
        <f>INDEX(decProd1Growth,xxIndexTeam)</f>
        <v>0.2</v>
      </c>
      <c r="G11" s="1041"/>
      <c r="H11" s="1044">
        <f>INDEX(decProd1V2Growth,xxIndexTeam)</f>
        <v>0.2</v>
      </c>
      <c r="I11" s="1041"/>
      <c r="J11" s="1044">
        <f>INDEX(decProd1V3Growth,xxIndexTeam)</f>
        <v>0.2</v>
      </c>
      <c r="K11" s="934"/>
      <c r="L11" s="934"/>
      <c r="M11" s="934"/>
      <c r="N11" s="934"/>
      <c r="O11" s="934"/>
      <c r="P11" s="983"/>
      <c r="Q11" s="942"/>
    </row>
    <row r="12" spans="3:17" ht="12.75">
      <c r="C12" s="941"/>
      <c r="D12" s="982"/>
      <c r="E12" s="934"/>
      <c r="F12" s="934"/>
      <c r="G12" s="934"/>
      <c r="H12" s="934"/>
      <c r="I12" s="934"/>
      <c r="J12" s="934"/>
      <c r="K12" s="934"/>
      <c r="L12" s="934"/>
      <c r="M12" s="934"/>
      <c r="N12" s="934"/>
      <c r="O12" s="934"/>
      <c r="P12" s="983"/>
      <c r="Q12" s="942"/>
    </row>
    <row r="13" spans="3:17" ht="12.75">
      <c r="C13" s="941"/>
      <c r="D13" s="1040" t="s">
        <v>4708</v>
      </c>
      <c r="E13" s="1041"/>
      <c r="F13" s="1043">
        <f>INDEX(decEntSvcsSalesSupportLevelPrac1,xxIndexTeam)</f>
        <v>90000</v>
      </c>
      <c r="G13" s="1041"/>
      <c r="H13" s="1043">
        <f>INDEX(decEntSvcsSalesSupportLevelPrac2,xxIndexTeam)</f>
        <v>40000</v>
      </c>
      <c r="I13" s="1041"/>
      <c r="J13" s="1043">
        <f>INDEX(decEntSvcsSalesSupportLevelPrac3,xxIndexTeam)</f>
        <v>15000</v>
      </c>
      <c r="K13" s="934"/>
      <c r="L13" s="934"/>
      <c r="M13" s="934"/>
      <c r="N13" s="934"/>
      <c r="O13" s="934"/>
      <c r="P13" s="983"/>
      <c r="Q13" s="942"/>
    </row>
    <row r="14" spans="3:17" ht="12.75">
      <c r="C14" s="941"/>
      <c r="D14" s="982"/>
      <c r="E14" s="934"/>
      <c r="F14" s="934"/>
      <c r="G14" s="934"/>
      <c r="H14" s="934"/>
      <c r="I14" s="934"/>
      <c r="J14" s="934"/>
      <c r="K14" s="934"/>
      <c r="L14" s="934"/>
      <c r="M14" s="934"/>
      <c r="N14" s="934"/>
      <c r="O14" s="934"/>
      <c r="P14" s="983"/>
      <c r="Q14" s="942"/>
    </row>
    <row r="15" spans="3:17" ht="12.75">
      <c r="C15" s="941"/>
      <c r="D15" s="1040" t="s">
        <v>4701</v>
      </c>
      <c r="E15" s="1041"/>
      <c r="F15" s="1041">
        <f>INDEX(decCompDevBusAV1,xxIndexTeam)</f>
        <v>1</v>
      </c>
      <c r="G15" s="1041"/>
      <c r="H15" s="1041">
        <f>INDEX(decCompDevBusAV2,xxIndexTeam)</f>
        <v>2</v>
      </c>
      <c r="I15" s="1041"/>
      <c r="J15" s="1041">
        <f>INDEX(decCompDevBusAV3,xxIndexTeam)</f>
        <v>0</v>
      </c>
      <c r="K15" s="934"/>
      <c r="L15" s="934"/>
      <c r="M15" s="934"/>
      <c r="N15" s="934"/>
      <c r="O15" s="934"/>
      <c r="P15" s="983"/>
      <c r="Q15" s="942"/>
    </row>
    <row r="16" spans="3:17" ht="12.75">
      <c r="C16" s="941"/>
      <c r="D16" s="982"/>
      <c r="E16" s="934"/>
      <c r="F16" s="934"/>
      <c r="G16" s="934"/>
      <c r="H16" s="934"/>
      <c r="I16" s="934"/>
      <c r="J16" s="934"/>
      <c r="K16" s="934"/>
      <c r="L16" s="934"/>
      <c r="M16" s="934"/>
      <c r="N16" s="934"/>
      <c r="O16" s="934"/>
      <c r="P16" s="983"/>
      <c r="Q16" s="942"/>
    </row>
    <row r="17" spans="3:17" ht="12.75">
      <c r="C17" s="941"/>
      <c r="D17" s="982"/>
      <c r="E17" s="934"/>
      <c r="F17" s="934"/>
      <c r="G17" s="934"/>
      <c r="H17" s="934"/>
      <c r="I17" s="934"/>
      <c r="J17" s="934"/>
      <c r="K17" s="934"/>
      <c r="L17" s="934"/>
      <c r="M17" s="934"/>
      <c r="N17" s="934"/>
      <c r="O17" s="934"/>
      <c r="P17" s="983"/>
      <c r="Q17" s="942"/>
    </row>
    <row r="18" spans="3:17" ht="12.75">
      <c r="C18" s="941"/>
      <c r="D18" s="1040" t="s">
        <v>1187</v>
      </c>
      <c r="E18" s="1041"/>
      <c r="F18" s="1042">
        <f>INDEX(capProd1Adv,xxIndexTeam)</f>
        <v>7500000</v>
      </c>
      <c r="G18" s="934"/>
      <c r="H18" s="934"/>
      <c r="I18" s="934"/>
      <c r="J18" s="934"/>
      <c r="K18" s="934"/>
      <c r="L18" s="934"/>
      <c r="M18" s="934"/>
      <c r="N18" s="934"/>
      <c r="O18" s="934"/>
      <c r="P18" s="983"/>
      <c r="Q18" s="942"/>
    </row>
    <row r="19" spans="3:17" ht="12.75">
      <c r="C19" s="941"/>
      <c r="D19" s="1038"/>
      <c r="E19" s="955"/>
      <c r="F19" s="955"/>
      <c r="G19" s="955"/>
      <c r="H19" s="955"/>
      <c r="I19" s="955"/>
      <c r="J19" s="955"/>
      <c r="K19" s="955"/>
      <c r="L19" s="955"/>
      <c r="M19" s="955"/>
      <c r="N19" s="955"/>
      <c r="O19" s="955"/>
      <c r="P19" s="1039"/>
      <c r="Q19" s="942"/>
    </row>
    <row r="20" spans="3:17" ht="12.75">
      <c r="C20" s="941"/>
      <c r="D20" s="934"/>
      <c r="E20" s="934"/>
      <c r="F20" s="934"/>
      <c r="G20" s="934"/>
      <c r="H20" s="934"/>
      <c r="I20" s="934"/>
      <c r="J20" s="934"/>
      <c r="K20" s="934"/>
      <c r="L20" s="934"/>
      <c r="M20" s="934"/>
      <c r="N20" s="934"/>
      <c r="O20" s="934"/>
      <c r="P20" s="934"/>
      <c r="Q20" s="942"/>
    </row>
    <row r="21" spans="3:17" ht="12.75">
      <c r="C21" s="941"/>
      <c r="D21" s="931" t="s">
        <v>4699</v>
      </c>
      <c r="E21" s="934"/>
      <c r="F21" s="934"/>
      <c r="G21" s="934"/>
      <c r="H21" s="934"/>
      <c r="I21" s="934"/>
      <c r="J21" s="934"/>
      <c r="K21" s="934"/>
      <c r="L21" s="934"/>
      <c r="M21" s="934"/>
      <c r="N21" s="934"/>
      <c r="O21" s="934"/>
      <c r="P21" s="934"/>
      <c r="Q21" s="942"/>
    </row>
    <row r="22" spans="3:17" ht="12.75">
      <c r="C22" s="941"/>
      <c r="D22" s="1045"/>
      <c r="E22" s="1046"/>
      <c r="F22" s="1046"/>
      <c r="G22" s="1046"/>
      <c r="H22" s="1046"/>
      <c r="I22" s="1046"/>
      <c r="J22" s="1046"/>
      <c r="K22" s="1046"/>
      <c r="L22" s="1046"/>
      <c r="M22" s="1046"/>
      <c r="N22" s="1046"/>
      <c r="O22" s="1046"/>
      <c r="P22" s="1047"/>
      <c r="Q22" s="942"/>
    </row>
    <row r="23" spans="3:17" ht="12.75">
      <c r="C23" s="941"/>
      <c r="D23" s="982"/>
      <c r="E23" s="934"/>
      <c r="F23" s="1033" t="s">
        <v>4703</v>
      </c>
      <c r="G23" s="934"/>
      <c r="H23" s="1033" t="s">
        <v>4704</v>
      </c>
      <c r="I23" s="934"/>
      <c r="J23" s="1033" t="s">
        <v>4705</v>
      </c>
      <c r="K23" s="934"/>
      <c r="L23" s="1033" t="s">
        <v>5180</v>
      </c>
      <c r="M23" s="934"/>
      <c r="N23" s="934"/>
      <c r="O23" s="934"/>
      <c r="P23" s="983"/>
      <c r="Q23" s="942"/>
    </row>
    <row r="24" spans="3:17" ht="12.75">
      <c r="C24" s="941"/>
      <c r="D24" s="982"/>
      <c r="E24" s="934"/>
      <c r="F24" s="934"/>
      <c r="G24" s="934"/>
      <c r="H24" s="934"/>
      <c r="I24" s="934"/>
      <c r="J24" s="934"/>
      <c r="K24" s="934"/>
      <c r="L24" s="934"/>
      <c r="M24" s="934"/>
      <c r="N24" s="934"/>
      <c r="O24" s="934"/>
      <c r="P24" s="983"/>
      <c r="Q24" s="942"/>
    </row>
    <row r="25" spans="3:17" ht="12.75">
      <c r="C25" s="941"/>
      <c r="D25" s="1040" t="s">
        <v>4815</v>
      </c>
      <c r="E25" s="1041"/>
      <c r="F25" s="1043">
        <f>INDEX(decBusAEmp4HrsCurrProj,xxIndexTeam)</f>
        <v>40000</v>
      </c>
      <c r="G25" s="1041"/>
      <c r="H25" s="1043">
        <f>INDEX(decBusAEmp3HrsCurrProj,xxIndexTeam)</f>
        <v>110000</v>
      </c>
      <c r="I25" s="1041"/>
      <c r="J25" s="1043">
        <f>INDEX(decBusAEmp2HrsCurrProj,xxIndexTeam)</f>
        <v>175000</v>
      </c>
      <c r="K25" s="1041"/>
      <c r="L25" s="1043">
        <f>INDEX(decBusAEmp9HrsCurrProj,xxIndexTeam)</f>
        <v>295000</v>
      </c>
      <c r="M25" s="1041"/>
      <c r="N25" s="934"/>
      <c r="O25" s="934"/>
      <c r="P25" s="983"/>
      <c r="Q25" s="942"/>
    </row>
    <row r="26" spans="3:17" ht="12.75">
      <c r="C26" s="941"/>
      <c r="D26" s="982"/>
      <c r="E26" s="934"/>
      <c r="F26" s="934"/>
      <c r="G26" s="934"/>
      <c r="H26" s="934"/>
      <c r="I26" s="934"/>
      <c r="J26" s="934"/>
      <c r="K26" s="934"/>
      <c r="L26" s="934"/>
      <c r="M26" s="934"/>
      <c r="N26" s="934"/>
      <c r="O26" s="934"/>
      <c r="P26" s="983"/>
      <c r="Q26" s="942"/>
    </row>
    <row r="27" spans="3:17" ht="12.75">
      <c r="C27" s="941"/>
      <c r="D27" s="982"/>
      <c r="E27" s="934"/>
      <c r="F27" s="934"/>
      <c r="G27" s="934"/>
      <c r="H27" s="934"/>
      <c r="I27" s="934"/>
      <c r="J27" s="934"/>
      <c r="K27" s="934"/>
      <c r="L27" s="934"/>
      <c r="M27" s="934"/>
      <c r="N27" s="934"/>
      <c r="O27" s="934"/>
      <c r="P27" s="983"/>
      <c r="Q27" s="942"/>
    </row>
    <row r="28" spans="3:17" ht="12.75">
      <c r="C28" s="941"/>
      <c r="D28" s="1040" t="s">
        <v>5169</v>
      </c>
      <c r="E28" s="1041"/>
      <c r="F28" s="1044">
        <f>tlInputBusAEmp1HrsCurrProj/100</f>
        <v>0.05</v>
      </c>
      <c r="G28" s="934"/>
      <c r="H28" s="934"/>
      <c r="I28" s="934"/>
      <c r="J28" s="934"/>
      <c r="K28" s="934"/>
      <c r="L28" s="934"/>
      <c r="M28" s="934"/>
      <c r="N28" s="934"/>
      <c r="O28" s="934"/>
      <c r="P28" s="983"/>
      <c r="Q28" s="942"/>
    </row>
    <row r="29" spans="3:17" ht="12.75">
      <c r="C29" s="941"/>
      <c r="D29" s="1038"/>
      <c r="E29" s="955"/>
      <c r="F29" s="955"/>
      <c r="G29" s="955"/>
      <c r="H29" s="955"/>
      <c r="I29" s="955"/>
      <c r="J29" s="955"/>
      <c r="K29" s="955"/>
      <c r="L29" s="955"/>
      <c r="M29" s="955"/>
      <c r="N29" s="955"/>
      <c r="O29" s="955"/>
      <c r="P29" s="1039"/>
      <c r="Q29" s="942"/>
    </row>
    <row r="30" spans="3:17" ht="12.75">
      <c r="C30" s="941"/>
      <c r="D30" s="934"/>
      <c r="E30" s="934"/>
      <c r="F30" s="934"/>
      <c r="G30" s="934"/>
      <c r="H30" s="934"/>
      <c r="I30" s="934"/>
      <c r="J30" s="934"/>
      <c r="K30" s="934"/>
      <c r="L30" s="934"/>
      <c r="M30" s="934"/>
      <c r="N30" s="934"/>
      <c r="O30" s="934"/>
      <c r="P30" s="934"/>
      <c r="Q30" s="942"/>
    </row>
    <row r="31" spans="3:17" ht="12.75">
      <c r="C31" s="941"/>
      <c r="D31" s="931" t="s">
        <v>4700</v>
      </c>
      <c r="E31" s="934"/>
      <c r="F31" s="934"/>
      <c r="G31" s="934"/>
      <c r="H31" s="934"/>
      <c r="I31" s="934"/>
      <c r="J31" s="934"/>
      <c r="K31" s="934"/>
      <c r="L31" s="934"/>
      <c r="M31" s="934"/>
      <c r="N31" s="934"/>
      <c r="O31" s="934"/>
      <c r="P31" s="934"/>
      <c r="Q31" s="942"/>
    </row>
    <row r="32" spans="3:17" ht="12.75">
      <c r="C32" s="941"/>
      <c r="D32" s="1045"/>
      <c r="E32" s="1046"/>
      <c r="F32" s="1046"/>
      <c r="G32" s="1046"/>
      <c r="H32" s="1046"/>
      <c r="I32" s="1046"/>
      <c r="J32" s="1046"/>
      <c r="K32" s="1046"/>
      <c r="L32" s="1046"/>
      <c r="M32" s="1046"/>
      <c r="N32" s="1046"/>
      <c r="O32" s="1046"/>
      <c r="P32" s="1047"/>
      <c r="Q32" s="942"/>
    </row>
    <row r="33" spans="3:17" ht="12.75">
      <c r="C33" s="941"/>
      <c r="D33" s="982"/>
      <c r="E33" s="934"/>
      <c r="F33" s="1033" t="s">
        <v>4703</v>
      </c>
      <c r="G33" s="934"/>
      <c r="H33" s="1033" t="s">
        <v>4704</v>
      </c>
      <c r="I33" s="934"/>
      <c r="J33" s="1033" t="s">
        <v>4705</v>
      </c>
      <c r="K33" s="934"/>
      <c r="L33" s="1033" t="s">
        <v>5180</v>
      </c>
      <c r="M33" s="934"/>
      <c r="N33" s="934"/>
      <c r="O33" s="934"/>
      <c r="P33" s="983"/>
      <c r="Q33" s="942"/>
    </row>
    <row r="34" spans="3:17" ht="12.75">
      <c r="C34" s="941"/>
      <c r="D34" s="982"/>
      <c r="E34" s="934"/>
      <c r="F34" s="934"/>
      <c r="G34" s="934"/>
      <c r="H34" s="934"/>
      <c r="I34" s="934"/>
      <c r="J34" s="934"/>
      <c r="K34" s="934"/>
      <c r="L34" s="934"/>
      <c r="M34" s="934"/>
      <c r="N34" s="934"/>
      <c r="O34" s="934"/>
      <c r="P34" s="983"/>
      <c r="Q34" s="942"/>
    </row>
    <row r="35" spans="3:17" ht="12.75">
      <c r="C35" s="941"/>
      <c r="D35" s="1040" t="s">
        <v>4815</v>
      </c>
      <c r="E35" s="1041"/>
      <c r="F35" s="1043">
        <f>INDEX(decBusAEmp4HrsCurrProjV2,xxIndexTeam)</f>
        <v>25000</v>
      </c>
      <c r="G35" s="1041"/>
      <c r="H35" s="1043">
        <f>INDEX(decBusAEmp3HrsCurrProjV2,xxIndexTeam)</f>
        <v>85000</v>
      </c>
      <c r="I35" s="1041"/>
      <c r="J35" s="1043">
        <f>INDEX(decBusAEmp2HrsCurrProjV2,xxIndexTeam)</f>
        <v>165000</v>
      </c>
      <c r="K35" s="1041"/>
      <c r="L35" s="1043">
        <f>INDEX(decBusAEmp9HrsCurrProjV2,xxIndexTeam)</f>
        <v>20000</v>
      </c>
      <c r="M35" s="1041"/>
      <c r="N35" s="934"/>
      <c r="O35" s="934"/>
      <c r="P35" s="983"/>
      <c r="Q35" s="942"/>
    </row>
    <row r="36" spans="3:17" ht="12.75">
      <c r="C36" s="941"/>
      <c r="D36" s="982"/>
      <c r="E36" s="934"/>
      <c r="F36" s="934"/>
      <c r="G36" s="934"/>
      <c r="H36" s="934"/>
      <c r="I36" s="934"/>
      <c r="J36" s="934"/>
      <c r="K36" s="934"/>
      <c r="L36" s="934"/>
      <c r="M36" s="934"/>
      <c r="N36" s="934"/>
      <c r="O36" s="934"/>
      <c r="P36" s="983"/>
      <c r="Q36" s="942"/>
    </row>
    <row r="37" spans="3:17" ht="12.75">
      <c r="C37" s="941"/>
      <c r="D37" s="982"/>
      <c r="E37" s="934"/>
      <c r="F37" s="934"/>
      <c r="G37" s="934"/>
      <c r="H37" s="934"/>
      <c r="I37" s="934"/>
      <c r="J37" s="934"/>
      <c r="K37" s="934"/>
      <c r="L37" s="934"/>
      <c r="M37" s="934"/>
      <c r="N37" s="934"/>
      <c r="O37" s="934"/>
      <c r="P37" s="983"/>
      <c r="Q37" s="942"/>
    </row>
    <row r="38" spans="3:17" ht="12.75">
      <c r="C38" s="941"/>
      <c r="D38" s="1040" t="s">
        <v>5169</v>
      </c>
      <c r="E38" s="1041"/>
      <c r="F38" s="1044">
        <f>tlInputBusAEmp1HrsCurrProjV2/100</f>
        <v>0.05</v>
      </c>
      <c r="G38" s="934"/>
      <c r="H38" s="934"/>
      <c r="I38" s="934"/>
      <c r="J38" s="934"/>
      <c r="K38" s="934"/>
      <c r="L38" s="934"/>
      <c r="M38" s="934"/>
      <c r="N38" s="934"/>
      <c r="O38" s="934"/>
      <c r="P38" s="983"/>
      <c r="Q38" s="942"/>
    </row>
    <row r="39" spans="3:17" ht="12.75">
      <c r="C39" s="941"/>
      <c r="D39" s="1038"/>
      <c r="E39" s="955"/>
      <c r="F39" s="955"/>
      <c r="G39" s="955"/>
      <c r="H39" s="955"/>
      <c r="I39" s="955"/>
      <c r="J39" s="955"/>
      <c r="K39" s="955"/>
      <c r="L39" s="955"/>
      <c r="M39" s="955"/>
      <c r="N39" s="955"/>
      <c r="O39" s="955"/>
      <c r="P39" s="1039"/>
      <c r="Q39" s="942"/>
    </row>
    <row r="40" spans="3:17" ht="12.75">
      <c r="C40" s="941"/>
      <c r="D40" s="934"/>
      <c r="E40" s="934"/>
      <c r="F40" s="934"/>
      <c r="G40" s="934"/>
      <c r="H40" s="934"/>
      <c r="I40" s="934"/>
      <c r="J40" s="934"/>
      <c r="K40" s="934"/>
      <c r="L40" s="934"/>
      <c r="M40" s="934"/>
      <c r="N40" s="934"/>
      <c r="O40" s="934"/>
      <c r="P40" s="934"/>
      <c r="Q40" s="942"/>
    </row>
    <row r="41" spans="3:17" ht="12.75">
      <c r="C41" s="941"/>
      <c r="D41" s="931" t="s">
        <v>5157</v>
      </c>
      <c r="E41" s="934"/>
      <c r="F41" s="934"/>
      <c r="G41" s="934"/>
      <c r="H41" s="934"/>
      <c r="I41" s="934"/>
      <c r="J41" s="934"/>
      <c r="K41" s="934"/>
      <c r="L41" s="934"/>
      <c r="M41" s="934"/>
      <c r="N41" s="934"/>
      <c r="O41" s="934"/>
      <c r="P41" s="934"/>
      <c r="Q41" s="942"/>
    </row>
    <row r="42" spans="3:17" ht="12.75">
      <c r="C42" s="941"/>
      <c r="D42" s="1045"/>
      <c r="E42" s="1046"/>
      <c r="F42" s="1046"/>
      <c r="G42" s="1046"/>
      <c r="H42" s="1046"/>
      <c r="I42" s="1046"/>
      <c r="J42" s="1046"/>
      <c r="K42" s="1046"/>
      <c r="L42" s="1046"/>
      <c r="M42" s="1046"/>
      <c r="N42" s="1046"/>
      <c r="O42" s="1046"/>
      <c r="P42" s="1047"/>
      <c r="Q42" s="942"/>
    </row>
    <row r="43" spans="3:17" ht="12.75">
      <c r="C43" s="941"/>
      <c r="D43" s="982"/>
      <c r="E43" s="934"/>
      <c r="F43" s="1033" t="s">
        <v>4703</v>
      </c>
      <c r="G43" s="934"/>
      <c r="H43" s="1033" t="s">
        <v>4704</v>
      </c>
      <c r="I43" s="934"/>
      <c r="J43" s="1033" t="s">
        <v>4705</v>
      </c>
      <c r="K43" s="934"/>
      <c r="L43" s="1033" t="s">
        <v>5180</v>
      </c>
      <c r="M43" s="934"/>
      <c r="N43" s="934"/>
      <c r="O43" s="934"/>
      <c r="P43" s="983"/>
      <c r="Q43" s="942"/>
    </row>
    <row r="44" spans="3:17" ht="12.75">
      <c r="C44" s="941"/>
      <c r="D44" s="982"/>
      <c r="E44" s="934"/>
      <c r="F44" s="934"/>
      <c r="G44" s="934"/>
      <c r="H44" s="934"/>
      <c r="I44" s="934"/>
      <c r="J44" s="934"/>
      <c r="K44" s="934"/>
      <c r="L44" s="934"/>
      <c r="M44" s="934"/>
      <c r="N44" s="934"/>
      <c r="O44" s="934"/>
      <c r="P44" s="983"/>
      <c r="Q44" s="942"/>
    </row>
    <row r="45" spans="3:17" ht="12.75">
      <c r="C45" s="941"/>
      <c r="D45" s="1040" t="s">
        <v>4815</v>
      </c>
      <c r="E45" s="1041"/>
      <c r="F45" s="1043">
        <f>INDEX(decBusAEmp4HrsCurrProjV3,xxIndexTeam)</f>
        <v>6000</v>
      </c>
      <c r="G45" s="1041"/>
      <c r="H45" s="1043">
        <f>INDEX(decBusAEmp3HrsCurrProjV3,xxIndexTeam)</f>
        <v>25000</v>
      </c>
      <c r="I45" s="1041"/>
      <c r="J45" s="1043">
        <f>INDEX(decBusAEmp2HrsCurrProjV3,xxIndexTeam)</f>
        <v>50000</v>
      </c>
      <c r="K45" s="1041"/>
      <c r="L45" s="1043">
        <f>INDEX(decBusAEmp9HrsCurrProjV3,xxIndexTeam)</f>
        <v>20000</v>
      </c>
      <c r="M45" s="1041"/>
      <c r="N45" s="934"/>
      <c r="O45" s="934"/>
      <c r="P45" s="983"/>
      <c r="Q45" s="942"/>
    </row>
    <row r="46" spans="3:17" ht="12.75">
      <c r="C46" s="941"/>
      <c r="D46" s="982"/>
      <c r="E46" s="934"/>
      <c r="F46" s="934"/>
      <c r="G46" s="934"/>
      <c r="H46" s="934"/>
      <c r="I46" s="934"/>
      <c r="J46" s="934"/>
      <c r="K46" s="934"/>
      <c r="L46" s="934"/>
      <c r="M46" s="934"/>
      <c r="N46" s="934"/>
      <c r="O46" s="934"/>
      <c r="P46" s="983"/>
      <c r="Q46" s="942"/>
    </row>
    <row r="47" spans="3:17" ht="12.75">
      <c r="C47" s="941"/>
      <c r="D47" s="982"/>
      <c r="E47" s="934"/>
      <c r="F47" s="934"/>
      <c r="G47" s="934"/>
      <c r="H47" s="934"/>
      <c r="I47" s="934"/>
      <c r="J47" s="934"/>
      <c r="K47" s="934"/>
      <c r="L47" s="934"/>
      <c r="M47" s="934"/>
      <c r="N47" s="934"/>
      <c r="O47" s="934"/>
      <c r="P47" s="983"/>
      <c r="Q47" s="942"/>
    </row>
    <row r="48" spans="3:17" ht="12.75">
      <c r="C48" s="941"/>
      <c r="D48" s="1040" t="s">
        <v>5169</v>
      </c>
      <c r="E48" s="1041"/>
      <c r="F48" s="1044">
        <f>tlInputBusAEmp1HrsCurrProjV3/100</f>
        <v>0.05</v>
      </c>
      <c r="G48" s="934"/>
      <c r="H48" s="934"/>
      <c r="I48" s="934"/>
      <c r="J48" s="934"/>
      <c r="K48" s="934"/>
      <c r="L48" s="934"/>
      <c r="M48" s="934"/>
      <c r="N48" s="934"/>
      <c r="O48" s="934"/>
      <c r="P48" s="983"/>
      <c r="Q48" s="942"/>
    </row>
    <row r="49" spans="3:17" ht="12.75">
      <c r="C49" s="941"/>
      <c r="D49" s="1038"/>
      <c r="E49" s="955"/>
      <c r="F49" s="955"/>
      <c r="G49" s="955"/>
      <c r="H49" s="955"/>
      <c r="I49" s="955"/>
      <c r="J49" s="955"/>
      <c r="K49" s="955"/>
      <c r="L49" s="955"/>
      <c r="M49" s="955"/>
      <c r="N49" s="955"/>
      <c r="O49" s="955"/>
      <c r="P49" s="1039"/>
      <c r="Q49" s="942"/>
    </row>
    <row r="50" spans="3:17" ht="12.75">
      <c r="C50" s="941"/>
      <c r="D50" s="931"/>
      <c r="E50" s="931"/>
      <c r="F50" s="931"/>
      <c r="G50" s="931"/>
      <c r="H50" s="931"/>
      <c r="I50" s="931"/>
      <c r="J50" s="931"/>
      <c r="K50" s="931"/>
      <c r="L50" s="931"/>
      <c r="M50" s="931"/>
      <c r="N50" s="931"/>
      <c r="O50" s="931"/>
      <c r="P50" s="931"/>
      <c r="Q50" s="942"/>
    </row>
    <row r="51" spans="3:17" ht="12.75">
      <c r="C51" s="941"/>
      <c r="D51" s="1031" t="s">
        <v>4816</v>
      </c>
      <c r="E51" s="1031"/>
      <c r="F51" s="1031"/>
      <c r="G51" s="1031"/>
      <c r="H51" s="1031"/>
      <c r="I51" s="1031"/>
      <c r="J51" s="1031"/>
      <c r="K51" s="1031"/>
      <c r="L51" s="1031"/>
      <c r="M51" s="1031"/>
      <c r="N51" s="1031"/>
      <c r="O51" s="1031"/>
      <c r="P51" s="1031"/>
      <c r="Q51" s="942"/>
    </row>
    <row r="52" spans="3:17" ht="12.75">
      <c r="C52" s="941"/>
      <c r="D52" s="1034"/>
      <c r="E52" s="1035"/>
      <c r="F52" s="1035"/>
      <c r="G52" s="1035"/>
      <c r="H52" s="1035"/>
      <c r="I52" s="1035"/>
      <c r="J52" s="1035"/>
      <c r="K52" s="1035"/>
      <c r="L52" s="1035"/>
      <c r="M52" s="1035"/>
      <c r="N52" s="1035"/>
      <c r="O52" s="1035"/>
      <c r="P52" s="1036"/>
      <c r="Q52" s="942"/>
    </row>
    <row r="53" spans="3:17" ht="12.75">
      <c r="C53" s="941"/>
      <c r="D53" s="1037"/>
      <c r="E53" s="931"/>
      <c r="F53" s="1033" t="s">
        <v>4703</v>
      </c>
      <c r="G53" s="934"/>
      <c r="H53" s="1033" t="s">
        <v>4704</v>
      </c>
      <c r="I53" s="934"/>
      <c r="J53" s="1033" t="s">
        <v>4705</v>
      </c>
      <c r="K53" s="934"/>
      <c r="L53" s="1033" t="s">
        <v>4696</v>
      </c>
      <c r="M53" s="934"/>
      <c r="N53" s="1033" t="s">
        <v>5180</v>
      </c>
      <c r="O53" s="931"/>
      <c r="P53" s="1032"/>
      <c r="Q53" s="942"/>
    </row>
    <row r="54" spans="3:17" ht="12.75">
      <c r="C54" s="941"/>
      <c r="D54" s="982"/>
      <c r="E54" s="934"/>
      <c r="F54" s="934"/>
      <c r="G54" s="934"/>
      <c r="H54" s="934"/>
      <c r="I54" s="934"/>
      <c r="J54" s="934"/>
      <c r="K54" s="934"/>
      <c r="L54" s="934"/>
      <c r="M54" s="934"/>
      <c r="N54" s="934"/>
      <c r="O54" s="934"/>
      <c r="P54" s="983"/>
      <c r="Q54" s="942"/>
    </row>
    <row r="55" spans="3:17" ht="12.75">
      <c r="C55" s="941"/>
      <c r="D55" s="1040" t="s">
        <v>1186</v>
      </c>
      <c r="E55" s="1041"/>
      <c r="F55" s="1048">
        <f>INDEX(decEmp4BusAHire,xxIndexTeam)</f>
        <v>20</v>
      </c>
      <c r="G55" s="1042"/>
      <c r="H55" s="1048">
        <f>INDEX(decEmp3BusAHire,xxIndexTeam)</f>
        <v>136</v>
      </c>
      <c r="I55" s="1042"/>
      <c r="J55" s="1048">
        <f>INDEX(decEmp2BusAHire,xxIndexTeam)</f>
        <v>204</v>
      </c>
      <c r="K55" s="1048"/>
      <c r="L55" s="1048">
        <f>INDEX(decEntWFHire,xxIndexTeam)</f>
        <v>194</v>
      </c>
      <c r="M55" s="1048"/>
      <c r="N55" s="1048">
        <f>INDEX(decEmp9BusAHire,xxIndexTeam)</f>
        <v>26</v>
      </c>
      <c r="O55" s="934"/>
      <c r="P55" s="983"/>
      <c r="Q55" s="942"/>
    </row>
    <row r="56" spans="3:17" ht="12.75">
      <c r="C56" s="941"/>
      <c r="D56" s="982"/>
      <c r="E56" s="934"/>
      <c r="F56" s="934"/>
      <c r="G56" s="934"/>
      <c r="H56" s="934"/>
      <c r="I56" s="934"/>
      <c r="J56" s="934"/>
      <c r="K56" s="934"/>
      <c r="L56" s="934"/>
      <c r="M56" s="934"/>
      <c r="N56" s="934"/>
      <c r="O56" s="934"/>
      <c r="P56" s="983"/>
      <c r="Q56" s="942"/>
    </row>
    <row r="57" spans="3:17" ht="12.75">
      <c r="C57" s="941"/>
      <c r="D57" s="1040" t="s">
        <v>4690</v>
      </c>
      <c r="E57" s="1041"/>
      <c r="F57" s="1049" t="str">
        <f>INDEX(decEmp4BusADismiss,xxIndexTeam)</f>
        <v>Average</v>
      </c>
      <c r="G57" s="1041"/>
      <c r="H57" s="1049" t="str">
        <f>INDEX(decEmp3BusADismiss,xxIndexTeam)</f>
        <v>Average</v>
      </c>
      <c r="I57" s="1041"/>
      <c r="J57" s="1049" t="str">
        <f>INDEX(decEmp2BusADismiss,xxIndexTeam)</f>
        <v>Average</v>
      </c>
      <c r="K57" s="1049"/>
      <c r="L57" s="1049" t="str">
        <f>INDEX(decEntWFDismiss,xxIndexTeam)</f>
        <v>Average</v>
      </c>
      <c r="M57" s="1049"/>
      <c r="N57" s="1049" t="str">
        <f>INDEX(decEmp9BusADismiss,xxIndexTeam)</f>
        <v>Average</v>
      </c>
      <c r="O57" s="934"/>
      <c r="P57" s="983"/>
      <c r="Q57" s="942"/>
    </row>
    <row r="58" spans="3:17" ht="12.75">
      <c r="C58" s="941"/>
      <c r="D58" s="982"/>
      <c r="E58" s="934"/>
      <c r="F58" s="934"/>
      <c r="G58" s="934"/>
      <c r="H58" s="934"/>
      <c r="I58" s="934"/>
      <c r="J58" s="934"/>
      <c r="K58" s="934"/>
      <c r="L58" s="934"/>
      <c r="M58" s="934"/>
      <c r="N58" s="934"/>
      <c r="O58" s="934"/>
      <c r="P58" s="983"/>
      <c r="Q58" s="942"/>
    </row>
    <row r="59" spans="3:17" ht="12.75">
      <c r="C59" s="941"/>
      <c r="D59" s="1040" t="s">
        <v>1769</v>
      </c>
      <c r="E59" s="1041"/>
      <c r="F59" s="1049" t="str">
        <f>tlInputEmp4Salary</f>
        <v>At Market</v>
      </c>
      <c r="G59" s="1041"/>
      <c r="H59" s="1049" t="str">
        <f>tlInputEmp3Salary</f>
        <v>At Market</v>
      </c>
      <c r="I59" s="1041"/>
      <c r="J59" s="1049" t="str">
        <f>tlInputEmp2Salary</f>
        <v>At Market</v>
      </c>
      <c r="K59" s="934"/>
      <c r="L59" s="934"/>
      <c r="M59" s="934"/>
      <c r="N59" s="934"/>
      <c r="O59" s="934"/>
      <c r="P59" s="983"/>
      <c r="Q59" s="942"/>
    </row>
    <row r="60" spans="3:17" ht="12.75">
      <c r="C60" s="941"/>
      <c r="D60" s="982"/>
      <c r="E60" s="934"/>
      <c r="F60" s="934"/>
      <c r="G60" s="934"/>
      <c r="H60" s="934"/>
      <c r="I60" s="934"/>
      <c r="J60" s="934"/>
      <c r="K60" s="934"/>
      <c r="L60" s="934"/>
      <c r="M60" s="934"/>
      <c r="N60" s="934"/>
      <c r="O60" s="934"/>
      <c r="P60" s="983"/>
      <c r="Q60" s="942"/>
    </row>
    <row r="61" spans="3:17" ht="12.75">
      <c r="C61" s="941"/>
      <c r="D61" s="1040" t="s">
        <v>2539</v>
      </c>
      <c r="E61" s="1041"/>
      <c r="F61" s="1041">
        <f>INDEX(decEmp4Training,xxIndexTeam)</f>
        <v>80</v>
      </c>
      <c r="G61" s="1041"/>
      <c r="H61" s="1041">
        <f>INDEX(decEmp3Training,xxIndexTeam)</f>
        <v>120</v>
      </c>
      <c r="I61" s="1041"/>
      <c r="J61" s="1041">
        <f>INDEX(decEmp2Training,xxIndexTeam)</f>
        <v>120</v>
      </c>
      <c r="K61" s="1041"/>
      <c r="L61" s="1041">
        <f>INDEX(decEntWFTraining,xxIndexTeam)</f>
        <v>120</v>
      </c>
      <c r="M61" s="934"/>
      <c r="N61" s="934"/>
      <c r="O61" s="934"/>
      <c r="P61" s="983"/>
      <c r="Q61" s="942"/>
    </row>
    <row r="62" spans="3:17" ht="12.75">
      <c r="C62" s="941"/>
      <c r="D62" s="982"/>
      <c r="E62" s="934"/>
      <c r="F62" s="934"/>
      <c r="G62" s="934"/>
      <c r="H62" s="934"/>
      <c r="I62" s="934"/>
      <c r="J62" s="934"/>
      <c r="K62" s="934"/>
      <c r="L62" s="934"/>
      <c r="M62" s="934"/>
      <c r="N62" s="934"/>
      <c r="O62" s="934"/>
      <c r="P62" s="983"/>
      <c r="Q62" s="942"/>
    </row>
    <row r="63" spans="3:17" ht="12.75">
      <c r="C63" s="941"/>
      <c r="D63" s="1040" t="s">
        <v>4817</v>
      </c>
      <c r="E63" s="1041"/>
      <c r="F63" s="1042">
        <f>INDEX(decEmp4TrainingBudget,xxIndexTeam)</f>
        <v>4250</v>
      </c>
      <c r="G63" s="1041"/>
      <c r="H63" s="1042">
        <f>INDEX(decEmp3TrainingBudget,xxIndexTeam)</f>
        <v>4250</v>
      </c>
      <c r="I63" s="1041"/>
      <c r="J63" s="1042">
        <f>INDEX(decEmp2TrainingBudget,xxIndexTeam)</f>
        <v>4250</v>
      </c>
      <c r="K63" s="1041"/>
      <c r="L63" s="1042">
        <f>INDEX(decEntWFTrainingBudget,xxIndexTeam)</f>
        <v>1500</v>
      </c>
      <c r="M63" s="934"/>
      <c r="N63" s="934"/>
      <c r="O63" s="934"/>
      <c r="P63" s="983"/>
      <c r="Q63" s="942"/>
    </row>
    <row r="64" spans="3:17" ht="12.75">
      <c r="C64" s="941"/>
      <c r="D64" s="1038"/>
      <c r="E64" s="955"/>
      <c r="F64" s="955"/>
      <c r="G64" s="955"/>
      <c r="H64" s="955"/>
      <c r="I64" s="955"/>
      <c r="J64" s="955"/>
      <c r="K64" s="955"/>
      <c r="L64" s="955"/>
      <c r="M64" s="955"/>
      <c r="N64" s="955"/>
      <c r="O64" s="955"/>
      <c r="P64" s="1039"/>
      <c r="Q64" s="942"/>
    </row>
    <row r="65" spans="3:17" ht="12.75">
      <c r="C65" s="941"/>
      <c r="D65" s="934"/>
      <c r="E65" s="934"/>
      <c r="F65" s="934"/>
      <c r="G65" s="934"/>
      <c r="H65" s="934"/>
      <c r="I65" s="934"/>
      <c r="J65" s="934"/>
      <c r="K65" s="934"/>
      <c r="L65" s="934"/>
      <c r="M65" s="934"/>
      <c r="N65" s="934"/>
      <c r="O65" s="934"/>
      <c r="P65" s="934"/>
      <c r="Q65" s="942"/>
    </row>
    <row r="66" spans="3:17" ht="12.75">
      <c r="C66" s="941"/>
      <c r="D66" s="934"/>
      <c r="E66" s="934"/>
      <c r="F66" s="934"/>
      <c r="G66" s="934"/>
      <c r="H66" s="934"/>
      <c r="I66" s="934"/>
      <c r="J66" s="934"/>
      <c r="K66" s="934"/>
      <c r="L66" s="934"/>
      <c r="M66" s="934"/>
      <c r="N66" s="934"/>
      <c r="O66" s="934"/>
      <c r="P66" s="934"/>
      <c r="Q66" s="942"/>
    </row>
    <row r="67" spans="3:17" ht="12.75">
      <c r="C67" s="941"/>
      <c r="D67" s="931" t="s">
        <v>4778</v>
      </c>
      <c r="E67" s="934"/>
      <c r="F67" s="934"/>
      <c r="G67" s="934"/>
      <c r="H67" s="934"/>
      <c r="I67" s="934"/>
      <c r="J67" s="934"/>
      <c r="K67" s="934"/>
      <c r="L67" s="934"/>
      <c r="M67" s="934"/>
      <c r="N67" s="934"/>
      <c r="O67" s="934"/>
      <c r="P67" s="934"/>
      <c r="Q67" s="942"/>
    </row>
    <row r="68" spans="3:17" ht="12.75">
      <c r="C68" s="941"/>
      <c r="D68" s="1045"/>
      <c r="E68" s="1046"/>
      <c r="F68" s="1046"/>
      <c r="G68" s="1046"/>
      <c r="H68" s="1046"/>
      <c r="I68" s="1046"/>
      <c r="J68" s="1046"/>
      <c r="K68" s="1046"/>
      <c r="L68" s="1046"/>
      <c r="M68" s="1046"/>
      <c r="N68" s="1046"/>
      <c r="O68" s="1046"/>
      <c r="P68" s="1047"/>
      <c r="Q68" s="942"/>
    </row>
    <row r="69" spans="3:17" ht="12.75">
      <c r="C69" s="941"/>
      <c r="D69" s="982"/>
      <c r="E69" s="1521" t="s">
        <v>4927</v>
      </c>
      <c r="F69" s="1521"/>
      <c r="G69" s="1521"/>
      <c r="H69" s="934"/>
      <c r="I69" s="934"/>
      <c r="J69" s="1521" t="s">
        <v>4774</v>
      </c>
      <c r="K69" s="1521"/>
      <c r="L69" s="934"/>
      <c r="M69" s="934"/>
      <c r="N69" s="934"/>
      <c r="O69" s="934"/>
      <c r="P69" s="983"/>
      <c r="Q69" s="942"/>
    </row>
    <row r="70" spans="3:17" ht="12.75">
      <c r="C70" s="941"/>
      <c r="D70" s="982"/>
      <c r="E70" s="934"/>
      <c r="F70" s="934"/>
      <c r="G70" s="934"/>
      <c r="H70" s="934"/>
      <c r="I70" s="934"/>
      <c r="J70" s="934"/>
      <c r="K70" s="934"/>
      <c r="L70" s="934"/>
      <c r="M70" s="934"/>
      <c r="N70" s="934"/>
      <c r="O70" s="934"/>
      <c r="P70" s="983"/>
      <c r="Q70" s="942"/>
    </row>
    <row r="71" spans="3:17" ht="12.75">
      <c r="C71" s="941"/>
      <c r="D71" s="1040" t="s">
        <v>4818</v>
      </c>
      <c r="E71" s="1041"/>
      <c r="F71" s="1043">
        <f>INDEX(decIndustryEminence,xxIndexTeam)</f>
        <v>3</v>
      </c>
      <c r="G71" s="1041"/>
      <c r="H71" s="1043"/>
      <c r="I71" s="1041"/>
      <c r="J71" s="1043">
        <f>INDEX(decInternalAssets,xxIndexTeam)</f>
        <v>3</v>
      </c>
      <c r="K71" s="1041"/>
      <c r="L71" s="934"/>
      <c r="M71" s="934"/>
      <c r="N71" s="934"/>
      <c r="O71" s="934"/>
      <c r="P71" s="983"/>
      <c r="Q71" s="942"/>
    </row>
    <row r="72" spans="3:17" ht="12.75">
      <c r="C72" s="941"/>
      <c r="D72" s="1038"/>
      <c r="E72" s="955"/>
      <c r="F72" s="955"/>
      <c r="G72" s="955"/>
      <c r="H72" s="955"/>
      <c r="I72" s="955"/>
      <c r="J72" s="955"/>
      <c r="K72" s="955"/>
      <c r="L72" s="955"/>
      <c r="M72" s="955"/>
      <c r="N72" s="955"/>
      <c r="O72" s="955"/>
      <c r="P72" s="1039"/>
      <c r="Q72" s="942"/>
    </row>
    <row r="73" spans="3:17" ht="12.75">
      <c r="C73" s="941"/>
      <c r="D73" s="934"/>
      <c r="E73" s="934"/>
      <c r="F73" s="934"/>
      <c r="G73" s="934"/>
      <c r="H73" s="934"/>
      <c r="I73" s="934"/>
      <c r="J73" s="934"/>
      <c r="K73" s="934"/>
      <c r="L73" s="934"/>
      <c r="M73" s="934"/>
      <c r="N73" s="934"/>
      <c r="O73" s="934"/>
      <c r="P73" s="934"/>
      <c r="Q73" s="942"/>
    </row>
    <row r="74" spans="3:17" ht="12.75">
      <c r="C74" s="941"/>
      <c r="D74" s="934"/>
      <c r="E74" s="934"/>
      <c r="F74" s="934"/>
      <c r="G74" s="934"/>
      <c r="H74" s="934"/>
      <c r="I74" s="934"/>
      <c r="J74" s="934"/>
      <c r="K74" s="934"/>
      <c r="L74" s="934"/>
      <c r="M74" s="934"/>
      <c r="N74" s="934"/>
      <c r="O74" s="934"/>
      <c r="P74" s="934"/>
      <c r="Q74" s="942"/>
    </row>
    <row r="75" spans="3:17" ht="12.75">
      <c r="C75" s="941"/>
      <c r="D75" s="931" t="s">
        <v>4819</v>
      </c>
      <c r="E75" s="934"/>
      <c r="F75" s="934"/>
      <c r="G75" s="934"/>
      <c r="H75" s="934"/>
      <c r="I75" s="934"/>
      <c r="J75" s="934"/>
      <c r="K75" s="934"/>
      <c r="L75" s="934"/>
      <c r="M75" s="934"/>
      <c r="N75" s="934"/>
      <c r="O75" s="934"/>
      <c r="P75" s="934"/>
      <c r="Q75" s="942"/>
    </row>
    <row r="76" spans="3:17" ht="12.75">
      <c r="C76" s="941"/>
      <c r="D76" s="1163"/>
      <c r="E76" s="1164"/>
      <c r="F76" s="1164"/>
      <c r="G76" s="1164"/>
      <c r="H76" s="1164"/>
      <c r="I76" s="1164"/>
      <c r="J76" s="1164"/>
      <c r="K76" s="1164"/>
      <c r="L76" s="1164"/>
      <c r="M76" s="1164"/>
      <c r="N76" s="1164"/>
      <c r="O76" s="1164"/>
      <c r="P76" s="1165"/>
      <c r="Q76" s="942"/>
    </row>
    <row r="77" spans="3:17" ht="12.75">
      <c r="C77" s="941"/>
      <c r="D77" s="1166"/>
      <c r="E77" s="934"/>
      <c r="F77" s="1162" t="s">
        <v>3298</v>
      </c>
      <c r="G77" s="934"/>
      <c r="H77" s="934"/>
      <c r="I77" s="934"/>
      <c r="J77" s="1162" t="s">
        <v>189</v>
      </c>
      <c r="K77" s="934"/>
      <c r="L77" s="934"/>
      <c r="M77" s="934"/>
      <c r="N77" s="934"/>
      <c r="O77" s="934"/>
      <c r="P77" s="1167"/>
      <c r="Q77" s="942"/>
    </row>
    <row r="78" spans="3:17" ht="12.75">
      <c r="C78" s="941"/>
      <c r="D78" s="1166"/>
      <c r="E78" s="934"/>
      <c r="F78" s="934"/>
      <c r="G78" s="934"/>
      <c r="H78" s="934"/>
      <c r="I78" s="934"/>
      <c r="J78" s="934"/>
      <c r="K78" s="934"/>
      <c r="L78" s="934"/>
      <c r="M78" s="934"/>
      <c r="N78" s="934"/>
      <c r="O78" s="934"/>
      <c r="P78" s="1167"/>
      <c r="Q78" s="942"/>
    </row>
    <row r="79" spans="3:17" ht="12.75">
      <c r="C79" s="941"/>
      <c r="D79" s="1168" t="s">
        <v>47</v>
      </c>
      <c r="E79" s="1041"/>
      <c r="F79" s="1041">
        <f>INDEX(decSpecProg1,xxIndexTeam)</f>
        <v>0</v>
      </c>
      <c r="G79" s="1041"/>
      <c r="H79" s="1043"/>
      <c r="I79" s="1041"/>
      <c r="J79" s="1520" t="str">
        <f>IF(F79&gt;0,VLOOKUP(F79,adj!$B$83:$D$275,3,FALSE),"-")</f>
        <v>-</v>
      </c>
      <c r="K79" s="1520"/>
      <c r="L79" s="1520"/>
      <c r="M79" s="1520"/>
      <c r="N79" s="1520"/>
      <c r="O79" s="934"/>
      <c r="P79" s="1167"/>
      <c r="Q79" s="942"/>
    </row>
    <row r="80" spans="3:17" ht="12.75">
      <c r="C80" s="941"/>
      <c r="D80" s="1166"/>
      <c r="E80" s="934"/>
      <c r="F80" s="934"/>
      <c r="G80" s="934"/>
      <c r="H80" s="934"/>
      <c r="I80" s="934"/>
      <c r="J80" s="934"/>
      <c r="K80" s="934"/>
      <c r="L80" s="934"/>
      <c r="M80" s="934"/>
      <c r="N80" s="934"/>
      <c r="O80" s="934"/>
      <c r="P80" s="1167"/>
      <c r="Q80" s="942"/>
    </row>
    <row r="81" spans="3:17" ht="12.75">
      <c r="C81" s="941"/>
      <c r="D81" s="1168" t="s">
        <v>48</v>
      </c>
      <c r="E81" s="1041"/>
      <c r="F81" s="1041">
        <f>INDEX(decSpecProg2,xxIndexTeam)</f>
        <v>0</v>
      </c>
      <c r="G81" s="1041"/>
      <c r="H81" s="1043"/>
      <c r="I81" s="1041"/>
      <c r="J81" s="1520" t="str">
        <f>IF(F81&gt;0,VLOOKUP(F81,adj!$B$83:$D$275,3,FALSE),"-")</f>
        <v>-</v>
      </c>
      <c r="K81" s="1520"/>
      <c r="L81" s="1520"/>
      <c r="M81" s="1520"/>
      <c r="N81" s="1520"/>
      <c r="O81" s="934"/>
      <c r="P81" s="1167"/>
      <c r="Q81" s="942"/>
    </row>
    <row r="82" spans="3:17" ht="12.75">
      <c r="C82" s="941"/>
      <c r="D82" s="1166"/>
      <c r="E82" s="934"/>
      <c r="F82" s="934"/>
      <c r="G82" s="934"/>
      <c r="H82" s="934"/>
      <c r="I82" s="934"/>
      <c r="J82" s="934"/>
      <c r="K82" s="934"/>
      <c r="L82" s="934"/>
      <c r="M82" s="934"/>
      <c r="N82" s="934"/>
      <c r="O82" s="934"/>
      <c r="P82" s="1167"/>
      <c r="Q82" s="942"/>
    </row>
    <row r="83" spans="3:17" ht="12.75">
      <c r="C83" s="941"/>
      <c r="D83" s="1168" t="s">
        <v>49</v>
      </c>
      <c r="E83" s="1041"/>
      <c r="F83" s="1041">
        <f>INDEX(decSpecProg3,xxIndexTeam)</f>
        <v>0</v>
      </c>
      <c r="G83" s="1041"/>
      <c r="H83" s="1043"/>
      <c r="I83" s="1041"/>
      <c r="J83" s="1520" t="str">
        <f>IF(F83&gt;0,VLOOKUP(F83,adj!$B$83:$D$275,3,FALSE),"-")</f>
        <v>-</v>
      </c>
      <c r="K83" s="1520"/>
      <c r="L83" s="1520"/>
      <c r="M83" s="1520"/>
      <c r="N83" s="1520"/>
      <c r="O83" s="934"/>
      <c r="P83" s="1167"/>
      <c r="Q83" s="942"/>
    </row>
    <row r="84" spans="3:17" ht="12.75">
      <c r="C84" s="941"/>
      <c r="D84" s="1166"/>
      <c r="E84" s="934"/>
      <c r="F84" s="934"/>
      <c r="G84" s="934"/>
      <c r="H84" s="934"/>
      <c r="I84" s="934"/>
      <c r="J84" s="934"/>
      <c r="K84" s="934"/>
      <c r="L84" s="934"/>
      <c r="M84" s="934"/>
      <c r="N84" s="934"/>
      <c r="O84" s="934"/>
      <c r="P84" s="1167"/>
      <c r="Q84" s="942"/>
    </row>
    <row r="85" spans="3:17" ht="12.75">
      <c r="C85" s="941"/>
      <c r="D85" s="1168" t="s">
        <v>50</v>
      </c>
      <c r="E85" s="1041"/>
      <c r="F85" s="1041">
        <f>INDEX(decSpecProg4,xxIndexTeam)</f>
        <v>0</v>
      </c>
      <c r="G85" s="1041"/>
      <c r="H85" s="1043"/>
      <c r="I85" s="1041"/>
      <c r="J85" s="1520" t="str">
        <f>IF(F85&gt;0,VLOOKUP(F85,adj!$B$83:$D$275,3,FALSE),"-")</f>
        <v>-</v>
      </c>
      <c r="K85" s="1520"/>
      <c r="L85" s="1520"/>
      <c r="M85" s="1520"/>
      <c r="N85" s="1520"/>
      <c r="O85" s="934"/>
      <c r="P85" s="1167"/>
      <c r="Q85" s="942"/>
    </row>
    <row r="86" spans="3:17" ht="12.95" customHeight="1">
      <c r="C86" s="941"/>
      <c r="D86" s="1169"/>
      <c r="E86" s="1170"/>
      <c r="F86" s="1170"/>
      <c r="G86" s="1170"/>
      <c r="H86" s="1170"/>
      <c r="I86" s="1170"/>
      <c r="J86" s="1170"/>
      <c r="K86" s="1170"/>
      <c r="L86" s="1170"/>
      <c r="M86" s="1170"/>
      <c r="N86" s="1170"/>
      <c r="O86" s="1170"/>
      <c r="P86" s="1171"/>
      <c r="Q86" s="942"/>
    </row>
    <row r="87" spans="3:17" ht="12.95" customHeight="1" thickBot="1">
      <c r="C87" s="943"/>
      <c r="D87" s="1172"/>
      <c r="E87" s="1172"/>
      <c r="F87" s="1172"/>
      <c r="G87" s="1172"/>
      <c r="H87" s="1172"/>
      <c r="I87" s="1172"/>
      <c r="J87" s="1172"/>
      <c r="K87" s="1172"/>
      <c r="L87" s="1172"/>
      <c r="M87" s="1172"/>
      <c r="N87" s="1172"/>
      <c r="O87" s="1172"/>
      <c r="P87" s="1172"/>
      <c r="Q87" s="944"/>
    </row>
  </sheetData>
  <mergeCells count="6">
    <mergeCell ref="J85:N85"/>
    <mergeCell ref="J69:K69"/>
    <mergeCell ref="E69:G69"/>
    <mergeCell ref="J79:N79"/>
    <mergeCell ref="J81:N81"/>
    <mergeCell ref="J83:N83"/>
  </mergeCells>
  <phoneticPr fontId="0" type="noConversion"/>
  <printOptions horizontalCentered="1"/>
  <pageMargins left="0.75" right="0.75" top="0.49" bottom="0.42" header="0.38" footer="0.33"/>
  <pageSetup scale="63" orientation="portrait" blackAndWhite="1" r:id="rId1"/>
  <headerFooter alignWithMargins="0">
    <oddFooter>&amp;CPage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99"/>
  </sheetPr>
  <dimension ref="A1:AA152"/>
  <sheetViews>
    <sheetView zoomScale="90" zoomScaleNormal="90" workbookViewId="0">
      <pane ySplit="7" topLeftCell="A12" activePane="bottomLeft" state="frozen"/>
      <selection pane="bottomLeft" activeCell="H32" sqref="H32"/>
    </sheetView>
  </sheetViews>
  <sheetFormatPr defaultColWidth="18.83203125" defaultRowHeight="12.75" customHeight="1"/>
  <cols>
    <col min="1" max="1" width="2.5" customWidth="1"/>
    <col min="2" max="2" width="2.33203125" customWidth="1"/>
    <col min="3" max="3" width="5.83203125" customWidth="1"/>
    <col min="4" max="4" width="13.83203125" customWidth="1"/>
    <col min="5" max="5" width="3.83203125" customWidth="1"/>
    <col min="6" max="6" width="13.83203125" customWidth="1"/>
    <col min="7" max="7" width="3.83203125" customWidth="1"/>
    <col min="8" max="8" width="13.83203125" customWidth="1"/>
    <col min="9" max="9" width="3.83203125" customWidth="1"/>
    <col min="10" max="10" width="13.83203125" customWidth="1"/>
    <col min="11" max="11" width="3.83203125" customWidth="1"/>
    <col min="12" max="12" width="13.83203125" customWidth="1"/>
    <col min="13" max="13" width="3.83203125" customWidth="1"/>
    <col min="14" max="14" width="13.83203125" customWidth="1"/>
    <col min="15" max="15" width="3.83203125" customWidth="1"/>
    <col min="16" max="16" width="13.83203125" customWidth="1"/>
    <col min="17" max="17" width="3.83203125" customWidth="1"/>
    <col min="18" max="18" width="13.83203125" customWidth="1"/>
    <col min="19" max="19" width="3.83203125" customWidth="1"/>
    <col min="20" max="20" width="13.83203125" customWidth="1"/>
    <col min="21" max="21" width="3.83203125" customWidth="1"/>
    <col min="22" max="22" width="13.83203125" customWidth="1"/>
    <col min="23" max="23" width="3.83203125" customWidth="1"/>
    <col min="24" max="24" width="13.83203125" customWidth="1"/>
    <col min="25" max="25" width="3.83203125" customWidth="1"/>
    <col min="26" max="26" width="13.83203125" customWidth="1"/>
  </cols>
  <sheetData>
    <row r="1" spans="1:27" s="866" customFormat="1" ht="4.5" customHeight="1"/>
    <row r="2" spans="1:27" s="867" customFormat="1" ht="26.25" customHeight="1">
      <c r="C2" s="867" t="s">
        <v>1608</v>
      </c>
      <c r="AA2" s="867" t="s">
        <v>5257</v>
      </c>
    </row>
    <row r="3" spans="1:27" s="864" customFormat="1" ht="15.75" customHeight="1">
      <c r="B3" s="865"/>
      <c r="M3" s="870" t="str">
        <f>xxDashboard</f>
        <v>Bookings: $338.8M       Bookings CAGR: 0.0%       Revenues: $200.5M       GM: 34.8%       OM: -73.2%</v>
      </c>
    </row>
    <row r="4" spans="1:27" s="867" customFormat="1" ht="42.75" customHeight="1">
      <c r="A4" s="1522" t="s">
        <v>4906</v>
      </c>
    </row>
    <row r="5" spans="1:27" s="1327" customFormat="1" ht="12" customHeight="1">
      <c r="A5" s="1522"/>
      <c r="D5" s="1328" t="s">
        <v>5305</v>
      </c>
      <c r="H5" s="1328" t="s">
        <v>5306</v>
      </c>
      <c r="L5" s="1328" t="s">
        <v>5307</v>
      </c>
      <c r="N5" s="1328"/>
      <c r="P5" s="1328" t="s">
        <v>5308</v>
      </c>
      <c r="T5" s="1328"/>
      <c r="U5" s="1328"/>
      <c r="X5" s="1328"/>
    </row>
    <row r="6" spans="1:27" s="867" customFormat="1" ht="4.5" customHeight="1"/>
    <row r="7" spans="1:27" s="864" customFormat="1" ht="15.75" customHeight="1">
      <c r="B7" s="865"/>
      <c r="M7" s="870" t="str">
        <f>xxDashboardBusA</f>
        <v>Goodwilll Hours Expense: $1.5M          Employee NPS: 68.9%          Client NPS: 64.3%</v>
      </c>
    </row>
    <row r="8" spans="1:27" s="874" customFormat="1" ht="15.75" customHeight="1"/>
    <row r="9" spans="1:27" s="874" customFormat="1" ht="6" customHeight="1">
      <c r="C9" s="875"/>
      <c r="D9" s="875"/>
      <c r="E9" s="875"/>
      <c r="F9" s="875"/>
      <c r="G9" s="875"/>
      <c r="H9" s="875"/>
      <c r="I9" s="875"/>
      <c r="J9" s="876"/>
      <c r="K9" s="876"/>
      <c r="L9" s="876"/>
      <c r="M9" s="876"/>
    </row>
    <row r="10" spans="1:27" s="874" customFormat="1" ht="12.75" customHeight="1">
      <c r="C10" s="883"/>
      <c r="D10" s="1523" t="s">
        <v>4676</v>
      </c>
      <c r="E10" s="1523"/>
      <c r="F10" s="1523"/>
      <c r="G10" s="876"/>
      <c r="H10" s="876"/>
      <c r="I10" s="882"/>
      <c r="J10" s="876"/>
      <c r="K10" s="876"/>
      <c r="L10" s="876"/>
      <c r="M10" s="876"/>
      <c r="S10" s="886" t="s">
        <v>4792</v>
      </c>
    </row>
    <row r="11" spans="1:27" s="874" customFormat="1" ht="6" customHeight="1">
      <c r="C11" s="875"/>
      <c r="D11" s="1523"/>
      <c r="E11" s="1523"/>
      <c r="F11" s="1523"/>
      <c r="G11" s="875"/>
      <c r="H11" s="875"/>
      <c r="I11" s="875"/>
      <c r="J11" s="876"/>
      <c r="K11" s="876"/>
      <c r="L11" s="876"/>
      <c r="M11" s="876"/>
    </row>
    <row r="12" spans="1:27" s="874" customFormat="1" ht="12" customHeight="1">
      <c r="C12" s="875"/>
      <c r="D12" s="884"/>
      <c r="E12" s="884"/>
      <c r="F12" s="884"/>
      <c r="G12" s="875"/>
      <c r="H12" s="875"/>
      <c r="I12" s="875"/>
      <c r="J12" s="875"/>
      <c r="K12" s="875"/>
      <c r="L12" s="875"/>
      <c r="M12" s="875"/>
    </row>
    <row r="13" spans="1:27" s="874" customFormat="1" ht="12.75" customHeight="1">
      <c r="C13" s="875"/>
      <c r="D13" s="883"/>
      <c r="E13" s="875"/>
      <c r="F13" s="875"/>
      <c r="G13" s="875"/>
      <c r="H13" s="878" t="s">
        <v>4697</v>
      </c>
      <c r="I13" s="881"/>
      <c r="J13" s="878" t="s">
        <v>4698</v>
      </c>
      <c r="K13" s="881"/>
      <c r="L13" s="878" t="s">
        <v>5159</v>
      </c>
      <c r="M13" s="875"/>
    </row>
    <row r="14" spans="1:27" s="874" customFormat="1" ht="12.75" customHeight="1">
      <c r="C14" s="875"/>
      <c r="D14" s="875"/>
      <c r="E14" s="875"/>
      <c r="F14" s="875"/>
      <c r="G14" s="875"/>
      <c r="H14" s="875"/>
      <c r="I14" s="875"/>
      <c r="J14" s="875"/>
      <c r="K14" s="875"/>
      <c r="L14" s="875"/>
      <c r="M14" s="875"/>
    </row>
    <row r="15" spans="1:27" s="874" customFormat="1" ht="12.75" customHeight="1">
      <c r="C15" s="875"/>
      <c r="D15" s="885" t="s">
        <v>4873</v>
      </c>
      <c r="E15" s="884"/>
      <c r="F15" s="884"/>
      <c r="G15" s="875"/>
      <c r="H15" s="1088">
        <v>255</v>
      </c>
      <c r="I15" s="875"/>
      <c r="J15" s="1088">
        <v>275</v>
      </c>
      <c r="K15" s="875"/>
      <c r="L15" s="1088">
        <v>295</v>
      </c>
      <c r="M15" s="875"/>
    </row>
    <row r="16" spans="1:27" s="874" customFormat="1" ht="6" customHeight="1">
      <c r="C16" s="875"/>
      <c r="D16" s="884"/>
      <c r="E16" s="884"/>
      <c r="F16" s="884"/>
      <c r="G16" s="875"/>
      <c r="H16" s="875"/>
      <c r="I16" s="875"/>
      <c r="J16" s="875"/>
      <c r="K16" s="875"/>
      <c r="L16" s="875"/>
      <c r="M16" s="875"/>
    </row>
    <row r="17" spans="3:19" s="874" customFormat="1" ht="12.75" customHeight="1">
      <c r="C17" s="875"/>
      <c r="D17" s="899" t="s">
        <v>4678</v>
      </c>
      <c r="E17" s="884"/>
      <c r="F17" s="884"/>
      <c r="G17" s="875"/>
      <c r="H17" s="1231">
        <f>INDEX(obalBusAV1PricePerHr,xxIndexTeam)</f>
        <v>255</v>
      </c>
      <c r="I17" s="875"/>
      <c r="J17" s="1231">
        <f>INDEX(obalBusAV2PricePerHr,xxIndexTeam)</f>
        <v>275</v>
      </c>
      <c r="K17" s="875"/>
      <c r="L17" s="1231">
        <f>INDEX(obalBusAV3PricePerHr,xxIndexTeam)</f>
        <v>295</v>
      </c>
      <c r="M17" s="875"/>
    </row>
    <row r="18" spans="3:19" s="874" customFormat="1" ht="12.75" customHeight="1">
      <c r="C18" s="875"/>
      <c r="D18" s="875"/>
      <c r="E18" s="875"/>
      <c r="F18" s="875"/>
      <c r="G18" s="875"/>
      <c r="H18" s="875"/>
      <c r="I18" s="875"/>
      <c r="J18" s="875"/>
      <c r="K18" s="875"/>
      <c r="L18" s="875"/>
      <c r="M18" s="875"/>
    </row>
    <row r="19" spans="3:19" s="874" customFormat="1" ht="12.75" customHeight="1">
      <c r="C19" s="875"/>
      <c r="D19" s="885" t="s">
        <v>6301</v>
      </c>
      <c r="E19" s="884"/>
      <c r="F19" s="884"/>
      <c r="G19" s="875"/>
      <c r="H19" s="1509">
        <v>0.2</v>
      </c>
      <c r="I19" s="875"/>
      <c r="J19" s="1509">
        <v>0.2</v>
      </c>
      <c r="K19" s="875"/>
      <c r="L19" s="1509">
        <v>0.2</v>
      </c>
      <c r="M19" s="875"/>
    </row>
    <row r="20" spans="3:19" s="874" customFormat="1" ht="6" customHeight="1">
      <c r="C20" s="875"/>
      <c r="D20" s="875"/>
      <c r="E20" s="875"/>
      <c r="F20" s="875"/>
      <c r="G20" s="875"/>
      <c r="H20" s="875"/>
      <c r="I20" s="875"/>
      <c r="J20" s="875"/>
      <c r="K20" s="875"/>
      <c r="L20" s="875"/>
      <c r="M20" s="875"/>
    </row>
    <row r="21" spans="3:19" s="874" customFormat="1" ht="12.75" customHeight="1">
      <c r="C21" s="884"/>
      <c r="D21" s="914" t="s">
        <v>4793</v>
      </c>
      <c r="E21" s="876"/>
      <c r="F21" s="876"/>
      <c r="G21" s="876"/>
      <c r="H21" s="1226">
        <f>(INDEX(cbalPrac1Bookings,xxIndexTeam)-INDEX(obalPrac1Bookings,xxIndexTeam))/INDEX(obalPrac1Bookings,xxIndexTeam)</f>
        <v>0.20069823001206683</v>
      </c>
      <c r="I21" s="882"/>
      <c r="J21" s="1226">
        <f>(INDEX(cbalPrac2Bookings,xxIndexTeam)-INDEX(obalPrac2Bookings,xxIndexTeam))/INDEX(obalPrac2Bookings,xxIndexTeam)</f>
        <v>0.34924996418051246</v>
      </c>
      <c r="K21" s="1087"/>
      <c r="L21" s="1226">
        <f>(INDEX(cbalPrac3Bookings,xxIndexTeam)-INDEX(obalPrac3Bookings,xxIndexTeam))/INDEX(obalPrac3Bookings,xxIndexTeam)</f>
        <v>0.59339457613630675</v>
      </c>
      <c r="M21" s="875"/>
      <c r="R21" s="886"/>
    </row>
    <row r="22" spans="3:19" s="874" customFormat="1" ht="6" customHeight="1">
      <c r="C22" s="875"/>
      <c r="D22" s="875"/>
      <c r="E22" s="875"/>
      <c r="F22" s="875"/>
      <c r="G22" s="875"/>
      <c r="H22" s="875"/>
      <c r="I22" s="875"/>
      <c r="J22" s="875"/>
      <c r="K22" s="875"/>
      <c r="L22" s="875"/>
      <c r="M22" s="875"/>
    </row>
    <row r="23" spans="3:19" s="874" customFormat="1" ht="12.75" customHeight="1">
      <c r="C23" s="884"/>
      <c r="D23" s="899" t="s">
        <v>6300</v>
      </c>
      <c r="E23" s="876"/>
      <c r="F23" s="876"/>
      <c r="G23" s="876"/>
      <c r="H23" s="1507">
        <f>INDEX(obalBusAV1MktShr,xxIndexTeam)</f>
        <v>0.2</v>
      </c>
      <c r="I23" s="882"/>
      <c r="J23" s="1507">
        <f>INDEX(obalBusAV2MktShr,xxIndexTeam)</f>
        <v>0.2</v>
      </c>
      <c r="K23" s="1087"/>
      <c r="L23" s="1507">
        <f>INDEX(obalBusAV3MktShr,xxIndexTeam)</f>
        <v>0.2</v>
      </c>
      <c r="M23" s="875"/>
      <c r="R23" s="886"/>
    </row>
    <row r="24" spans="3:19" s="874" customFormat="1" ht="6" customHeight="1">
      <c r="C24" s="875"/>
      <c r="D24" s="876"/>
      <c r="E24" s="876"/>
      <c r="F24" s="876"/>
      <c r="G24" s="875"/>
      <c r="H24" s="875"/>
      <c r="I24" s="875"/>
      <c r="J24" s="875"/>
      <c r="K24" s="875"/>
      <c r="L24" s="875"/>
      <c r="M24" s="875"/>
    </row>
    <row r="25" spans="3:19" s="874" customFormat="1"/>
    <row r="26" spans="3:19" s="874" customFormat="1" ht="6" customHeight="1">
      <c r="C26" s="875"/>
      <c r="D26" s="875"/>
      <c r="E26" s="875"/>
      <c r="F26" s="875"/>
      <c r="G26" s="875"/>
      <c r="H26" s="875"/>
      <c r="I26" s="875"/>
      <c r="J26" s="875"/>
      <c r="K26" s="875"/>
      <c r="L26" s="875"/>
      <c r="M26" s="875"/>
    </row>
    <row r="27" spans="3:19" s="874" customFormat="1" ht="14.25">
      <c r="C27" s="883"/>
      <c r="D27" s="1523" t="s">
        <v>4708</v>
      </c>
      <c r="E27" s="1523"/>
      <c r="F27" s="1523"/>
      <c r="G27" s="876"/>
      <c r="H27" s="1051"/>
      <c r="I27" s="882"/>
      <c r="J27" s="1052"/>
      <c r="K27" s="875"/>
      <c r="L27" s="1052"/>
      <c r="M27" s="875"/>
      <c r="S27" s="886"/>
    </row>
    <row r="28" spans="3:19" s="874" customFormat="1" ht="6" customHeight="1">
      <c r="C28" s="875"/>
      <c r="D28" s="1523"/>
      <c r="E28" s="1523"/>
      <c r="F28" s="1523"/>
      <c r="G28" s="875"/>
      <c r="H28" s="875"/>
      <c r="I28" s="875"/>
      <c r="J28" s="875"/>
      <c r="K28" s="875"/>
      <c r="L28" s="875"/>
      <c r="M28" s="875"/>
    </row>
    <row r="29" spans="3:19" s="874" customFormat="1" ht="12.75" customHeight="1">
      <c r="C29" s="875"/>
      <c r="D29" s="875"/>
      <c r="E29" s="875"/>
      <c r="F29" s="875"/>
      <c r="G29" s="875"/>
      <c r="H29" s="1052"/>
      <c r="I29" s="875"/>
      <c r="J29" s="1052"/>
      <c r="K29" s="875"/>
      <c r="L29" s="1052"/>
      <c r="M29" s="875"/>
    </row>
    <row r="30" spans="3:19" s="874" customFormat="1" ht="12.75" customHeight="1">
      <c r="C30" s="875"/>
      <c r="D30" s="875"/>
      <c r="E30" s="875"/>
      <c r="F30" s="875"/>
      <c r="G30" s="875"/>
      <c r="H30" s="878" t="s">
        <v>4697</v>
      </c>
      <c r="I30" s="881"/>
      <c r="J30" s="878" t="s">
        <v>4698</v>
      </c>
      <c r="K30" s="881"/>
      <c r="L30" s="878" t="s">
        <v>5159</v>
      </c>
      <c r="M30" s="875"/>
    </row>
    <row r="31" spans="3:19" s="874" customFormat="1" ht="12.75" customHeight="1">
      <c r="C31" s="875"/>
      <c r="D31" s="875"/>
      <c r="E31" s="875"/>
      <c r="F31" s="875"/>
      <c r="G31" s="875"/>
      <c r="H31" s="875"/>
      <c r="I31" s="875"/>
      <c r="J31" s="875"/>
      <c r="K31" s="875"/>
      <c r="L31" s="875"/>
      <c r="M31" s="875"/>
    </row>
    <row r="32" spans="3:19" s="874" customFormat="1">
      <c r="C32" s="875"/>
      <c r="D32" s="885" t="s">
        <v>4874</v>
      </c>
      <c r="E32" s="875"/>
      <c r="F32" s="1050"/>
      <c r="G32" s="875"/>
      <c r="H32" s="1085">
        <v>90000</v>
      </c>
      <c r="I32" s="881"/>
      <c r="J32" s="1085">
        <v>40000</v>
      </c>
      <c r="K32" s="875"/>
      <c r="L32" s="1085">
        <v>15000</v>
      </c>
      <c r="M32" s="875"/>
    </row>
    <row r="33" spans="3:21" s="874" customFormat="1">
      <c r="C33" s="875"/>
      <c r="D33" s="885"/>
      <c r="E33" s="875"/>
      <c r="F33" s="1050"/>
      <c r="G33" s="875"/>
      <c r="H33" s="1050"/>
      <c r="I33" s="1050"/>
      <c r="J33" s="1050"/>
      <c r="K33" s="1050"/>
      <c r="L33" s="1050"/>
      <c r="M33" s="875"/>
      <c r="R33" s="1266"/>
      <c r="S33" s="1472" t="s">
        <v>5313</v>
      </c>
      <c r="T33" s="1266"/>
      <c r="U33" s="1266"/>
    </row>
    <row r="34" spans="3:21" s="874" customFormat="1">
      <c r="C34" s="875"/>
      <c r="D34" s="885"/>
      <c r="E34" s="875"/>
      <c r="F34" s="1050"/>
      <c r="G34" s="875"/>
      <c r="H34" s="1050"/>
      <c r="I34" s="1050"/>
      <c r="J34" s="1050"/>
      <c r="K34" s="1050"/>
      <c r="L34" s="1050"/>
      <c r="M34" s="875"/>
      <c r="S34" s="1092"/>
    </row>
    <row r="35" spans="3:21" s="874" customFormat="1">
      <c r="C35" s="875"/>
      <c r="D35" s="885" t="s">
        <v>4708</v>
      </c>
      <c r="E35" s="875"/>
      <c r="F35" s="1050"/>
      <c r="G35" s="875"/>
      <c r="H35" s="1232">
        <f>tlGraphs!C232</f>
        <v>0.62068965517241381</v>
      </c>
      <c r="I35" s="900"/>
      <c r="J35" s="1232">
        <f>tlGraphs!D232</f>
        <v>0.27586206896551724</v>
      </c>
      <c r="K35" s="900"/>
      <c r="L35" s="1232">
        <f>tlGraphs!E232</f>
        <v>0.10344827586206896</v>
      </c>
      <c r="M35" s="875"/>
    </row>
    <row r="36" spans="3:21" s="874" customFormat="1" ht="6" customHeight="1">
      <c r="C36" s="875"/>
      <c r="D36" s="876"/>
      <c r="E36" s="876"/>
      <c r="F36" s="876"/>
      <c r="G36" s="875"/>
      <c r="H36" s="875"/>
      <c r="I36" s="875"/>
      <c r="J36" s="875"/>
      <c r="K36" s="875"/>
      <c r="L36" s="875"/>
      <c r="M36" s="875"/>
    </row>
    <row r="37" spans="3:21" s="874" customFormat="1"/>
    <row r="38" spans="3:21" s="874" customFormat="1" ht="6" customHeight="1">
      <c r="C38" s="875"/>
      <c r="D38" s="875"/>
      <c r="E38" s="875"/>
      <c r="F38" s="875"/>
      <c r="G38" s="875"/>
      <c r="H38" s="875"/>
      <c r="I38" s="875"/>
      <c r="J38" s="875"/>
      <c r="K38" s="875"/>
      <c r="L38" s="875"/>
      <c r="M38" s="875"/>
    </row>
    <row r="39" spans="3:21" s="874" customFormat="1">
      <c r="C39" s="875"/>
      <c r="D39" s="1523" t="s">
        <v>3544</v>
      </c>
      <c r="E39" s="1523"/>
      <c r="F39" s="1523"/>
      <c r="G39" s="875"/>
      <c r="H39" s="875"/>
      <c r="I39" s="875"/>
      <c r="J39" s="903" t="s">
        <v>3382</v>
      </c>
      <c r="K39" s="875"/>
      <c r="L39" s="1226">
        <f>(tlInputProd1Adv*1000)/INDEX(finPNLTotalRev,xxIndexTeam)</f>
        <v>3.7404150918295284E-2</v>
      </c>
      <c r="M39" s="875"/>
    </row>
    <row r="40" spans="3:21" s="874" customFormat="1" ht="6" customHeight="1">
      <c r="C40" s="875"/>
      <c r="D40" s="1523"/>
      <c r="E40" s="1523"/>
      <c r="F40" s="1523"/>
      <c r="G40" s="875"/>
      <c r="H40" s="875"/>
      <c r="I40" s="875"/>
      <c r="J40" s="875"/>
      <c r="K40" s="875"/>
      <c r="L40" s="875"/>
      <c r="M40" s="875"/>
    </row>
    <row r="41" spans="3:21" s="874" customFormat="1">
      <c r="C41" s="875"/>
      <c r="D41" s="875"/>
      <c r="E41" s="875"/>
      <c r="F41" s="875"/>
      <c r="G41" s="875"/>
      <c r="H41" s="875"/>
      <c r="I41" s="875"/>
      <c r="J41" s="875"/>
      <c r="K41" s="875"/>
      <c r="L41" s="875"/>
      <c r="M41" s="875"/>
    </row>
    <row r="42" spans="3:21" s="874" customFormat="1">
      <c r="C42" s="875"/>
      <c r="D42" s="885" t="s">
        <v>518</v>
      </c>
      <c r="E42" s="884"/>
      <c r="F42" s="884"/>
      <c r="G42" s="875"/>
      <c r="H42" s="1085">
        <v>7500</v>
      </c>
      <c r="I42" s="875"/>
      <c r="J42" s="875"/>
      <c r="K42" s="875"/>
      <c r="L42" s="875"/>
      <c r="M42" s="875"/>
    </row>
    <row r="43" spans="3:21" s="874" customFormat="1" ht="6" customHeight="1">
      <c r="C43" s="875"/>
      <c r="D43" s="875"/>
      <c r="E43" s="875"/>
      <c r="F43" s="875"/>
      <c r="G43" s="875"/>
      <c r="H43" s="875"/>
      <c r="I43" s="875"/>
      <c r="J43" s="875"/>
      <c r="K43" s="875"/>
      <c r="L43" s="875"/>
      <c r="M43" s="875"/>
    </row>
    <row r="44" spans="3:21" s="874" customFormat="1" ht="12.75" customHeight="1"/>
    <row r="45" spans="3:21" s="874" customFormat="1" ht="6" customHeight="1">
      <c r="C45" s="875"/>
      <c r="D45" s="875"/>
      <c r="E45" s="875"/>
      <c r="F45" s="875"/>
      <c r="G45" s="875"/>
      <c r="H45" s="875"/>
      <c r="I45" s="875"/>
      <c r="J45" s="875"/>
      <c r="K45" s="875"/>
      <c r="L45" s="875"/>
      <c r="M45" s="875"/>
    </row>
    <row r="46" spans="3:21" s="874" customFormat="1" ht="12.75" customHeight="1">
      <c r="C46" s="884"/>
      <c r="D46" s="1523" t="s">
        <v>4701</v>
      </c>
      <c r="E46" s="1523"/>
      <c r="F46" s="1523"/>
      <c r="G46" s="876"/>
      <c r="H46" s="876"/>
      <c r="I46" s="882"/>
      <c r="J46" s="903" t="s">
        <v>4680</v>
      </c>
      <c r="K46" s="875"/>
      <c r="L46" s="1233">
        <f>(INDEX(finPNLBusAV1CompDevTimeExp,xxIndexTeam)+INDEX(finPNLBusAV2CompDevTimeExp,xxIndexTeam)+INDEX(finPNLBusAV3CompDevTimeExp,xxIndexTeam))/1000</f>
        <v>924</v>
      </c>
      <c r="M46" s="875"/>
      <c r="S46" s="886"/>
    </row>
    <row r="47" spans="3:21" s="874" customFormat="1" ht="6" customHeight="1">
      <c r="C47" s="875"/>
      <c r="D47" s="1523"/>
      <c r="E47" s="1523"/>
      <c r="F47" s="1523"/>
      <c r="G47" s="875"/>
      <c r="H47" s="875"/>
      <c r="I47" s="875"/>
      <c r="J47" s="875"/>
      <c r="K47" s="875"/>
      <c r="L47" s="875"/>
      <c r="M47" s="875"/>
    </row>
    <row r="48" spans="3:21" s="874" customFormat="1" ht="12.75" customHeight="1">
      <c r="C48" s="875"/>
      <c r="D48" s="875"/>
      <c r="E48" s="875"/>
      <c r="F48" s="875"/>
      <c r="G48" s="875"/>
      <c r="H48" s="875"/>
      <c r="I48" s="875"/>
      <c r="J48" s="875"/>
      <c r="K48" s="875"/>
      <c r="L48" s="875"/>
      <c r="M48" s="875"/>
    </row>
    <row r="49" spans="1:24" s="874" customFormat="1" ht="12.75" customHeight="1">
      <c r="C49" s="875"/>
      <c r="D49" s="875"/>
      <c r="E49" s="875"/>
      <c r="F49" s="875"/>
      <c r="G49" s="875"/>
      <c r="H49" s="878" t="s">
        <v>4697</v>
      </c>
      <c r="I49" s="881"/>
      <c r="J49" s="878" t="s">
        <v>4698</v>
      </c>
      <c r="K49" s="881"/>
      <c r="L49" s="878" t="s">
        <v>5159</v>
      </c>
      <c r="M49" s="875"/>
    </row>
    <row r="50" spans="1:24" s="874" customFormat="1" ht="12.75" customHeight="1">
      <c r="C50" s="875"/>
      <c r="D50" s="875"/>
      <c r="E50" s="875"/>
      <c r="F50" s="875"/>
      <c r="G50" s="875"/>
      <c r="H50" s="875"/>
      <c r="I50" s="875"/>
      <c r="J50" s="875"/>
      <c r="K50" s="875"/>
      <c r="L50" s="875"/>
      <c r="M50" s="875"/>
    </row>
    <row r="51" spans="1:24" s="874" customFormat="1" ht="12.75" customHeight="1">
      <c r="C51" s="875"/>
      <c r="D51" s="885" t="s">
        <v>4679</v>
      </c>
      <c r="E51" s="884"/>
      <c r="F51" s="884"/>
      <c r="G51" s="875"/>
      <c r="H51" s="1086">
        <v>1</v>
      </c>
      <c r="I51" s="900"/>
      <c r="J51" s="1086">
        <v>2</v>
      </c>
      <c r="K51" s="900"/>
      <c r="L51" s="1086">
        <v>0</v>
      </c>
      <c r="M51" s="875"/>
    </row>
    <row r="52" spans="1:24" s="874" customFormat="1" ht="6" customHeight="1">
      <c r="C52" s="875"/>
      <c r="D52" s="884"/>
      <c r="E52" s="884"/>
      <c r="F52" s="884"/>
      <c r="G52" s="875"/>
      <c r="H52" s="900"/>
      <c r="I52" s="900"/>
      <c r="J52" s="900"/>
      <c r="K52" s="900"/>
      <c r="L52" s="900"/>
      <c r="M52" s="875"/>
    </row>
    <row r="53" spans="1:24" s="874" customFormat="1" ht="12.75" customHeight="1">
      <c r="C53" s="875"/>
      <c r="D53" s="899" t="s">
        <v>4702</v>
      </c>
      <c r="E53" s="884"/>
      <c r="F53" s="884"/>
      <c r="G53" s="875"/>
      <c r="H53" s="1229">
        <f>INDEX(cbalBusACompDevV1,xxIndexTeam)</f>
        <v>3</v>
      </c>
      <c r="I53" s="900"/>
      <c r="J53" s="1229">
        <f>INDEX(cbalBusACompDevV2,xxIndexTeam)</f>
        <v>5</v>
      </c>
      <c r="K53" s="900"/>
      <c r="L53" s="1229">
        <f>INDEX(cbalBusACompDevV3,xxIndexTeam)</f>
        <v>1</v>
      </c>
      <c r="M53" s="875"/>
    </row>
    <row r="54" spans="1:24" s="874" customFormat="1" ht="12.75" customHeight="1">
      <c r="C54" s="875"/>
      <c r="D54" s="875"/>
      <c r="E54" s="875"/>
      <c r="F54" s="875"/>
      <c r="G54" s="875"/>
      <c r="H54" s="875"/>
      <c r="I54" s="875"/>
      <c r="J54" s="875"/>
      <c r="K54" s="875"/>
      <c r="L54" s="875"/>
      <c r="M54" s="875"/>
    </row>
    <row r="55" spans="1:24" s="874" customFormat="1"/>
    <row r="56" spans="1:24" ht="11.25" hidden="1"/>
    <row r="57" spans="1:24" s="285" customFormat="1" ht="18" hidden="1">
      <c r="A57" s="866"/>
      <c r="B57" s="817" t="s">
        <v>3293</v>
      </c>
      <c r="C57" s="818"/>
      <c r="D57" s="819"/>
      <c r="E57" s="819"/>
      <c r="F57" s="819"/>
      <c r="G57" s="819"/>
      <c r="H57" s="819"/>
      <c r="I57" s="819"/>
      <c r="J57" s="819"/>
      <c r="K57" s="819"/>
      <c r="L57" s="819"/>
      <c r="M57" s="819"/>
      <c r="N57" s="819"/>
      <c r="O57" s="819"/>
      <c r="P57" s="819"/>
      <c r="Q57" s="819"/>
      <c r="R57" s="819"/>
      <c r="S57" s="819"/>
      <c r="T57" s="819"/>
      <c r="U57" s="819"/>
      <c r="V57" s="819"/>
      <c r="W57" s="820"/>
      <c r="X57" s="284"/>
    </row>
    <row r="58" spans="1:24" s="285" customFormat="1" hidden="1">
      <c r="A58" s="866"/>
      <c r="B58" s="286"/>
      <c r="C58" s="288"/>
      <c r="D58" s="288"/>
      <c r="E58" s="288"/>
      <c r="F58" s="288"/>
      <c r="G58" s="288"/>
      <c r="H58" s="288"/>
      <c r="I58" s="288"/>
      <c r="J58" s="288"/>
      <c r="K58" s="288"/>
      <c r="L58" s="288"/>
      <c r="M58" s="288"/>
      <c r="N58" s="288"/>
      <c r="O58" s="288"/>
      <c r="P58" s="288"/>
      <c r="Q58" s="288"/>
      <c r="R58" s="288"/>
      <c r="S58" s="288"/>
      <c r="T58" s="288"/>
      <c r="U58" s="288"/>
      <c r="V58" s="288"/>
      <c r="W58" s="289"/>
      <c r="X58" s="284"/>
    </row>
    <row r="59" spans="1:24" s="285" customFormat="1" hidden="1">
      <c r="A59" s="866"/>
      <c r="B59" s="286"/>
      <c r="C59" s="288"/>
      <c r="D59" s="288"/>
      <c r="E59" s="288"/>
      <c r="F59" s="288"/>
      <c r="G59" s="288"/>
      <c r="H59" s="288"/>
      <c r="I59" s="288"/>
      <c r="J59" s="288"/>
      <c r="K59" s="288"/>
      <c r="L59" s="290" t="s">
        <v>3048</v>
      </c>
      <c r="M59" s="290"/>
      <c r="N59" s="290" t="s">
        <v>2022</v>
      </c>
      <c r="O59" s="290"/>
      <c r="P59" s="288"/>
      <c r="Q59" s="290"/>
      <c r="R59" s="290" t="s">
        <v>2631</v>
      </c>
      <c r="S59" s="288"/>
      <c r="T59" s="288"/>
      <c r="U59" s="288"/>
      <c r="V59" s="288"/>
      <c r="W59" s="289"/>
      <c r="X59" s="284"/>
    </row>
    <row r="60" spans="1:24" s="285" customFormat="1" ht="3" hidden="1" customHeight="1" thickBot="1">
      <c r="A60" s="866"/>
      <c r="B60" s="286"/>
      <c r="C60" s="288"/>
      <c r="D60" s="288"/>
      <c r="E60" s="288"/>
      <c r="F60" s="288"/>
      <c r="G60" s="288"/>
      <c r="H60" s="288"/>
      <c r="I60" s="288"/>
      <c r="J60" s="288"/>
      <c r="K60" s="288"/>
      <c r="L60" s="290"/>
      <c r="M60" s="288"/>
      <c r="N60" s="290"/>
      <c r="O60" s="290"/>
      <c r="P60" s="288"/>
      <c r="Q60" s="290"/>
      <c r="R60" s="290"/>
      <c r="S60" s="288"/>
      <c r="T60" s="288"/>
      <c r="U60" s="288"/>
      <c r="V60" s="288"/>
      <c r="W60" s="289"/>
      <c r="X60" s="284"/>
    </row>
    <row r="61" spans="1:24" s="285" customFormat="1" ht="16.5" hidden="1" thickBot="1">
      <c r="A61" s="866"/>
      <c r="B61" s="286"/>
      <c r="C61" s="288"/>
      <c r="D61" s="288"/>
      <c r="E61" s="288"/>
      <c r="F61" s="288"/>
      <c r="G61" s="288"/>
      <c r="H61" s="288"/>
      <c r="I61" s="333" t="s">
        <v>4047</v>
      </c>
      <c r="J61" s="288"/>
      <c r="K61" s="288"/>
      <c r="L61" s="707">
        <f>INDEX(capBusAOverallConsChargeablitiy,xxIndexTeam)</f>
        <v>0.49563318777292575</v>
      </c>
      <c r="M61" s="708"/>
      <c r="N61" s="707">
        <f>INDEX(capBusAOverallSolnWFChargeablitiy,xxIndexTeam)</f>
        <v>0.20160132891396507</v>
      </c>
      <c r="O61" s="290"/>
      <c r="P61" s="288"/>
      <c r="Q61" s="290"/>
      <c r="R61" s="707">
        <f>INDEX(capBusAOverallSITChargeablitiy,xxIndexTeam)</f>
        <v>0.58571428571428574</v>
      </c>
      <c r="S61" s="288"/>
      <c r="T61" s="288"/>
      <c r="U61" s="288"/>
      <c r="V61" s="288"/>
      <c r="W61" s="289"/>
      <c r="X61" s="284"/>
    </row>
    <row r="62" spans="1:24" s="285" customFormat="1" hidden="1">
      <c r="A62" s="866"/>
      <c r="B62" s="286"/>
      <c r="C62" s="288"/>
      <c r="D62" s="288"/>
      <c r="E62" s="288"/>
      <c r="F62" s="288"/>
      <c r="G62" s="288"/>
      <c r="H62" s="288"/>
      <c r="I62" s="288"/>
      <c r="J62" s="288"/>
      <c r="K62" s="288"/>
      <c r="L62" s="290"/>
      <c r="M62" s="290"/>
      <c r="N62" s="290"/>
      <c r="O62" s="290"/>
      <c r="P62" s="288"/>
      <c r="Q62" s="290"/>
      <c r="R62" s="290"/>
      <c r="S62" s="288"/>
      <c r="T62" s="288"/>
      <c r="U62" s="288"/>
      <c r="V62" s="288"/>
      <c r="W62" s="289"/>
      <c r="X62" s="284"/>
    </row>
    <row r="63" spans="1:24" ht="11.25" hidden="1"/>
    <row r="64" spans="1:24" ht="11.25" hidden="1"/>
    <row r="65" spans="3:13" s="874" customFormat="1" hidden="1"/>
    <row r="66" spans="3:13" s="874" customFormat="1" hidden="1">
      <c r="C66" s="875"/>
      <c r="D66" s="875"/>
      <c r="E66" s="875"/>
      <c r="F66" s="875"/>
      <c r="G66" s="875"/>
      <c r="H66" s="875"/>
      <c r="I66" s="875"/>
      <c r="J66" s="875"/>
      <c r="K66" s="875"/>
      <c r="L66" s="875"/>
      <c r="M66" s="875"/>
    </row>
    <row r="67" spans="3:13" s="874" customFormat="1" ht="14.25" hidden="1">
      <c r="C67" s="884"/>
      <c r="D67" s="1523" t="s">
        <v>4682</v>
      </c>
      <c r="E67" s="1523"/>
      <c r="F67" s="1523"/>
      <c r="G67" s="876"/>
      <c r="H67" s="876"/>
      <c r="I67" s="882"/>
      <c r="J67" s="903" t="s">
        <v>4681</v>
      </c>
      <c r="K67" s="875"/>
      <c r="L67" s="902">
        <f>INDEX(capBusAtotalLoadExpSaved, xxIndexTeam)/1000</f>
        <v>0</v>
      </c>
      <c r="M67" s="875"/>
    </row>
    <row r="68" spans="3:13" s="874" customFormat="1" hidden="1">
      <c r="C68" s="875"/>
      <c r="D68" s="1523"/>
      <c r="E68" s="1523"/>
      <c r="F68" s="1523"/>
      <c r="G68" s="875"/>
      <c r="H68" s="875"/>
      <c r="I68" s="875"/>
      <c r="J68" s="875"/>
      <c r="K68" s="875"/>
      <c r="L68" s="875"/>
      <c r="M68" s="875"/>
    </row>
    <row r="69" spans="3:13" s="874" customFormat="1" hidden="1">
      <c r="C69" s="875"/>
      <c r="D69" s="875"/>
      <c r="E69" s="875"/>
      <c r="F69" s="875"/>
      <c r="G69" s="875"/>
      <c r="H69" s="875"/>
      <c r="I69" s="875"/>
      <c r="J69" s="875"/>
      <c r="K69" s="875"/>
      <c r="L69" s="875"/>
      <c r="M69" s="875"/>
    </row>
    <row r="70" spans="3:13" s="874" customFormat="1" hidden="1">
      <c r="C70" s="875"/>
      <c r="D70" s="875"/>
      <c r="E70" s="875"/>
      <c r="F70" s="878" t="s">
        <v>4645</v>
      </c>
      <c r="G70" s="875"/>
      <c r="H70" s="878" t="s">
        <v>939</v>
      </c>
      <c r="I70" s="881"/>
      <c r="J70" s="878" t="s">
        <v>940</v>
      </c>
      <c r="K70" s="881"/>
      <c r="L70" s="878" t="s">
        <v>2022</v>
      </c>
      <c r="M70" s="875"/>
    </row>
    <row r="71" spans="3:13" s="874" customFormat="1" hidden="1">
      <c r="C71" s="875"/>
      <c r="D71" s="875"/>
      <c r="E71" s="875"/>
      <c r="F71" s="875"/>
      <c r="G71" s="875"/>
      <c r="H71" s="875"/>
      <c r="I71" s="875"/>
      <c r="J71" s="875"/>
      <c r="K71" s="875"/>
      <c r="L71" s="875"/>
      <c r="M71" s="875"/>
    </row>
    <row r="72" spans="3:13" s="874" customFormat="1" hidden="1">
      <c r="C72" s="875"/>
      <c r="D72" s="885" t="s">
        <v>4683</v>
      </c>
      <c r="E72" s="884"/>
      <c r="F72" s="898">
        <v>0</v>
      </c>
      <c r="G72" s="875"/>
      <c r="H72" s="898">
        <v>0</v>
      </c>
      <c r="I72" s="900"/>
      <c r="J72" s="898">
        <v>0</v>
      </c>
      <c r="K72" s="900"/>
      <c r="L72" s="898">
        <v>0</v>
      </c>
      <c r="M72" s="875"/>
    </row>
    <row r="73" spans="3:13" s="874" customFormat="1" hidden="1">
      <c r="C73" s="875"/>
      <c r="D73" s="884"/>
      <c r="E73" s="884"/>
      <c r="F73" s="884"/>
      <c r="G73" s="875"/>
      <c r="H73" s="900"/>
      <c r="I73" s="900"/>
      <c r="J73" s="900"/>
      <c r="K73" s="900"/>
      <c r="L73" s="900"/>
      <c r="M73" s="875"/>
    </row>
    <row r="74" spans="3:13" s="874" customFormat="1" hidden="1">
      <c r="C74" s="875"/>
      <c r="D74" s="875"/>
      <c r="E74" s="875"/>
      <c r="F74" s="875"/>
      <c r="G74" s="875"/>
      <c r="H74" s="875"/>
      <c r="I74" s="875"/>
      <c r="J74" s="875"/>
      <c r="K74" s="875"/>
      <c r="L74" s="875"/>
      <c r="M74" s="875"/>
    </row>
    <row r="75" spans="3:13" s="874" customFormat="1" hidden="1"/>
    <row r="76" spans="3:13" s="874" customFormat="1" hidden="1">
      <c r="C76" s="885" t="s">
        <v>2263</v>
      </c>
      <c r="D76" s="884"/>
      <c r="E76" s="884"/>
      <c r="F76" s="875"/>
      <c r="G76" s="877">
        <v>2000</v>
      </c>
    </row>
    <row r="77" spans="3:13" s="874" customFormat="1" hidden="1"/>
    <row r="78" spans="3:13" s="874" customFormat="1" ht="12.75" hidden="1" customHeight="1">
      <c r="C78" s="875"/>
      <c r="D78" s="875"/>
      <c r="E78" s="875"/>
      <c r="F78" s="875"/>
      <c r="G78" s="875"/>
      <c r="H78" s="875"/>
      <c r="I78" s="875"/>
      <c r="J78" s="875"/>
      <c r="K78" s="875"/>
      <c r="L78" s="875"/>
      <c r="M78" s="875"/>
    </row>
    <row r="79" spans="3:13" s="874" customFormat="1" ht="12.75" hidden="1" customHeight="1">
      <c r="C79" s="875"/>
      <c r="D79" s="875" t="s">
        <v>4677</v>
      </c>
      <c r="E79" s="875"/>
      <c r="F79" s="875"/>
      <c r="G79" s="875"/>
      <c r="H79" s="898">
        <v>0.2</v>
      </c>
      <c r="I79" s="875"/>
      <c r="J79" s="898">
        <v>0.2</v>
      </c>
      <c r="K79" s="875"/>
      <c r="L79" s="898">
        <v>0.2</v>
      </c>
      <c r="M79" s="875"/>
    </row>
    <row r="80" spans="3:13" s="1173" customFormat="1" ht="12.75" customHeight="1"/>
    <row r="81" s="1173" customFormat="1" ht="12.75" customHeight="1"/>
    <row r="82" s="1173" customFormat="1" ht="12.75" customHeight="1"/>
    <row r="83" s="1173" customFormat="1" ht="12.75" customHeight="1"/>
    <row r="84" s="1173" customFormat="1" ht="12.75" customHeight="1"/>
    <row r="85" s="1173" customFormat="1" ht="12.75" customHeight="1"/>
    <row r="86" s="1173" customFormat="1" ht="12.75" customHeight="1"/>
    <row r="87" s="1173" customFormat="1" ht="12.75" customHeight="1"/>
    <row r="88" s="1173" customFormat="1" ht="12.75" customHeight="1"/>
    <row r="89" s="1173" customFormat="1" ht="12.75" customHeight="1"/>
    <row r="90" s="1173" customFormat="1" ht="12.75" customHeight="1"/>
    <row r="91" s="1173" customFormat="1" ht="12.75" customHeight="1"/>
    <row r="92" s="1173" customFormat="1" ht="12.75" customHeight="1"/>
    <row r="93" s="1173" customFormat="1" ht="12.75" customHeight="1"/>
    <row r="94" s="1173" customFormat="1" ht="12.75" customHeight="1"/>
    <row r="95" s="1173" customFormat="1" ht="12.75" customHeight="1"/>
    <row r="96" s="1173" customFormat="1" ht="12.75" customHeight="1"/>
    <row r="97" s="1173" customFormat="1" ht="12.75" customHeight="1"/>
    <row r="98" s="1173" customFormat="1" ht="12.75" customHeight="1"/>
    <row r="99" s="1173" customFormat="1" ht="12.75" customHeight="1"/>
    <row r="100" s="1173" customFormat="1" ht="12.75" customHeight="1"/>
    <row r="101" s="1173" customFormat="1" ht="12.75" customHeight="1"/>
    <row r="102" s="1173" customFormat="1" ht="12.75" customHeight="1"/>
    <row r="103" s="1173" customFormat="1" ht="12.75" customHeight="1"/>
    <row r="104" s="1173" customFormat="1" ht="12.75" customHeight="1"/>
    <row r="105" s="1173" customFormat="1" ht="12.75" customHeight="1"/>
    <row r="106" s="1173" customFormat="1" ht="12.75" customHeight="1"/>
    <row r="107" s="1173" customFormat="1" ht="12.75" customHeight="1"/>
    <row r="108" s="1173" customFormat="1" ht="12.75" customHeight="1"/>
    <row r="109" s="1173" customFormat="1" ht="12.75" customHeight="1"/>
    <row r="110" s="1173" customFormat="1" ht="12.75" customHeight="1"/>
    <row r="111" s="1173" customFormat="1" ht="12.75" customHeight="1"/>
    <row r="112" s="1173" customFormat="1" ht="12.75" customHeight="1"/>
    <row r="113" s="1173" customFormat="1" ht="12.75" customHeight="1"/>
    <row r="114" s="1173" customFormat="1" ht="12.75" customHeight="1"/>
    <row r="115" s="1173" customFormat="1" ht="12.75" customHeight="1"/>
    <row r="116" s="1173" customFormat="1" ht="12.75" customHeight="1"/>
    <row r="117" s="1173" customFormat="1" ht="12.75" customHeight="1"/>
    <row r="118" s="1173" customFormat="1" ht="12.75" customHeight="1"/>
    <row r="119" s="1173" customFormat="1" ht="12.75" customHeight="1"/>
    <row r="120" s="1173" customFormat="1" ht="12.75" customHeight="1"/>
    <row r="121" s="1173" customFormat="1" ht="12.75" customHeight="1"/>
    <row r="122" s="1173" customFormat="1" ht="12.75" customHeight="1"/>
    <row r="123" s="1173" customFormat="1" ht="12.75" customHeight="1"/>
    <row r="124" s="1173" customFormat="1" ht="12.75" customHeight="1"/>
    <row r="125" s="1173" customFormat="1" ht="12.75" customHeight="1"/>
    <row r="126" s="1173" customFormat="1" ht="12.75" customHeight="1"/>
    <row r="127" s="1173" customFormat="1" ht="12.75" customHeight="1"/>
    <row r="128" s="1173" customFormat="1" ht="12.75" customHeight="1"/>
    <row r="129" s="1173" customFormat="1" ht="12.75" customHeight="1"/>
    <row r="130" s="1173" customFormat="1" ht="12.75" customHeight="1"/>
    <row r="131" s="1173" customFormat="1" ht="12.75" customHeight="1"/>
    <row r="132" s="1173" customFormat="1" ht="12.75" customHeight="1"/>
    <row r="133" s="1173" customFormat="1" ht="12.75" customHeight="1"/>
    <row r="134" s="1173" customFormat="1" ht="12.75" customHeight="1"/>
    <row r="135" s="1173" customFormat="1" ht="12.75" customHeight="1"/>
    <row r="136" s="1173" customFormat="1" ht="12.75" customHeight="1"/>
    <row r="137" s="1173" customFormat="1" ht="12.75" customHeight="1"/>
    <row r="138" s="1173" customFormat="1" ht="12.75" customHeight="1"/>
    <row r="139" s="1173" customFormat="1" ht="12.75" customHeight="1"/>
    <row r="140" s="1173" customFormat="1" ht="12.75" customHeight="1"/>
    <row r="141" s="1173" customFormat="1" ht="12.75" customHeight="1"/>
    <row r="142" s="1173" customFormat="1" ht="12.75" customHeight="1"/>
    <row r="143" s="1173" customFormat="1" ht="12.75" customHeight="1"/>
    <row r="144" s="1173" customFormat="1" ht="12.75" customHeight="1"/>
    <row r="145" s="1173" customFormat="1" ht="12.75" customHeight="1"/>
    <row r="146" s="1173" customFormat="1" ht="12.75" customHeight="1"/>
    <row r="147" s="1173" customFormat="1" ht="12.75" customHeight="1"/>
    <row r="148" s="1173" customFormat="1" ht="12.75" customHeight="1"/>
    <row r="149" s="1173" customFormat="1" ht="12.75" customHeight="1"/>
    <row r="150" s="1173" customFormat="1" ht="12.75" customHeight="1"/>
    <row r="151" s="1173" customFormat="1" ht="12.75" customHeight="1"/>
    <row r="152" s="1173" customFormat="1" ht="12.75" customHeight="1"/>
  </sheetData>
  <mergeCells count="6">
    <mergeCell ref="A4:A5"/>
    <mergeCell ref="D39:F40"/>
    <mergeCell ref="D10:F11"/>
    <mergeCell ref="D46:F47"/>
    <mergeCell ref="D67:F68"/>
    <mergeCell ref="D27:F28"/>
  </mergeCells>
  <conditionalFormatting sqref="L61 N61 R61">
    <cfRule type="cellIs" dxfId="121" priority="3" stopIfTrue="1" operator="greaterThan">
      <formula>1</formula>
    </cfRule>
  </conditionalFormatting>
  <dataValidations count="4">
    <dataValidation type="decimal" allowBlank="1" showInputMessage="1" showErrorMessage="1" sqref="L19 J19 H19">
      <formula1>-10000000000</formula1>
      <formula2>10000000000</formula2>
    </dataValidation>
    <dataValidation type="decimal" operator="greaterThanOrEqual" allowBlank="1" showInputMessage="1" showErrorMessage="1" error="Must be a positive number" sqref="H79 L15 J15 H15 L79 J79">
      <formula1>0</formula1>
    </dataValidation>
    <dataValidation type="list" allowBlank="1" showInputMessage="1" showErrorMessage="1" sqref="F72 H72 J72 L72">
      <formula1>dataListOutsourcePer</formula1>
    </dataValidation>
    <dataValidation type="list" allowBlank="1" showInputMessage="1" showErrorMessage="1" sqref="H51 J51 L51">
      <formula1>"0,1,2,3,4,5"</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99"/>
    <pageSetUpPr fitToPage="1"/>
  </sheetPr>
  <dimension ref="A1:BF238"/>
  <sheetViews>
    <sheetView showGridLines="0" zoomScale="110" zoomScaleNormal="110" workbookViewId="0">
      <pane ySplit="7" topLeftCell="A26" activePane="bottomLeft" state="frozen"/>
      <selection activeCell="J31" sqref="J31"/>
      <selection pane="bottomLeft" activeCell="J60" sqref="J60"/>
    </sheetView>
  </sheetViews>
  <sheetFormatPr defaultColWidth="18.83203125" defaultRowHeight="12.95" customHeight="1"/>
  <cols>
    <col min="1" max="1" width="2.5" style="285" customWidth="1"/>
    <col min="2" max="2" width="2.33203125" style="285" customWidth="1"/>
    <col min="3" max="3" width="5.83203125" style="285" customWidth="1"/>
    <col min="4" max="4" width="13.83203125" style="285" customWidth="1"/>
    <col min="5" max="5" width="3.83203125" style="285" customWidth="1"/>
    <col min="6" max="6" width="13.83203125" style="285" customWidth="1"/>
    <col min="7" max="7" width="3.83203125" style="285" customWidth="1"/>
    <col min="8" max="8" width="13.83203125" style="285" customWidth="1"/>
    <col min="9" max="9" width="3.83203125" style="285" customWidth="1"/>
    <col min="10" max="10" width="13.83203125" style="285" customWidth="1"/>
    <col min="11" max="11" width="3.83203125" style="285" customWidth="1"/>
    <col min="12" max="12" width="13.83203125" style="285" customWidth="1"/>
    <col min="13" max="13" width="3.83203125" style="285" customWidth="1"/>
    <col min="14" max="14" width="13.83203125" style="285" customWidth="1"/>
    <col min="15" max="15" width="3.83203125" style="285" customWidth="1"/>
    <col min="16" max="16" width="13.83203125" style="285" customWidth="1"/>
    <col min="17" max="17" width="3.83203125" style="285" customWidth="1"/>
    <col min="18" max="18" width="13.83203125" style="285" customWidth="1"/>
    <col min="19" max="19" width="3.83203125" style="285" customWidth="1"/>
    <col min="20" max="20" width="13.83203125" style="285" customWidth="1"/>
    <col min="21" max="21" width="3.83203125" style="285" customWidth="1"/>
    <col min="22" max="22" width="13.83203125" style="285" customWidth="1"/>
    <col min="23" max="23" width="3.83203125" style="285" customWidth="1"/>
    <col min="24" max="24" width="13.83203125" style="285" customWidth="1"/>
    <col min="25" max="25" width="3.83203125" style="285" customWidth="1"/>
    <col min="26" max="26" width="13.83203125" style="285" customWidth="1"/>
    <col min="27" max="27" width="3.83203125" style="285" customWidth="1"/>
    <col min="28" max="28" width="9.33203125" style="285" customWidth="1"/>
    <col min="29" max="29" width="3.83203125" style="285" customWidth="1"/>
    <col min="30" max="30" width="10.6640625" style="285" bestFit="1" customWidth="1"/>
    <col min="31" max="32" width="9.5" style="285" bestFit="1" customWidth="1"/>
    <col min="33" max="33" width="10" style="285" bestFit="1" customWidth="1"/>
    <col min="34" max="47" width="9.33203125" style="285" customWidth="1"/>
    <col min="48" max="48" width="10.1640625" style="285" bestFit="1" customWidth="1"/>
    <col min="49" max="49" width="9.33203125" style="285" customWidth="1"/>
    <col min="50" max="50" width="10.1640625" style="285" bestFit="1" customWidth="1"/>
    <col min="51" max="58" width="9.33203125" style="285" customWidth="1"/>
    <col min="59" max="16384" width="18.83203125" style="285"/>
  </cols>
  <sheetData>
    <row r="1" spans="1:24" s="866" customFormat="1" ht="4.5" customHeight="1"/>
    <row r="2" spans="1:24" s="867" customFormat="1" ht="26.25" customHeight="1">
      <c r="C2" s="867" t="s">
        <v>4699</v>
      </c>
      <c r="X2" s="867" t="s">
        <v>5258</v>
      </c>
    </row>
    <row r="3" spans="1:24" s="864" customFormat="1" ht="15.75" customHeight="1">
      <c r="B3" s="865"/>
      <c r="M3" s="870" t="str">
        <f>xxDashboard</f>
        <v>Bookings: $338.8M       Bookings CAGR: 0.0%       Revenues: $200.5M       GM: 34.8%       OM: -73.2%</v>
      </c>
    </row>
    <row r="4" spans="1:24" s="867" customFormat="1" ht="42.75" customHeight="1">
      <c r="A4" s="1522" t="s">
        <v>4906</v>
      </c>
    </row>
    <row r="5" spans="1:24" s="867" customFormat="1" ht="12" customHeight="1">
      <c r="A5" s="1522"/>
      <c r="B5" s="1327"/>
      <c r="C5" s="1327"/>
      <c r="D5" s="1328" t="s">
        <v>5305</v>
      </c>
      <c r="E5" s="1327"/>
      <c r="F5" s="1327"/>
      <c r="G5" s="1327"/>
      <c r="H5" s="1328" t="s">
        <v>5306</v>
      </c>
      <c r="I5" s="1327"/>
      <c r="J5" s="1327"/>
      <c r="K5" s="1327"/>
      <c r="L5" s="1328" t="s">
        <v>5307</v>
      </c>
      <c r="M5" s="1327"/>
      <c r="N5" s="1328"/>
      <c r="O5" s="1327"/>
      <c r="P5" s="1328" t="s">
        <v>5308</v>
      </c>
      <c r="T5" s="871"/>
      <c r="U5" s="871"/>
      <c r="X5" s="871"/>
    </row>
    <row r="6" spans="1:24" s="867" customFormat="1" ht="4.5" customHeight="1"/>
    <row r="7" spans="1:24" s="864" customFormat="1" ht="15.75" customHeight="1">
      <c r="B7" s="865"/>
      <c r="M7" s="870" t="str">
        <f>xxDashboardBusA</f>
        <v>Goodwilll Hours Expense: $1.5M          Employee NPS: 68.9%          Client NPS: 64.3%</v>
      </c>
    </row>
    <row r="8" spans="1:24" s="874" customFormat="1" ht="15.75" customHeight="1"/>
    <row r="9" spans="1:24" s="874" customFormat="1" ht="6" customHeight="1">
      <c r="C9" s="875"/>
      <c r="D9" s="875"/>
      <c r="E9" s="875"/>
      <c r="F9" s="875"/>
      <c r="G9" s="888"/>
      <c r="H9" s="889"/>
      <c r="I9" s="889"/>
      <c r="J9" s="889"/>
      <c r="K9" s="889"/>
      <c r="L9" s="889"/>
      <c r="M9" s="890"/>
    </row>
    <row r="10" spans="1:24" s="874" customFormat="1" ht="12.75" customHeight="1">
      <c r="C10" s="883"/>
      <c r="D10" s="1523" t="s">
        <v>4875</v>
      </c>
      <c r="E10" s="1523"/>
      <c r="F10" s="1523"/>
      <c r="G10" s="891"/>
      <c r="H10" s="1072"/>
      <c r="I10" s="1072"/>
      <c r="J10" s="1072" t="s">
        <v>4876</v>
      </c>
      <c r="K10" s="887"/>
      <c r="L10" s="1228">
        <f>INDEX(capBusACurrProjV1PctStaffed,xxIndexTeam)</f>
        <v>0.63068635277525453</v>
      </c>
      <c r="M10" s="892"/>
      <c r="R10" s="886" t="s">
        <v>4904</v>
      </c>
    </row>
    <row r="11" spans="1:24" s="874" customFormat="1" ht="6" customHeight="1">
      <c r="C11" s="875"/>
      <c r="D11" s="1523"/>
      <c r="E11" s="1523"/>
      <c r="F11" s="1523"/>
      <c r="G11" s="893"/>
      <c r="H11" s="894"/>
      <c r="I11" s="894"/>
      <c r="J11" s="894"/>
      <c r="K11" s="894"/>
      <c r="L11" s="894"/>
      <c r="M11" s="895"/>
    </row>
    <row r="12" spans="1:24" s="874" customFormat="1" ht="12" customHeight="1">
      <c r="C12" s="875"/>
      <c r="D12" s="884"/>
      <c r="E12" s="884"/>
      <c r="F12" s="884"/>
      <c r="G12" s="875"/>
      <c r="H12" s="875"/>
      <c r="I12" s="875"/>
      <c r="J12" s="875"/>
      <c r="K12" s="875"/>
      <c r="L12" s="875"/>
      <c r="M12" s="875"/>
    </row>
    <row r="13" spans="1:24" s="874" customFormat="1" ht="12.75" customHeight="1">
      <c r="C13" s="875"/>
      <c r="D13" s="883"/>
      <c r="E13" s="875"/>
      <c r="F13" s="875"/>
      <c r="G13" s="875"/>
      <c r="H13" s="878" t="s">
        <v>4703</v>
      </c>
      <c r="I13" s="881"/>
      <c r="J13" s="878" t="s">
        <v>4704</v>
      </c>
      <c r="K13" s="881"/>
      <c r="L13" s="878" t="s">
        <v>4705</v>
      </c>
      <c r="M13" s="875"/>
    </row>
    <row r="14" spans="1:24" s="874" customFormat="1" ht="12.75" customHeight="1">
      <c r="C14" s="875"/>
      <c r="D14" s="875"/>
      <c r="E14" s="875"/>
      <c r="F14" s="875"/>
      <c r="G14" s="875"/>
      <c r="H14" s="875"/>
      <c r="I14" s="875"/>
      <c r="J14" s="875"/>
      <c r="K14" s="875"/>
      <c r="L14" s="875"/>
      <c r="M14" s="875"/>
    </row>
    <row r="15" spans="1:24" s="874" customFormat="1" ht="12.75" customHeight="1">
      <c r="C15" s="875"/>
      <c r="D15" s="885" t="s">
        <v>5168</v>
      </c>
      <c r="E15" s="884"/>
      <c r="F15" s="884"/>
      <c r="G15" s="875"/>
      <c r="H15" s="1085">
        <v>40000</v>
      </c>
      <c r="I15" s="875"/>
      <c r="J15" s="1085">
        <v>110000</v>
      </c>
      <c r="K15" s="875"/>
      <c r="L15" s="1085">
        <v>175000</v>
      </c>
      <c r="M15" s="875"/>
    </row>
    <row r="16" spans="1:24" s="874" customFormat="1" ht="6" customHeight="1">
      <c r="C16" s="875"/>
      <c r="D16" s="884"/>
      <c r="E16" s="884"/>
      <c r="F16" s="884"/>
      <c r="G16" s="875"/>
      <c r="H16" s="875"/>
      <c r="I16" s="875"/>
      <c r="J16" s="875"/>
      <c r="K16" s="875"/>
      <c r="L16" s="875"/>
      <c r="M16" s="875"/>
    </row>
    <row r="17" spans="3:18" s="874" customFormat="1" ht="12.75" customHeight="1">
      <c r="C17" s="875"/>
      <c r="D17" s="884"/>
      <c r="E17" s="884"/>
      <c r="F17" s="884"/>
      <c r="G17" s="875"/>
      <c r="H17" s="1225">
        <f>INDEX(capBusACurrProjV1Emp4Output,xxIndexTeam)/INDEX(capBusACurrProjV1HrsReq,xxIndexTeam)</f>
        <v>6.0223821654648846E-2</v>
      </c>
      <c r="I17" s="875"/>
      <c r="J17" s="1225">
        <f>INDEX(capBusACurrProjV1Emp3Output,xxIndexTeam)/INDEX(capBusACurrProjV1HrsReq,xxIndexTeam)</f>
        <v>0.12866040727696945</v>
      </c>
      <c r="K17" s="875"/>
      <c r="L17" s="1225">
        <f>INDEX(capBusACurrProjV1Emp2Output,xxIndexTeam)/INDEX(capBusACurrProjV1HrsReq,xxIndexTeam)</f>
        <v>0.1448898591855296</v>
      </c>
      <c r="M17" s="875"/>
    </row>
    <row r="18" spans="3:18" s="874" customFormat="1" ht="12.75" customHeight="1">
      <c r="C18" s="875"/>
      <c r="D18" s="875"/>
      <c r="E18" s="875"/>
      <c r="F18" s="875"/>
      <c r="G18" s="875"/>
      <c r="H18" s="875"/>
      <c r="I18" s="875"/>
      <c r="J18" s="875"/>
      <c r="K18" s="875"/>
      <c r="L18" s="875"/>
      <c r="M18" s="875"/>
    </row>
    <row r="19" spans="3:18" s="874" customFormat="1" ht="12.75" customHeight="1">
      <c r="C19" s="875"/>
      <c r="D19" s="885" t="s">
        <v>5178</v>
      </c>
      <c r="E19" s="884"/>
      <c r="F19" s="884"/>
      <c r="G19" s="875"/>
      <c r="H19" s="884"/>
      <c r="I19" s="884"/>
      <c r="J19" s="884"/>
      <c r="K19" s="875"/>
      <c r="L19" s="1085">
        <v>295000</v>
      </c>
      <c r="M19" s="875"/>
    </row>
    <row r="20" spans="3:18" s="874" customFormat="1" ht="6" customHeight="1">
      <c r="C20" s="875"/>
      <c r="D20" s="884"/>
      <c r="E20" s="884"/>
      <c r="F20" s="884"/>
      <c r="G20" s="875"/>
      <c r="H20" s="884"/>
      <c r="I20" s="884"/>
      <c r="J20" s="884"/>
      <c r="K20" s="875"/>
      <c r="L20" s="875"/>
      <c r="M20" s="875"/>
    </row>
    <row r="21" spans="3:18" s="874" customFormat="1" ht="12.75" customHeight="1">
      <c r="C21" s="875"/>
      <c r="D21" s="884"/>
      <c r="E21" s="884"/>
      <c r="F21" s="884"/>
      <c r="G21" s="875"/>
      <c r="H21" s="884"/>
      <c r="I21" s="884"/>
      <c r="J21" s="884"/>
      <c r="K21" s="875"/>
      <c r="L21" s="1225">
        <f>INDEX(capBusACurrProjV1Emp9Output,xxIndexTeam)/INDEX(capBusACurrProjV1HrsReq,xxIndexTeam)</f>
        <v>0.24717501438965478</v>
      </c>
      <c r="M21" s="875"/>
    </row>
    <row r="22" spans="3:18" s="874" customFormat="1" ht="6" customHeight="1">
      <c r="C22" s="875"/>
      <c r="D22" s="875"/>
      <c r="E22" s="875"/>
      <c r="F22" s="875"/>
      <c r="G22" s="875"/>
      <c r="H22" s="875"/>
      <c r="I22" s="875"/>
      <c r="J22" s="875"/>
      <c r="K22" s="875"/>
      <c r="L22" s="875"/>
      <c r="M22" s="875"/>
    </row>
    <row r="23" spans="3:18" s="874" customFormat="1" ht="12.75" customHeight="1"/>
    <row r="24" spans="3:18" s="874" customFormat="1" ht="6" customHeight="1">
      <c r="C24" s="875"/>
      <c r="D24" s="875"/>
      <c r="E24" s="875"/>
      <c r="F24" s="875"/>
      <c r="G24" s="875"/>
      <c r="H24" s="875"/>
      <c r="I24" s="875"/>
      <c r="J24" s="876"/>
      <c r="K24" s="876"/>
      <c r="L24" s="876"/>
      <c r="M24" s="876"/>
    </row>
    <row r="25" spans="3:18" s="874" customFormat="1" ht="12.75" customHeight="1">
      <c r="C25" s="883"/>
      <c r="D25" s="876" t="s">
        <v>5169</v>
      </c>
      <c r="E25" s="876"/>
      <c r="F25" s="876"/>
      <c r="G25" s="876"/>
      <c r="H25" s="876"/>
      <c r="I25" s="882"/>
      <c r="J25" s="876"/>
      <c r="K25" s="876"/>
      <c r="L25" s="1226">
        <f>tlInputBusAEmp1HrsCurrProj/100</f>
        <v>0.05</v>
      </c>
      <c r="M25" s="876"/>
      <c r="R25" s="886"/>
    </row>
    <row r="26" spans="3:18" s="874" customFormat="1" ht="6" customHeight="1">
      <c r="C26" s="875"/>
      <c r="D26" s="876"/>
      <c r="E26" s="876"/>
      <c r="F26" s="876"/>
      <c r="G26" s="875"/>
      <c r="H26" s="875"/>
      <c r="I26" s="875"/>
      <c r="J26" s="876"/>
      <c r="K26" s="876"/>
      <c r="L26" s="876"/>
      <c r="M26" s="876"/>
    </row>
    <row r="27" spans="3:18" s="874" customFormat="1" ht="12.75" customHeight="1">
      <c r="C27" s="875"/>
      <c r="D27" s="875"/>
      <c r="E27" s="875"/>
      <c r="F27" s="875"/>
      <c r="G27" s="875"/>
      <c r="H27" s="875"/>
      <c r="I27" s="875"/>
      <c r="J27" s="875"/>
      <c r="K27" s="875"/>
      <c r="L27" s="875"/>
      <c r="M27" s="875"/>
    </row>
    <row r="28" spans="3:18" s="874" customFormat="1" ht="12.75" customHeight="1">
      <c r="C28" s="875"/>
      <c r="D28" s="875" t="s">
        <v>5169</v>
      </c>
      <c r="E28" s="875"/>
      <c r="F28" s="875"/>
      <c r="G28" s="875"/>
      <c r="H28" s="875"/>
      <c r="I28" s="875"/>
      <c r="J28" s="875"/>
      <c r="K28" s="875"/>
      <c r="L28" s="875"/>
      <c r="M28" s="875"/>
    </row>
    <row r="29" spans="3:18" s="874" customFormat="1" ht="6" customHeight="1">
      <c r="C29" s="875"/>
      <c r="D29" s="875"/>
      <c r="E29" s="875"/>
      <c r="F29" s="875"/>
      <c r="G29" s="875"/>
      <c r="H29" s="875"/>
      <c r="I29" s="875"/>
      <c r="J29" s="875"/>
      <c r="K29" s="875"/>
      <c r="L29" s="875"/>
      <c r="M29" s="875"/>
    </row>
    <row r="30" spans="3:18" s="874" customFormat="1" ht="12.75" customHeight="1">
      <c r="C30" s="875"/>
      <c r="D30" s="917" t="s">
        <v>4751</v>
      </c>
      <c r="E30" s="875"/>
      <c r="F30" s="875"/>
      <c r="G30" s="975"/>
      <c r="H30" s="875"/>
      <c r="I30" s="875"/>
      <c r="J30" s="875"/>
      <c r="K30" s="875"/>
      <c r="L30" s="875"/>
      <c r="M30" s="875"/>
    </row>
    <row r="31" spans="3:18" s="874" customFormat="1" ht="5.25" customHeight="1">
      <c r="C31" s="875"/>
      <c r="D31" s="917"/>
      <c r="E31" s="875"/>
      <c r="F31" s="875"/>
      <c r="G31" s="975"/>
      <c r="H31" s="875"/>
      <c r="I31" s="875"/>
      <c r="J31" s="875"/>
      <c r="K31" s="875"/>
      <c r="L31" s="875"/>
      <c r="M31" s="875"/>
    </row>
    <row r="32" spans="3:18" s="874" customFormat="1" ht="12.75">
      <c r="C32" s="875"/>
      <c r="D32" s="917" t="s">
        <v>4228</v>
      </c>
      <c r="E32" s="875"/>
      <c r="F32" s="1227">
        <f>INDEX(capBusAEmp1Utiliz,xxIndexTeam)</f>
        <v>0.31644779931599104</v>
      </c>
      <c r="G32" s="875"/>
      <c r="H32" s="875"/>
      <c r="I32" s="875"/>
      <c r="J32" s="875"/>
      <c r="K32" s="875"/>
      <c r="L32" s="875"/>
      <c r="M32" s="875"/>
    </row>
    <row r="33" spans="3:18" s="874" customFormat="1" ht="12.75" customHeight="1"/>
    <row r="34" spans="3:18" s="874" customFormat="1" ht="6" hidden="1" customHeight="1">
      <c r="C34" s="875"/>
      <c r="D34" s="875"/>
      <c r="E34" s="875"/>
      <c r="F34" s="875"/>
      <c r="G34" s="875"/>
      <c r="H34" s="875"/>
      <c r="I34" s="875"/>
      <c r="J34" s="875"/>
      <c r="K34" s="875"/>
      <c r="L34" s="875"/>
      <c r="M34" s="875"/>
    </row>
    <row r="35" spans="3:18" s="874" customFormat="1" ht="12.75" hidden="1" customHeight="1">
      <c r="C35" s="884"/>
      <c r="D35" s="1524" t="s">
        <v>2354</v>
      </c>
      <c r="E35" s="1524"/>
      <c r="F35" s="1524"/>
      <c r="G35" s="876"/>
      <c r="H35" s="876"/>
      <c r="I35" s="882"/>
      <c r="J35" s="875"/>
      <c r="K35" s="875"/>
      <c r="L35" s="875"/>
      <c r="M35" s="875"/>
      <c r="R35" s="886"/>
    </row>
    <row r="36" spans="3:18" s="874" customFormat="1" ht="6" hidden="1" customHeight="1">
      <c r="C36" s="875"/>
      <c r="D36" s="1524"/>
      <c r="E36" s="1524"/>
      <c r="F36" s="1524"/>
      <c r="G36" s="875"/>
      <c r="H36" s="875"/>
      <c r="I36" s="875"/>
      <c r="J36" s="875"/>
      <c r="K36" s="875"/>
      <c r="L36" s="875"/>
      <c r="M36" s="875"/>
    </row>
    <row r="37" spans="3:18" s="874" customFormat="1" ht="12" hidden="1" customHeight="1">
      <c r="C37" s="875"/>
      <c r="D37" s="884"/>
      <c r="E37" s="884"/>
      <c r="F37" s="884"/>
      <c r="G37" s="875"/>
      <c r="H37" s="875"/>
      <c r="I37" s="875"/>
      <c r="J37" s="875"/>
      <c r="K37" s="875"/>
      <c r="L37" s="875"/>
      <c r="M37" s="875"/>
    </row>
    <row r="38" spans="3:18" s="874" customFormat="1" ht="12.75" hidden="1" customHeight="1">
      <c r="C38" s="875"/>
      <c r="D38" s="883"/>
      <c r="E38" s="875"/>
      <c r="F38" s="875"/>
      <c r="G38" s="875"/>
      <c r="H38" s="878" t="s">
        <v>4645</v>
      </c>
      <c r="I38" s="881"/>
      <c r="J38" s="878" t="s">
        <v>939</v>
      </c>
      <c r="K38" s="881"/>
      <c r="L38" s="878" t="s">
        <v>940</v>
      </c>
      <c r="M38" s="875"/>
    </row>
    <row r="39" spans="3:18" s="874" customFormat="1" ht="12.75" hidden="1" customHeight="1">
      <c r="C39" s="875"/>
      <c r="D39" s="875"/>
      <c r="E39" s="875"/>
      <c r="F39" s="875"/>
      <c r="G39" s="875"/>
      <c r="H39" s="875"/>
      <c r="I39" s="875"/>
      <c r="J39" s="875"/>
      <c r="K39" s="875"/>
      <c r="L39" s="875"/>
      <c r="M39" s="875"/>
    </row>
    <row r="40" spans="3:18" s="874" customFormat="1" ht="12.75" hidden="1" customHeight="1">
      <c r="C40" s="875"/>
      <c r="D40" s="885" t="s">
        <v>4646</v>
      </c>
      <c r="E40" s="884"/>
      <c r="F40" s="884"/>
      <c r="G40" s="875"/>
      <c r="H40" s="877">
        <v>10000</v>
      </c>
      <c r="I40" s="875"/>
      <c r="J40" s="877">
        <v>5300</v>
      </c>
      <c r="K40" s="875"/>
      <c r="L40" s="877">
        <v>10000</v>
      </c>
      <c r="M40" s="875"/>
    </row>
    <row r="41" spans="3:18" s="874" customFormat="1" ht="6" hidden="1" customHeight="1">
      <c r="C41" s="875"/>
      <c r="D41" s="884"/>
      <c r="E41" s="884"/>
      <c r="F41" s="884"/>
      <c r="G41" s="875"/>
      <c r="H41" s="875"/>
      <c r="I41" s="875"/>
      <c r="J41" s="875"/>
      <c r="K41" s="875"/>
      <c r="L41" s="875"/>
      <c r="M41" s="875"/>
    </row>
    <row r="42" spans="3:18" s="874" customFormat="1" ht="12.75" hidden="1" customHeight="1">
      <c r="C42" s="875"/>
      <c r="D42" s="884"/>
      <c r="E42" s="884"/>
      <c r="F42" s="884"/>
      <c r="G42" s="875"/>
      <c r="H42" s="879">
        <f>tlInputBusAEmp4HrsSales/SUM(tlInputBusAEmp4HrsSales,tlInputBusAEmp3HrsSales,tlInputBusAEmp2HrsSales)</f>
        <v>0.39525691699604742</v>
      </c>
      <c r="I42" s="875"/>
      <c r="J42" s="879">
        <f>tlInputBusAEmp3HrsSales/SUM(tlInputBusAEmp4HrsSales,tlInputBusAEmp3HrsSales,tlInputBusAEmp2HrsSales)</f>
        <v>0.20948616600790515</v>
      </c>
      <c r="K42" s="875"/>
      <c r="L42" s="879">
        <f>(tlInputBusAEmp2HrsSales)/SUM(tlInputBusAEmp4HrsSales,tlInputBusAEmp3HrsSales,tlInputBusAEmp2HrsSales)</f>
        <v>0.39525691699604742</v>
      </c>
      <c r="M42" s="875"/>
    </row>
    <row r="43" spans="3:18" s="874" customFormat="1" ht="12.75" hidden="1" customHeight="1">
      <c r="C43" s="875"/>
      <c r="D43" s="875"/>
      <c r="E43" s="875"/>
      <c r="F43" s="875"/>
      <c r="G43" s="875"/>
      <c r="H43" s="875"/>
      <c r="I43" s="875"/>
      <c r="J43" s="875"/>
      <c r="K43" s="875"/>
      <c r="L43" s="875"/>
      <c r="M43" s="875"/>
    </row>
    <row r="44" spans="3:18" s="874" customFormat="1" ht="12.75" hidden="1" customHeight="1">
      <c r="C44" s="875"/>
      <c r="D44" s="885" t="s">
        <v>4671</v>
      </c>
      <c r="E44" s="884"/>
      <c r="F44" s="884"/>
      <c r="G44" s="875"/>
      <c r="H44" s="877">
        <v>2000</v>
      </c>
      <c r="I44" s="875"/>
      <c r="J44" s="877">
        <v>7000</v>
      </c>
      <c r="K44" s="875"/>
      <c r="L44" s="877">
        <v>16000</v>
      </c>
      <c r="M44" s="875"/>
    </row>
    <row r="45" spans="3:18" s="874" customFormat="1" ht="6" hidden="1" customHeight="1">
      <c r="C45" s="875"/>
      <c r="D45" s="884"/>
      <c r="E45" s="884"/>
      <c r="F45" s="884"/>
      <c r="G45" s="875"/>
      <c r="H45" s="875"/>
      <c r="I45" s="875"/>
      <c r="J45" s="875"/>
      <c r="K45" s="875"/>
      <c r="L45" s="875"/>
      <c r="M45" s="875"/>
    </row>
    <row r="46" spans="3:18" s="874" customFormat="1" ht="12.75" hidden="1" customHeight="1">
      <c r="C46" s="875"/>
      <c r="D46" s="884"/>
      <c r="E46" s="884"/>
      <c r="F46" s="884"/>
      <c r="G46" s="875"/>
      <c r="H46" s="879">
        <f>tlInputBusAemp7HrsSales/SUM(tlInputBusAemp7HrsSales,tlInputBusAemp8HrsSales,tlInputBusAemp9HrsSales,tlInputBusAEmp1HrsSales)</f>
        <v>7.2727272727272724E-2</v>
      </c>
      <c r="I46" s="875"/>
      <c r="J46" s="879">
        <f>tlInputBusAemp8HrsSales/SUM(tlInputBusAemp7HrsSales,tlInputBusAemp8HrsSales,tlInputBusAemp9HrsSales,tlInputBusAEmp1HrsSales)</f>
        <v>0.25454545454545452</v>
      </c>
      <c r="K46" s="875"/>
      <c r="L46" s="879">
        <f>(tlInputBusAemp9HrsSales+tlInputBusAEmp1HrsSales)/SUM(tlInputBusAemp7HrsSales,tlInputBusAemp8HrsSales,tlInputBusAemp9HrsSales,tlInputBusAEmp1HrsSales)</f>
        <v>0.67272727272727273</v>
      </c>
      <c r="M46" s="875"/>
    </row>
    <row r="47" spans="3:18" s="874" customFormat="1" ht="12.75" hidden="1" customHeight="1">
      <c r="C47" s="875"/>
      <c r="D47" s="875"/>
      <c r="E47" s="875"/>
      <c r="F47" s="875"/>
      <c r="G47" s="875"/>
      <c r="H47" s="875"/>
      <c r="I47" s="875"/>
      <c r="J47" s="875"/>
      <c r="K47" s="875"/>
      <c r="L47" s="875"/>
      <c r="M47" s="875"/>
    </row>
    <row r="48" spans="3:18" s="874" customFormat="1" ht="12.75" hidden="1" customHeight="1">
      <c r="C48" s="875"/>
      <c r="D48" s="875" t="s">
        <v>4670</v>
      </c>
      <c r="E48" s="875"/>
      <c r="F48" s="875"/>
      <c r="G48" s="875"/>
      <c r="H48" s="877">
        <v>2500</v>
      </c>
      <c r="I48" s="875"/>
      <c r="J48" s="875"/>
      <c r="K48" s="875"/>
      <c r="L48" s="875"/>
      <c r="M48" s="875"/>
    </row>
    <row r="49" spans="3:58" s="874" customFormat="1" ht="6" hidden="1" customHeight="1">
      <c r="C49" s="875"/>
      <c r="D49" s="875"/>
      <c r="E49" s="875"/>
      <c r="F49" s="875"/>
      <c r="G49" s="875"/>
      <c r="H49" s="875"/>
      <c r="I49" s="875"/>
      <c r="J49" s="875"/>
      <c r="K49" s="875"/>
      <c r="L49" s="875"/>
      <c r="M49" s="875"/>
    </row>
    <row r="50" spans="3:58" s="874" customFormat="1" ht="6" hidden="1" customHeight="1">
      <c r="C50" s="875"/>
      <c r="D50" s="875"/>
      <c r="E50" s="875"/>
      <c r="F50" s="875"/>
      <c r="G50" s="875"/>
      <c r="H50" s="875"/>
      <c r="I50" s="875"/>
      <c r="J50" s="875"/>
      <c r="K50" s="875"/>
      <c r="L50" s="875"/>
      <c r="M50" s="875"/>
    </row>
    <row r="51" spans="3:58" s="874" customFormat="1" ht="12.75" hidden="1">
      <c r="D51" s="877">
        <v>40000</v>
      </c>
      <c r="E51" s="875"/>
      <c r="F51" s="877">
        <v>130000</v>
      </c>
    </row>
    <row r="52" spans="3:58" s="874" customFormat="1" ht="12.75" hidden="1">
      <c r="D52" s="875"/>
      <c r="E52" s="875"/>
      <c r="F52" s="875"/>
    </row>
    <row r="53" spans="3:58" s="874" customFormat="1" ht="12.75" hidden="1">
      <c r="D53" s="879">
        <f>tlInputBusAEmp7HrsCurrProj/SUM(tlInputBusAEmp7HrsCurrProj,tlInputBusAEmp8HrsCurrProj,tlInputBusAEmp9HrsCurrProj,)</f>
        <v>8.6021505376344093E-2</v>
      </c>
      <c r="E53" s="875"/>
      <c r="F53" s="879">
        <f>tlInputBusAEmp8HrsCurrProj/SUM(tlInputBusAEmp7HrsCurrProj,tlInputBusAEmp8HrsCurrProj,tlInputBusAEmp9HrsCurrProj)</f>
        <v>0.27956989247311825</v>
      </c>
    </row>
    <row r="54" spans="3:58" s="874" customFormat="1" ht="12.75">
      <c r="AZ54" s="874" t="s">
        <v>1427</v>
      </c>
      <c r="BB54" s="874" t="s">
        <v>4438</v>
      </c>
    </row>
    <row r="55" spans="3:58" s="874" customFormat="1" ht="12.75">
      <c r="AZ55" s="874" t="s">
        <v>1427</v>
      </c>
      <c r="BB55" s="874" t="s">
        <v>4438</v>
      </c>
    </row>
    <row r="56" spans="3:58" s="874" customFormat="1" ht="12.75">
      <c r="L56" s="1018"/>
    </row>
    <row r="57" spans="3:58" s="874" customFormat="1" ht="12.75"/>
    <row r="58" spans="3:58" s="874" customFormat="1" ht="12.75"/>
    <row r="59" spans="3:58" s="874" customFormat="1" ht="12.75"/>
    <row r="60" spans="3:58" s="874" customFormat="1" ht="12.75"/>
    <row r="61" spans="3:58" s="874" customFormat="1" ht="12.75"/>
    <row r="62" spans="3:58" s="874" customFormat="1" ht="12.75">
      <c r="C62" s="874" t="s">
        <v>4434</v>
      </c>
    </row>
    <row r="63" spans="3:58" s="874" customFormat="1" ht="12.75">
      <c r="N63" s="874" t="s">
        <v>1427</v>
      </c>
      <c r="R63" s="874" t="s">
        <v>4438</v>
      </c>
      <c r="AZ63" s="874" t="s">
        <v>1427</v>
      </c>
      <c r="BB63" s="874" t="s">
        <v>4438</v>
      </c>
    </row>
    <row r="64" spans="3:58" s="874" customFormat="1" ht="12.75">
      <c r="C64" s="874" t="s">
        <v>1426</v>
      </c>
      <c r="F64" s="874" t="s">
        <v>2998</v>
      </c>
      <c r="L64" s="874" t="s">
        <v>4642</v>
      </c>
      <c r="N64" s="874" t="s">
        <v>939</v>
      </c>
      <c r="R64" s="874" t="s">
        <v>1238</v>
      </c>
      <c r="T64" s="874" t="s">
        <v>4221</v>
      </c>
      <c r="AU64" s="874" t="s">
        <v>673</v>
      </c>
      <c r="AV64" s="874" t="s">
        <v>1271</v>
      </c>
      <c r="AW64" s="874" t="s">
        <v>411</v>
      </c>
      <c r="AX64" s="874" t="s">
        <v>4642</v>
      </c>
      <c r="AZ64" s="874" t="s">
        <v>939</v>
      </c>
      <c r="BB64" s="874" t="s">
        <v>1238</v>
      </c>
      <c r="BD64" s="874" t="s">
        <v>2022</v>
      </c>
      <c r="BE64" s="874" t="s">
        <v>3333</v>
      </c>
      <c r="BF64" s="874" t="s">
        <v>1270</v>
      </c>
    </row>
    <row r="65" spans="3:58" s="874" customFormat="1" ht="12.75"/>
    <row r="66" spans="3:58" s="874" customFormat="1" ht="12.75"/>
    <row r="67" spans="3:58" s="874" customFormat="1" ht="12.75">
      <c r="C67" s="874">
        <f>SUM(L67:R67)/SUM(dec!C44,L67:R67,L70:R70)</f>
        <v>0</v>
      </c>
      <c r="D67" s="874" t="s">
        <v>4416</v>
      </c>
      <c r="F67" s="1476" t="s">
        <v>3330</v>
      </c>
      <c r="T67" s="874">
        <f>INDEX(capBusACurrProjV1PctStaffed,xxIndexTeam)</f>
        <v>0.63068635277525453</v>
      </c>
      <c r="AU67" s="874" t="s">
        <v>674</v>
      </c>
      <c r="AV67" s="874">
        <f>IF(tlInputBusAStaffProfMC1="Diamond",1,IF(tlInputBusAStaffProfMC1="Top Heavy",2,IF(tlInputBusAStaffProfMC1="Mod. Top Heavy",3,IF(tlInputBusAStaffProfMC1="Guideline",4,IF(tlInputBusAStaffProfMC1="Mod. Bottom Heavy",5,IF(tlInputBusAStaffProfMC1="Bottom Heavy",6,4))))))</f>
        <v>2</v>
      </c>
      <c r="AW67" s="874">
        <v>74</v>
      </c>
      <c r="AX67" s="874">
        <f>INDEX(dataListProfileMC,$AV67,2)</f>
        <v>0.11</v>
      </c>
      <c r="AZ67" s="874">
        <f>INDEX(dataListProfileMC,$AV67,3)</f>
        <v>0.4</v>
      </c>
      <c r="BB67" s="874">
        <f>INDEX(dataListProfileMC,$AV67,4)</f>
        <v>0.49</v>
      </c>
      <c r="BE67" s="874">
        <v>589001</v>
      </c>
      <c r="BF67" s="874">
        <f>BE67*(tlInputBusAStaffLvl1/100)</f>
        <v>435860.74</v>
      </c>
    </row>
    <row r="68" spans="3:58" s="874" customFormat="1" ht="12.75">
      <c r="L68" s="874">
        <f>tlInputBusAEmp4HrsCurrProj/SUM(tlInputBusAEmp4HrsCurrProj,tlInputBusAEmp3HrsCurrProj,tlInputBusAEmp2HrsCurrProj)</f>
        <v>0.12307692307692308</v>
      </c>
      <c r="N68" s="874">
        <f>tlInputBusAEmp3HrsCurrProj/SUM(tlInputBusAEmp4HrsCurrProj,tlInputBusAEmp3HrsCurrProj,tlInputBusAEmp2HrsCurrProj)</f>
        <v>0.33846153846153848</v>
      </c>
      <c r="R68" s="874">
        <f>(tlInputBusAEmp2HrsCurrProj)/SUM(tlInputBusAEmp4HrsCurrProj,tlInputBusAEmp3HrsCurrProj,tlInputBusAEmp2HrsCurrProj)</f>
        <v>0.53846153846153844</v>
      </c>
      <c r="AF68" s="874" t="s">
        <v>10</v>
      </c>
      <c r="BD68" s="874">
        <v>41</v>
      </c>
    </row>
    <row r="69" spans="3:58" s="874" customFormat="1" ht="12.75">
      <c r="AW69" s="874">
        <v>57</v>
      </c>
    </row>
    <row r="70" spans="3:58" s="874" customFormat="1" ht="12.75">
      <c r="C70" s="874">
        <f>SUM(L70:R70)/SUM(dec!C44,L67:R67,L70:R70)</f>
        <v>0</v>
      </c>
      <c r="D70" s="874" t="s">
        <v>4417</v>
      </c>
      <c r="F70" s="1476" t="s">
        <v>3330</v>
      </c>
      <c r="AV70" s="874">
        <f>IF(tlInputBusAStaffProfSIT1="Diamond",1,IF(tlInputBusAStaffProfSIT1="Top Heavy",2,IF(tlInputBusAStaffProfSIT1="Mod. Top Heavy",3,IF(tlInputBusAStaffProfSIT1="Guideline",4,IF(tlInputBusAStaffProfSIT1="Mod. Bottom Heavy",5,IF(tlInputBusAStaffProfSIT1="Bottom Heavy",6,4))))))</f>
        <v>2</v>
      </c>
      <c r="AW70" s="874">
        <v>105</v>
      </c>
      <c r="AX70" s="874">
        <f>INDEX(dataListProfileSIT,$AV70,2)</f>
        <v>0.08</v>
      </c>
      <c r="AZ70" s="874">
        <f>INDEX(dataListProfileSIT,$AV70,3)</f>
        <v>0.3</v>
      </c>
      <c r="BB70" s="874">
        <f>INDEX(dataListProfileSIT,$AV70,4)</f>
        <v>0.62</v>
      </c>
      <c r="BE70" s="874">
        <v>457001</v>
      </c>
      <c r="BF70" s="874">
        <f>BE70*(tlInputBusAStaffLvl2/100)</f>
        <v>479851.05000000005</v>
      </c>
    </row>
    <row r="71" spans="3:58" s="874" customFormat="1" ht="12.75"/>
    <row r="72" spans="3:58" s="874" customFormat="1" ht="12.75"/>
    <row r="73" spans="3:58" s="874" customFormat="1" ht="12.75">
      <c r="C73" s="874" t="e">
        <f>SUM(dec!C44)/SUM(L67:R67,L70:R70,L73:R73)</f>
        <v>#DIV/0!</v>
      </c>
      <c r="D73" s="874" t="s">
        <v>2022</v>
      </c>
      <c r="F73" s="874" t="s">
        <v>1756</v>
      </c>
    </row>
    <row r="74" spans="3:58" s="874" customFormat="1" ht="12.75"/>
    <row r="75" spans="3:58" s="874" customFormat="1" ht="12.75"/>
    <row r="76" spans="3:58" s="874" customFormat="1" ht="12.75"/>
    <row r="77" spans="3:58" s="874" customFormat="1" ht="12.75">
      <c r="C77" s="874">
        <f>SUM(L77:R77)/SUM(dec!C45,L77:R77,M80:Q80)</f>
        <v>0</v>
      </c>
      <c r="D77" s="874" t="s">
        <v>4418</v>
      </c>
      <c r="F77" s="1476" t="s">
        <v>3331</v>
      </c>
      <c r="T77" s="874">
        <f>INDEX(capBusACurrProjV2PctStaffed,xxIndexTeam)</f>
        <v>0.57004167465322819</v>
      </c>
      <c r="AV77" s="874">
        <f>IF(tlInputBusAStaffProfMC2="Diamond",1,IF(tlInputBusAStaffProfMC2="Top Heavy",2,IF(tlInputBusAStaffProfMC2="Mod. Top Heavy",3,IF(tlInputBusAStaffProfMC2="Guideline",4,IF(tlInputBusAStaffProfMC2="Mod. Bottom Heavy",5,IF(tlInputBusAStaffProfMC2="Bottom Heavy",6,4))))))</f>
        <v>4</v>
      </c>
      <c r="AW77" s="874">
        <v>45</v>
      </c>
      <c r="AX77" s="874">
        <f>INDEX(dataListProfileMC,$AV77,2)</f>
        <v>7.0000000000000007E-2</v>
      </c>
      <c r="AZ77" s="874">
        <f>INDEX(dataListProfileMC,$AV77,3)</f>
        <v>0.32</v>
      </c>
      <c r="BB77" s="874">
        <f>INDEX(dataListProfileMC,$AV77,4)</f>
        <v>0.61</v>
      </c>
      <c r="BE77" s="874">
        <v>353001.29411764699</v>
      </c>
      <c r="BF77" s="874">
        <f>BE77*(tlInputBusAStaffLvl3/100)</f>
        <v>158850.58235294116</v>
      </c>
    </row>
    <row r="78" spans="3:58" s="874" customFormat="1" ht="12.75">
      <c r="L78" s="874">
        <f>tlInputBusAEmp4HrsCurrProjV2/SUM(tlInputBusAEmp4HrsCurrProjV2,tlInputBusAEmp3HrsCurrProjV2,tlInputBusAEmp2HrsCurrProjV2)</f>
        <v>9.0909090909090912E-2</v>
      </c>
      <c r="N78" s="874">
        <f>tlInputBusAEmp3HrsCurrProjV2/SUM(tlInputBusAEmp4HrsCurrProjV2,tlInputBusAEmp3HrsCurrProjV2,tlInputBusAEmp2HrsCurrProjV2)</f>
        <v>0.30909090909090908</v>
      </c>
      <c r="R78" s="874">
        <f>(tlInputBusAEmp2HrsCurrProjV2)/SUM(tlInputBusAEmp4HrsCurrProjV2,tlInputBusAEmp3HrsCurrProjV2,tlInputBusAEmp2HrsCurrProjV2)</f>
        <v>0.6</v>
      </c>
      <c r="BD78" s="874">
        <v>158</v>
      </c>
    </row>
    <row r="79" spans="3:58" s="874" customFormat="1" ht="12.75"/>
    <row r="80" spans="3:58" s="874" customFormat="1" ht="12.75">
      <c r="C80" s="874">
        <f>SUM(M80:Q80)/SUM(dec!C45,L77:R77,M80:Q80)</f>
        <v>0</v>
      </c>
      <c r="D80" s="874" t="s">
        <v>4419</v>
      </c>
      <c r="F80" s="1476" t="s">
        <v>3330</v>
      </c>
      <c r="AV80" s="874">
        <f>IF(tlInputBusAStaffProfSIT2="Diamond",1,IF(tlInputBusAStaffProfSIT2="Top Heavy",2,IF(tlInputBusAStaffProfSIT2="Mod. Top Heavy",3,IF(tlInputBusAStaffProfSIT2="Guideline",4,IF(tlInputBusAStaffProfSIT2="Mod. Bottom Heavy",5,IF(tlInputBusAStaffProfSIT2="Bottom Heavy",6,4))))))</f>
        <v>2</v>
      </c>
      <c r="AW80" s="874">
        <v>133</v>
      </c>
      <c r="AX80" s="874">
        <f>INDEX(dataListProfileSIT,$AV80,2)</f>
        <v>0.08</v>
      </c>
      <c r="AZ80" s="874">
        <f>INDEX(dataListProfileSIT,$AV80,3)</f>
        <v>0.3</v>
      </c>
      <c r="BB80" s="874">
        <f>INDEX(dataListProfileSIT,$AV80,4)</f>
        <v>0.62</v>
      </c>
      <c r="BE80" s="874">
        <v>252001</v>
      </c>
      <c r="BF80" s="874">
        <f>BE80*(tlInputBusAStaffLvl4/100)</f>
        <v>335161.33</v>
      </c>
    </row>
    <row r="81" spans="3:58" s="874" customFormat="1" ht="12.75"/>
    <row r="82" spans="3:58" s="874" customFormat="1" ht="12.75"/>
    <row r="83" spans="3:58" s="874" customFormat="1" ht="12.75">
      <c r="C83" s="874" t="e">
        <f>SUM(dec!C45)/SUM(L77:R77,M80:Q80,M83:R83)</f>
        <v>#DIV/0!</v>
      </c>
      <c r="D83" s="874" t="s">
        <v>2022</v>
      </c>
      <c r="F83" s="874" t="s">
        <v>1756</v>
      </c>
    </row>
    <row r="84" spans="3:58" s="874" customFormat="1" ht="12.75"/>
    <row r="85" spans="3:58" s="874" customFormat="1" ht="12.75"/>
    <row r="86" spans="3:58" s="874" customFormat="1" ht="12.75"/>
    <row r="87" spans="3:58" s="874" customFormat="1" ht="12.75">
      <c r="C87" s="874">
        <f>SUM(L87:R87)/SUM(dec!C46,L87:R87,M90:Q90)</f>
        <v>0</v>
      </c>
      <c r="D87" s="874" t="s">
        <v>4420</v>
      </c>
      <c r="F87" s="1476" t="s">
        <v>3332</v>
      </c>
      <c r="T87" s="874">
        <f>INDEX(capBusACurrProjV3PctStaffed,xxIndexTeam)</f>
        <v>0.48702026015070626</v>
      </c>
      <c r="AV87" s="874">
        <f>IF(tlInputBusAStaffProfMC3="Diamond",1,IF(tlInputBusAStaffProfMC3="Top Heavy",2,IF(tlInputBusAStaffProfMC3="Mod. Top Heavy",3,IF(tlInputBusAStaffProfMC3="Guideline",4,IF(tlInputBusAStaffProfMC3="Mod. Bottom Heavy",5,IF(tlInputBusAStaffProfMC3="Bottom Heavy",6,4))))))</f>
        <v>6</v>
      </c>
      <c r="AW87" s="874">
        <v>105</v>
      </c>
      <c r="AX87" s="874">
        <f>INDEX(dataListProfileMC,$AV87,2)</f>
        <v>0.03</v>
      </c>
      <c r="AZ87" s="874">
        <f>INDEX(dataListProfileMC,$AV87,3)</f>
        <v>0.24</v>
      </c>
      <c r="BB87" s="874">
        <f>INDEX(dataListProfileMC,$AV87,4)</f>
        <v>0.73</v>
      </c>
      <c r="BE87" s="874">
        <v>315501.05525460403</v>
      </c>
      <c r="BF87" s="874">
        <f>BE87*(tlInputBusAStaffLvl5/100)</f>
        <v>331276.10801733425</v>
      </c>
    </row>
    <row r="88" spans="3:58" s="874" customFormat="1" ht="12.75">
      <c r="L88" s="874">
        <f>tlInputBusAEmp4HrsCurrProjV3/SUM(tlInputBusAEmp4HrsCurrProjV3,tlInputBusAEmp3HrsCurrProjV3,tlInputBusAEmp2HrsCurrProjV3)</f>
        <v>7.407407407407407E-2</v>
      </c>
      <c r="N88" s="874">
        <f>tlInputBusAEmp3HrsCurrProjV3/SUM(tlInputBusAEmp4HrsCurrProjV3,tlInputBusAEmp3HrsCurrProjV3,tlInputBusAEmp2HrsCurrProjV3)</f>
        <v>0.30864197530864196</v>
      </c>
      <c r="R88" s="874">
        <f>(tlInputBusAEmp2HrsCurrProjV3)/SUM(tlInputBusAEmp4HrsCurrProjV3,tlInputBusAEmp3HrsCurrProjV3,tlInputBusAEmp2HrsCurrProjV3)</f>
        <v>0.61728395061728392</v>
      </c>
      <c r="BD88" s="874">
        <v>8</v>
      </c>
    </row>
    <row r="89" spans="3:58" s="874" customFormat="1" ht="12.75"/>
    <row r="90" spans="3:58" s="874" customFormat="1" ht="12.75">
      <c r="C90" s="874">
        <f>SUM(M90:Q90)/SUM(dec!C46,L87:R87,M90:Q90)</f>
        <v>0</v>
      </c>
      <c r="D90" s="874" t="s">
        <v>4421</v>
      </c>
      <c r="F90" s="1476" t="s">
        <v>3330</v>
      </c>
      <c r="AV90" s="874">
        <f>IF(tlInputBusAStaffProfSIT3="Diamond",1,IF(tlInputBusAStaffProfSIT3="Top Heavy",2,IF(tlInputBusAStaffProfSIT3="Mod. Top Heavy",3,IF(tlInputBusAStaffProfSIT3="Guideline",4,IF(tlInputBusAStaffProfSIT3="Mod. Bottom Heavy",5,IF(tlInputBusAStaffProfSIT3="Bottom Heavy",6,4))))))</f>
        <v>2</v>
      </c>
      <c r="AW90" s="874">
        <v>120</v>
      </c>
      <c r="AX90" s="874">
        <f>INDEX(dataListProfileSIT,$AV90,2)</f>
        <v>0.08</v>
      </c>
      <c r="AZ90" s="874">
        <f>INDEX(dataListProfileSIT,$AV90,3)</f>
        <v>0.3</v>
      </c>
      <c r="BB90" s="874">
        <f>INDEX(dataListProfileSIT,$AV90,4)</f>
        <v>0.62</v>
      </c>
      <c r="BE90" s="874">
        <v>101001</v>
      </c>
      <c r="BF90" s="874">
        <f>BE90*(tlInputBusAStaffLvl6/100)</f>
        <v>121201.2</v>
      </c>
    </row>
    <row r="91" spans="3:58" s="874" customFormat="1" ht="12.75"/>
    <row r="92" spans="3:58" s="874" customFormat="1" ht="12.75"/>
    <row r="93" spans="3:58" s="874" customFormat="1" ht="12.75">
      <c r="C93" s="874" t="e">
        <f>SUM(dec!C46)/SUM(L87:R87,M90:Q90,M93:R93)</f>
        <v>#DIV/0!</v>
      </c>
      <c r="D93" s="874" t="s">
        <v>2022</v>
      </c>
      <c r="F93" s="874" t="s">
        <v>1756</v>
      </c>
    </row>
    <row r="94" spans="3:58" s="874" customFormat="1" ht="12.75"/>
    <row r="95" spans="3:58" s="874" customFormat="1" ht="12.75"/>
    <row r="96" spans="3:58" s="874" customFormat="1" ht="12.75"/>
    <row r="97" spans="3:58" s="874" customFormat="1" ht="12.75"/>
    <row r="98" spans="3:58" s="874" customFormat="1" ht="12.75"/>
    <row r="99" spans="3:58" s="874" customFormat="1" ht="12.75"/>
    <row r="100" spans="3:58" s="874" customFormat="1" ht="12.75"/>
    <row r="101" spans="3:58" s="874" customFormat="1" ht="12.75"/>
    <row r="102" spans="3:58" s="874" customFormat="1" ht="12.75"/>
    <row r="103" spans="3:58" s="874" customFormat="1" ht="12.75"/>
    <row r="104" spans="3:58" s="874" customFormat="1" ht="12.75"/>
    <row r="105" spans="3:58" s="874" customFormat="1" ht="12.75"/>
    <row r="106" spans="3:58" s="874" customFormat="1" ht="12.75"/>
    <row r="107" spans="3:58" s="874" customFormat="1" ht="12.75"/>
    <row r="108" spans="3:58" s="874" customFormat="1" ht="12.75"/>
    <row r="109" spans="3:58" s="874" customFormat="1" ht="12.75"/>
    <row r="110" spans="3:58" s="874" customFormat="1" ht="12.75"/>
    <row r="111" spans="3:58" s="874" customFormat="1" ht="12.75">
      <c r="N111" s="874" t="s">
        <v>1427</v>
      </c>
      <c r="R111" s="874" t="s">
        <v>4438</v>
      </c>
      <c r="AZ111" s="874" t="s">
        <v>1427</v>
      </c>
      <c r="BB111" s="874" t="s">
        <v>4438</v>
      </c>
    </row>
    <row r="112" spans="3:58" s="874" customFormat="1" ht="12.75">
      <c r="C112" s="874" t="s">
        <v>2354</v>
      </c>
      <c r="F112" s="874" t="s">
        <v>2998</v>
      </c>
      <c r="L112" s="874" t="s">
        <v>4642</v>
      </c>
      <c r="N112" s="874" t="s">
        <v>939</v>
      </c>
      <c r="R112" s="874" t="s">
        <v>1238</v>
      </c>
      <c r="AV112" s="874" t="s">
        <v>1271</v>
      </c>
      <c r="AX112" s="874" t="s">
        <v>4642</v>
      </c>
      <c r="AZ112" s="874" t="s">
        <v>939</v>
      </c>
      <c r="BB112" s="874" t="s">
        <v>1238</v>
      </c>
      <c r="BD112" s="874" t="s">
        <v>2022</v>
      </c>
      <c r="BE112" s="874" t="s">
        <v>3333</v>
      </c>
      <c r="BF112" s="874" t="s">
        <v>1270</v>
      </c>
    </row>
    <row r="113" spans="3:58" s="874" customFormat="1" ht="12.75"/>
    <row r="114" spans="3:58" s="874" customFormat="1" ht="12.75"/>
    <row r="115" spans="3:58" s="874" customFormat="1" ht="12.75">
      <c r="C115" s="874">
        <f>SUM(L115:R115)/SUM(H48,L115:R115,L118:R118)</f>
        <v>0</v>
      </c>
      <c r="D115" s="874" t="s">
        <v>4416</v>
      </c>
      <c r="F115" s="1476" t="s">
        <v>3330</v>
      </c>
      <c r="AV115" s="874">
        <f>IF(tlInputBusASalesMC1="Diamond",1,IF(tlInputBusASalesMC1="Top Heavy",2,IF(tlInputBusASalesMC1="Mod. Top Heavy",3,IF(tlInputBusASalesMC1="Guideline",4,IF(tlInputBusASalesMC1="Mod. Bottom Heavy",5,IF(tlInputBusASalesMC1="Bottom Heavy",6,4))))))</f>
        <v>2</v>
      </c>
      <c r="AW115" s="874">
        <v>25</v>
      </c>
      <c r="AX115" s="874">
        <f>INDEX(dataListProfileMC,$AV115,2)</f>
        <v>0.11</v>
      </c>
      <c r="AZ115" s="874">
        <f>INDEX(dataListProfileMC,$AV115,3)</f>
        <v>0.4</v>
      </c>
      <c r="BB115" s="874">
        <f>INDEX(dataListProfileMC,$AV115,4)</f>
        <v>0.49</v>
      </c>
      <c r="BE115" s="874">
        <v>65001</v>
      </c>
      <c r="BF115" s="874">
        <f>BE115*(tlInputBusASalesLvl1/100)</f>
        <v>16250.25</v>
      </c>
    </row>
    <row r="116" spans="3:58" s="874" customFormat="1" ht="12.75">
      <c r="L116" s="874">
        <f>tlInputBusAEmp4HrsSales/SUM(tlInputBusAEmp4HrsSales,tlInputBusAEmp3HrsSales,tlInputBusAEmp2HrsSales)</f>
        <v>0.39525691699604742</v>
      </c>
      <c r="N116" s="874">
        <f>tlInputBusAEmp3HrsSales/SUM(tlInputBusAEmp4HrsSales,tlInputBusAEmp3HrsSales,tlInputBusAEmp2HrsSales)</f>
        <v>0.20948616600790515</v>
      </c>
      <c r="R116" s="874">
        <f>(tlInputBusAEmp2HrsSales)/SUM(tlInputBusAEmp4HrsSales,tlInputBusAEmp3HrsSales,tlInputBusAEmp2HrsSales)</f>
        <v>0.39525691699604742</v>
      </c>
      <c r="BD116" s="874">
        <v>19</v>
      </c>
    </row>
    <row r="117" spans="3:58" s="874" customFormat="1" ht="12.75"/>
    <row r="118" spans="3:58" s="874" customFormat="1" ht="12.75">
      <c r="C118" s="874">
        <f>SUM(L118:R118)/SUM(H48,L115:R115,L118:R118)</f>
        <v>0</v>
      </c>
      <c r="D118" s="874" t="s">
        <v>4417</v>
      </c>
      <c r="F118" s="1476" t="s">
        <v>3331</v>
      </c>
      <c r="AR118" s="874" t="s">
        <v>3329</v>
      </c>
      <c r="AV118" s="874">
        <f>IF(tlInputBusASales2="Diamond",1,IF(tlInputBusASales2="Top Heavy",2,IF(tlInputBusASales2="Mod. Top Heavy",3,IF(tlInputBusASales2="Guideline",4,IF(tlInputBusASales2="Mod. Bottom Heavy",5,IF(tlInputBusASales2="Bottom Heavy",6,4))))))</f>
        <v>4</v>
      </c>
      <c r="AW118" s="874">
        <v>78</v>
      </c>
      <c r="AX118" s="874">
        <f>INDEX(dataListProfileSIT,$AV118,2)</f>
        <v>0.05</v>
      </c>
      <c r="AZ118" s="874">
        <f>INDEX(dataListProfileSIT,$AV118,3)</f>
        <v>0.24</v>
      </c>
      <c r="BB118" s="874">
        <f>INDEX(dataListProfileSIT,$AV118,4)</f>
        <v>0.71</v>
      </c>
      <c r="BE118" s="874">
        <v>28001.032258064515</v>
      </c>
      <c r="BF118" s="874">
        <f>BE118*(tlInputBusASalesLvl2/100)</f>
        <v>21840.805161290322</v>
      </c>
    </row>
    <row r="119" spans="3:58" s="874" customFormat="1" ht="12.75">
      <c r="L119" s="874">
        <f>tlInputBusAemp7HrsSales/SUM(tlInputBusAemp7HrsSales,tlInputBusAemp8HrsSales,tlInputBusAemp9HrsSales,tlInputBusAEmp1HrsSales)</f>
        <v>7.2727272727272724E-2</v>
      </c>
      <c r="N119" s="874">
        <f>tlInputBusAemp8HrsSales/SUM(tlInputBusAemp7HrsSales,tlInputBusAemp8HrsSales,tlInputBusAemp9HrsSales,tlInputBusAEmp1HrsSales)</f>
        <v>0.25454545454545452</v>
      </c>
      <c r="R119" s="874">
        <f>(tlInputBusAemp9HrsSales+tlInputBusAEmp1HrsSales)/SUM(tlInputBusAemp7HrsSales,tlInputBusAemp8HrsSales,tlInputBusAemp9HrsSales,tlInputBusAEmp1HrsSales)</f>
        <v>0.67272727272727273</v>
      </c>
      <c r="AR119" s="874" t="s">
        <v>3330</v>
      </c>
    </row>
    <row r="120" spans="3:58" s="874" customFormat="1" ht="12.75"/>
    <row r="121" spans="3:58" s="874" customFormat="1" ht="12.75">
      <c r="C121" s="874" t="e">
        <f>SUM(H48)/SUM(L115:R115,L118:R118,L121:R121)</f>
        <v>#DIV/0!</v>
      </c>
      <c r="D121" s="874" t="s">
        <v>2022</v>
      </c>
      <c r="F121" s="874" t="s">
        <v>1756</v>
      </c>
    </row>
    <row r="122" spans="3:58" s="874" customFormat="1" ht="12.75"/>
    <row r="123" spans="3:58" s="874" customFormat="1" ht="12.75"/>
    <row r="124" spans="3:58" s="874" customFormat="1" ht="12.75">
      <c r="AR124" s="874" t="s">
        <v>1471</v>
      </c>
    </row>
    <row r="125" spans="3:58" s="874" customFormat="1" ht="12.75">
      <c r="C125" s="874">
        <f>SUM(L125:R125)/SUM(tlBusAPrac2!H48,L125:R125,M128:Q128)</f>
        <v>0</v>
      </c>
      <c r="D125" s="874" t="s">
        <v>4418</v>
      </c>
      <c r="F125" s="1476" t="s">
        <v>3331</v>
      </c>
      <c r="AR125" s="874" t="s">
        <v>3331</v>
      </c>
      <c r="AV125" s="874">
        <f>IF(tlInputBusASalesMC2="Diamond",1,IF(tlInputBusASalesMC2="Top Heavy",2,IF(tlInputBusASalesMC2="Mod. Top Heavy",3,IF(tlInputBusASalesMC2="Guideline",4,IF(tlInputBusASalesMC2="Mod. Bottom Heavy",5,IF(tlInputBusASalesMC2="Bottom Heavy",6,4))))))</f>
        <v>4</v>
      </c>
      <c r="AW125" s="874">
        <v>11</v>
      </c>
      <c r="AX125" s="874">
        <f>INDEX(dataListProfileMC,$AV125,2)</f>
        <v>7.0000000000000007E-2</v>
      </c>
      <c r="AZ125" s="874">
        <f>INDEX(dataListProfileMC,$AV125,3)</f>
        <v>0.32</v>
      </c>
      <c r="BB125" s="874">
        <f>INDEX(dataListProfileMC,$AV125,4)</f>
        <v>0.61</v>
      </c>
      <c r="BE125" s="874">
        <v>74001</v>
      </c>
      <c r="BF125" s="874">
        <f>BE125*(tlInputBusASalesLvl3/100)</f>
        <v>8140.11</v>
      </c>
    </row>
    <row r="126" spans="3:58" s="874" customFormat="1" ht="12.75">
      <c r="L126" s="874">
        <f>tlInputBusAEmp4HrsSalesV2/SUM(tlInputBusAEmp4HrsSalesV2,tlInputBusAEmp3HrsSalesV2,tlInputBusAEmp2HrsSalesV2)</f>
        <v>0.11764705882352941</v>
      </c>
      <c r="N126" s="874">
        <f>tlInputBusAEmp3HrsSalesV2/SUM(tlInputBusAEmp4HrsSalesV2,tlInputBusAEmp3HrsSalesV2,tlInputBusAEmp2HrsSalesV2)</f>
        <v>0.29411764705882354</v>
      </c>
      <c r="R126" s="874">
        <f>(tlInputBusAEmp2HrsSalesV2)/SUM(tlInputBusAEmp4HrsSalesV2,tlInputBusAEmp3HrsSalesV2,tlInputBusAEmp2HrsSalesV2)</f>
        <v>0.58823529411764708</v>
      </c>
      <c r="AR126" s="874" t="s">
        <v>1472</v>
      </c>
      <c r="BD126" s="874">
        <v>26</v>
      </c>
    </row>
    <row r="127" spans="3:58" s="874" customFormat="1" ht="12.75">
      <c r="AR127" s="874" t="s">
        <v>3332</v>
      </c>
    </row>
    <row r="128" spans="3:58" s="874" customFormat="1" ht="12.75">
      <c r="C128" s="874">
        <f>SUM(M128:Q128)/SUM(tlBusAPrac2!H48,L125:R125,M128:Q128)</f>
        <v>0</v>
      </c>
      <c r="D128" s="874" t="s">
        <v>4419</v>
      </c>
      <c r="F128" s="1476" t="s">
        <v>3331</v>
      </c>
      <c r="AV128" s="874">
        <f>IF(tlInputBusASales4="Diamond",1,IF(tlInputBusASales4="Top Heavy",2,IF(tlInputBusASales4="Mod. Top Heavy",3,IF(tlInputBusASales4="Guideline",4,IF(tlInputBusASales4="Mod. Bottom Heavy",5,IF(tlInputBusASales4="Bottom Heavy",6,4))))))</f>
        <v>4</v>
      </c>
      <c r="AW128" s="874">
        <v>109</v>
      </c>
      <c r="AX128" s="874">
        <f>INDEX(dataListProfileSIT,$AV128,2)</f>
        <v>0.05</v>
      </c>
      <c r="AZ128" s="874">
        <f>INDEX(dataListProfileSIT,$AV128,3)</f>
        <v>0.24</v>
      </c>
      <c r="BB128" s="874">
        <f>INDEX(dataListProfileSIT,$AV128,4)</f>
        <v>0.71</v>
      </c>
      <c r="BE128" s="874">
        <v>32001.028301886792</v>
      </c>
      <c r="BF128" s="874">
        <f>BE128*(tlInputBusASalesLvl4/100)</f>
        <v>34881.120849056606</v>
      </c>
    </row>
    <row r="129" spans="3:58" s="874" customFormat="1" ht="12.75"/>
    <row r="130" spans="3:58" s="874" customFormat="1" ht="12.75"/>
    <row r="131" spans="3:58" s="874" customFormat="1" ht="12.75">
      <c r="C131" s="874" t="e">
        <f>SUM(tlBusAPrac2!H48)/SUM(L125:R125,M128:Q128,M131:R131)</f>
        <v>#DIV/0!</v>
      </c>
      <c r="D131" s="874" t="s">
        <v>2022</v>
      </c>
      <c r="F131" s="874" t="s">
        <v>1756</v>
      </c>
    </row>
    <row r="132" spans="3:58" s="874" customFormat="1" ht="12.75"/>
    <row r="133" spans="3:58" s="874" customFormat="1" ht="12.75"/>
    <row r="134" spans="3:58" s="874" customFormat="1" ht="12.75"/>
    <row r="135" spans="3:58" s="874" customFormat="1" ht="12.75">
      <c r="C135" s="874">
        <f>SUM(L135:R135)/SUM(tlBusAPrac3!H48,L135:R135,M138:Q138)</f>
        <v>0</v>
      </c>
      <c r="D135" s="874" t="s">
        <v>4420</v>
      </c>
      <c r="F135" s="1476" t="s">
        <v>3331</v>
      </c>
      <c r="AV135" s="874">
        <f>IF(tlInputBusASalesMC3="Diamond",1,IF(tlInputBusASalesMC3="Top Heavy",2,IF(tlInputBusASalesMC3="Mod. Top Heavy",3,IF(tlInputBusASalesMC3="Guideline",4,IF(tlInputBusASalesMC3="Mod. Bottom Heavy",5,IF(tlInputBusASalesMC3="Bottom Heavy",6,4))))))</f>
        <v>4</v>
      </c>
      <c r="AW135" s="874">
        <v>95</v>
      </c>
      <c r="AX135" s="874">
        <f>INDEX(dataListProfileMC,$AV135,2)</f>
        <v>7.0000000000000007E-2</v>
      </c>
      <c r="AZ135" s="874">
        <f>INDEX(dataListProfileMC,$AV135,3)</f>
        <v>0.32</v>
      </c>
      <c r="BB135" s="874">
        <f>INDEX(dataListProfileMC,$AV135,4)</f>
        <v>0.61</v>
      </c>
      <c r="BE135" s="874">
        <v>68001</v>
      </c>
      <c r="BF135" s="874">
        <f>BE135*(tlInputBusASalesLvl5/100)</f>
        <v>64600.95</v>
      </c>
    </row>
    <row r="136" spans="3:58" s="874" customFormat="1" ht="12.75">
      <c r="L136" s="874">
        <f>tlInputBusAEmp4HrsSalesV3/SUM(tlInputBusAEmp4HrsSalesV3,tlInputBusAEmp3HrsSalesV3,tlInputBusAEmp2HrsSalesV3)</f>
        <v>8.8235294117647065E-2</v>
      </c>
      <c r="N136" s="874">
        <f>tlInputBusAEmp3HrsSalesV3/SUM(tlInputBusAEmp4HrsSalesV3,tlInputBusAEmp3HrsSalesV3,tlInputBusAEmp2HrsSalesV3)</f>
        <v>0.3235294117647059</v>
      </c>
      <c r="R136" s="874">
        <f>(tlInputBusAEmp2HrsSalesV3)/SUM(tlInputBusAEmp4HrsSalesV3,tlInputBusAEmp3HrsSalesV3,tlInputBusAEmp2HrsSalesV3)</f>
        <v>0.58823529411764708</v>
      </c>
      <c r="BD136" s="874">
        <v>5</v>
      </c>
    </row>
    <row r="137" spans="3:58" s="874" customFormat="1" ht="12.75"/>
    <row r="138" spans="3:58" s="874" customFormat="1" ht="12.75">
      <c r="C138" s="874">
        <f>SUM(M138:Q138)/SUM(tlBusAPrac3!H48,L135:R135,M138:Q138)</f>
        <v>0</v>
      </c>
      <c r="D138" s="874" t="s">
        <v>4421</v>
      </c>
      <c r="F138" s="1476" t="s">
        <v>3331</v>
      </c>
      <c r="AV138" s="874">
        <f>IF(tlInputBusASales6="Diamond",1,IF(tlInputBusASales6="Top Heavy",2,IF(tlInputBusASales6="Mod. Top Heavy",3,IF(tlInputBusASales6="Guideline",4,IF(tlInputBusASales6="Mod. Bottom Heavy",5,IF(tlInputBusASales6="Bottom Heavy",6,4))))))</f>
        <v>4</v>
      </c>
      <c r="AW138" s="874">
        <v>91</v>
      </c>
      <c r="AX138" s="874">
        <f>INDEX(dataListProfileSIT,$AV138,2)</f>
        <v>0.05</v>
      </c>
      <c r="AZ138" s="874">
        <f>INDEX(dataListProfileSIT,$AV138,3)</f>
        <v>0.24</v>
      </c>
      <c r="BB138" s="874">
        <f>INDEX(dataListProfileSIT,$AV138,4)</f>
        <v>0.71</v>
      </c>
      <c r="BE138" s="874">
        <v>22001.033333333333</v>
      </c>
      <c r="BF138" s="874">
        <f>BE138*(tlInputBusASalesLvl6/100)</f>
        <v>20020.940333333332</v>
      </c>
    </row>
    <row r="139" spans="3:58" s="874" customFormat="1" ht="12.75"/>
    <row r="140" spans="3:58" s="874" customFormat="1" ht="12.75"/>
    <row r="141" spans="3:58" s="874" customFormat="1" ht="12.75">
      <c r="C141" s="874" t="e">
        <f>SUM(tlBusAPrac3!H48)/SUM(L135:R135,M138:Q138,M141:R141)</f>
        <v>#DIV/0!</v>
      </c>
      <c r="D141" s="874" t="s">
        <v>2022</v>
      </c>
      <c r="F141" s="874" t="s">
        <v>1756</v>
      </c>
    </row>
    <row r="142" spans="3:58" s="874" customFormat="1" ht="12.75"/>
    <row r="143" spans="3:58" s="874" customFormat="1" ht="12.75"/>
    <row r="144" spans="3:58" s="874" customFormat="1" ht="12.75"/>
    <row r="145" spans="29:42" s="874" customFormat="1" ht="12.75"/>
    <row r="146" spans="29:42" s="874" customFormat="1" ht="12.75"/>
    <row r="147" spans="29:42" s="874" customFormat="1" ht="12.75"/>
    <row r="148" spans="29:42" s="874" customFormat="1" ht="12.75"/>
    <row r="149" spans="29:42" s="874" customFormat="1" ht="12.75"/>
    <row r="150" spans="29:42" s="874" customFormat="1" ht="12.75"/>
    <row r="151" spans="29:42" s="874" customFormat="1" ht="12.75"/>
    <row r="152" spans="29:42" s="874" customFormat="1" ht="12.75">
      <c r="AD152" s="874" t="s">
        <v>1736</v>
      </c>
      <c r="AE152" s="874" t="s">
        <v>996</v>
      </c>
      <c r="AF152" s="874" t="s">
        <v>4643</v>
      </c>
      <c r="AI152" s="874" t="s">
        <v>1736</v>
      </c>
      <c r="AJ152" s="874" t="s">
        <v>996</v>
      </c>
      <c r="AK152" s="874" t="s">
        <v>4643</v>
      </c>
      <c r="AN152" s="874" t="s">
        <v>1736</v>
      </c>
      <c r="AO152" s="874" t="s">
        <v>996</v>
      </c>
      <c r="AP152" s="874" t="s">
        <v>4643</v>
      </c>
    </row>
    <row r="153" spans="29:42" s="874" customFormat="1" ht="12.75">
      <c r="AC153" s="874" t="s">
        <v>10</v>
      </c>
      <c r="AD153" s="874">
        <f>(tlInputBusAEmp2HrsSales+tlInputBusAemp9HrsSales+tlInputBusAEmp1HrsSales)*0.5</f>
        <v>14250</v>
      </c>
      <c r="AE153" s="874">
        <f>(tlInputBusAEmp3HrsSales+tlInputBusAemp8HrsSales)*0.5</f>
        <v>6150</v>
      </c>
      <c r="AF153" s="874">
        <f>(tlInputBusAEmp4HrsSales+tlInputBusAemp7HrsSales)*0.5</f>
        <v>6000</v>
      </c>
      <c r="AH153" s="874" t="s">
        <v>11</v>
      </c>
      <c r="AI153" s="874">
        <f>(tlInputBusAEmp2HrsSalesV2+tlInputBusAemp9HrsSalesV2+tlInputBusAEmp1HrsSalesV2)*0.5</f>
        <v>16100</v>
      </c>
      <c r="AJ153" s="874">
        <f>(tlInputBusAEmp3HrsSalesV2+tlInputBusAemp8HrsSalesV2)*0.5</f>
        <v>5500</v>
      </c>
      <c r="AK153" s="874">
        <f>(tlInputBusAEmp4HrsSalesV2+tlInputBusAemp7HrsSalesV2)*0.5</f>
        <v>1400</v>
      </c>
      <c r="AM153" s="874" t="s">
        <v>12</v>
      </c>
      <c r="AN153" s="874">
        <f>(tlInputBusAEmp2HrsSalesV3+tlInputBusAemp9HrsSalesV3+tlInputBusAEmp1HrsSalesV3)*0.5</f>
        <v>23750</v>
      </c>
      <c r="AO153" s="874">
        <f>(tlInputBusAEmp3HrsSalesV3+tlInputBusAemp8HrsSalesV3)*0.5</f>
        <v>12600</v>
      </c>
      <c r="AP153" s="874">
        <f>(tlInputBusAEmp4HrsSalesV3+tlInputBusAemp7HrsSalesV3)*0.5</f>
        <v>3450</v>
      </c>
    </row>
    <row r="154" spans="29:42" s="874" customFormat="1" ht="12.75">
      <c r="AC154" s="874" t="s">
        <v>10</v>
      </c>
      <c r="AD154" s="874">
        <f>-(tlInputBusAEmp2HrsSales+tlInputBusAemp9HrsSales+tlInputBusAEmp1HrsSales)*0.5</f>
        <v>-14250</v>
      </c>
      <c r="AE154" s="874">
        <f>-(tlInputBusAEmp3HrsSales+tlInputBusAemp8HrsSales)*0.5</f>
        <v>-6150</v>
      </c>
      <c r="AF154" s="874">
        <f>-(tlInputBusAEmp4HrsSales+tlInputBusAemp7HrsSales)*0.5</f>
        <v>-6000</v>
      </c>
      <c r="AH154" s="874" t="s">
        <v>11</v>
      </c>
      <c r="AI154" s="874">
        <f>-(tlInputBusAEmp2HrsSalesV2+tlInputBusAemp9HrsSalesV2+tlInputBusAEmp1HrsSalesV2)*0.5</f>
        <v>-16100</v>
      </c>
      <c r="AJ154" s="874">
        <f>-(tlInputBusAEmp3HrsSalesV2+tlInputBusAemp8HrsSalesV2)*0.5</f>
        <v>-5500</v>
      </c>
      <c r="AK154" s="874">
        <f>-(tlInputBusAEmp4HrsSalesV2+tlInputBusAemp7HrsSalesV2)*0.5</f>
        <v>-1400</v>
      </c>
      <c r="AM154" s="874" t="s">
        <v>12</v>
      </c>
      <c r="AN154" s="874">
        <f>-(tlInputBusAEmp2HrsSalesV3+tlInputBusAemp9HrsSalesV3+tlInputBusAEmp1HrsSalesV3)*0.5</f>
        <v>-23750</v>
      </c>
      <c r="AO154" s="874">
        <f>-(tlInputBusAEmp3HrsSalesV3+tlInputBusAemp8HrsSalesV3)*0.5</f>
        <v>-12600</v>
      </c>
      <c r="AP154" s="874">
        <f>-(tlInputBusAEmp4HrsSalesV3+tlInputBusAemp7HrsSalesV3)*0.5</f>
        <v>-3450</v>
      </c>
    </row>
    <row r="155" spans="29:42" s="874" customFormat="1" ht="12.75">
      <c r="AC155" s="874" t="s">
        <v>10</v>
      </c>
      <c r="AD155" s="874">
        <f>AD153/SUM($AD$153:$AF$153)</f>
        <v>0.53977272727272729</v>
      </c>
      <c r="AE155" s="874">
        <f>AE153/SUM($AD$153:$AF$153)</f>
        <v>0.23295454545454544</v>
      </c>
      <c r="AF155" s="874">
        <f>AF153/SUM($AD$153:$AF$153)</f>
        <v>0.22727272727272727</v>
      </c>
      <c r="AH155" s="874" t="s">
        <v>11</v>
      </c>
      <c r="AI155" s="874">
        <f>AI153/SUM($AI$153:$AK$153)</f>
        <v>0.7</v>
      </c>
      <c r="AJ155" s="874">
        <f>AJ153/SUM($AI$153:$AK$153)</f>
        <v>0.2391304347826087</v>
      </c>
      <c r="AK155" s="874">
        <f>AK153/SUM($AI$153:$AK$153)</f>
        <v>6.0869565217391307E-2</v>
      </c>
      <c r="AM155" s="874" t="s">
        <v>12</v>
      </c>
      <c r="AN155" s="874">
        <f>AN153/SUM($AN$153:$AP$153)</f>
        <v>0.59673366834170849</v>
      </c>
      <c r="AO155" s="874">
        <f>AO153/SUM($AN$153:$AP$153)</f>
        <v>0.3165829145728643</v>
      </c>
      <c r="AP155" s="874">
        <f>AP153/SUM($AN$153:$AP$153)</f>
        <v>8.6683417085427136E-2</v>
      </c>
    </row>
    <row r="156" spans="29:42" s="874" customFormat="1" ht="12.75"/>
    <row r="157" spans="29:42" s="874" customFormat="1" ht="12.75"/>
    <row r="158" spans="29:42" s="874" customFormat="1" ht="12.75"/>
    <row r="159" spans="29:42" s="874" customFormat="1" ht="12.75"/>
    <row r="160" spans="29:42" s="874" customFormat="1" ht="12.75"/>
    <row r="161" s="874" customFormat="1" ht="12.75"/>
    <row r="162" s="874" customFormat="1" ht="12.75"/>
    <row r="163" s="874" customFormat="1" ht="12.75"/>
    <row r="164" s="874" customFormat="1" ht="12.75"/>
    <row r="165" s="874" customFormat="1" ht="12.75"/>
    <row r="166" s="874" customFormat="1" ht="12.75"/>
    <row r="167" s="874" customFormat="1" ht="12.75"/>
    <row r="168" s="874" customFormat="1" ht="12.75"/>
    <row r="169" s="874" customFormat="1" ht="12.75"/>
    <row r="170" s="874" customFormat="1" ht="12.75"/>
    <row r="171" s="874" customFormat="1" ht="12.75"/>
    <row r="172" s="874" customFormat="1" ht="12.75"/>
    <row r="173" s="874" customFormat="1" ht="12.75"/>
    <row r="174" s="874" customFormat="1" ht="12.75"/>
    <row r="175" s="874" customFormat="1" ht="12.75"/>
    <row r="176" s="874" customFormat="1" ht="12.75"/>
    <row r="177" s="874" customFormat="1" ht="12.75"/>
    <row r="178" s="874" customFormat="1" ht="12.75"/>
    <row r="179" s="874" customFormat="1" ht="12.75"/>
    <row r="180" s="874" customFormat="1" ht="12.75"/>
    <row r="181" s="874" customFormat="1" ht="12.75"/>
    <row r="182" s="874" customFormat="1" ht="12.75"/>
    <row r="183" s="874" customFormat="1" ht="12.75"/>
    <row r="184" s="874" customFormat="1" ht="12.75"/>
    <row r="185" s="874" customFormat="1" ht="12.75"/>
    <row r="186" s="874" customFormat="1" ht="12.75"/>
    <row r="187" s="874" customFormat="1" ht="12.75"/>
    <row r="188" s="874" customFormat="1" ht="12.75"/>
    <row r="189" s="874" customFormat="1" ht="12.75"/>
    <row r="190" s="874" customFormat="1" ht="12.75"/>
    <row r="191" s="874" customFormat="1" ht="12.75"/>
    <row r="192" s="874" customFormat="1" ht="12.75"/>
    <row r="193" spans="27:49" s="874" customFormat="1" ht="12.75">
      <c r="AA193" s="874" t="s">
        <v>4002</v>
      </c>
      <c r="AF193" s="874" t="s">
        <v>1744</v>
      </c>
    </row>
    <row r="194" spans="27:49" s="874" customFormat="1" ht="12.75">
      <c r="AA194" s="874">
        <v>0.02</v>
      </c>
      <c r="AF194" s="874">
        <v>0</v>
      </c>
    </row>
    <row r="195" spans="27:49" s="874" customFormat="1" ht="12.75">
      <c r="AA195" s="874">
        <v>0.04</v>
      </c>
    </row>
    <row r="196" spans="27:49" s="874" customFormat="1" ht="12.75">
      <c r="AA196" s="874">
        <v>0.06</v>
      </c>
    </row>
    <row r="197" spans="27:49" s="874" customFormat="1" ht="12.75">
      <c r="AA197" s="874">
        <v>0.08</v>
      </c>
    </row>
    <row r="198" spans="27:49" s="874" customFormat="1" ht="12.75">
      <c r="AA198" s="874">
        <v>0.1</v>
      </c>
    </row>
    <row r="199" spans="27:49" s="874" customFormat="1" ht="12.75"/>
    <row r="200" spans="27:49" s="874" customFormat="1" ht="12.75"/>
    <row r="201" spans="27:49" s="874" customFormat="1" ht="12.75"/>
    <row r="202" spans="27:49" s="874" customFormat="1" ht="12.75"/>
    <row r="203" spans="27:49" s="874" customFormat="1" ht="12.75"/>
    <row r="204" spans="27:49" s="874" customFormat="1" ht="12.75">
      <c r="AW204" s="874">
        <v>120</v>
      </c>
    </row>
    <row r="205" spans="27:49" s="874" customFormat="1" ht="12.75"/>
    <row r="206" spans="27:49" s="874" customFormat="1" ht="12.75"/>
    <row r="207" spans="27:49" s="874" customFormat="1" ht="12.75"/>
    <row r="208" spans="27:49" s="874" customFormat="1" ht="12.75"/>
    <row r="209" spans="3:41" s="874" customFormat="1" ht="12.75"/>
    <row r="210" spans="3:41" s="874" customFormat="1" ht="12.75"/>
    <row r="211" spans="3:41" s="874" customFormat="1" ht="12.75"/>
    <row r="212" spans="3:41" s="874" customFormat="1" ht="12.75"/>
    <row r="213" spans="3:41" s="874" customFormat="1" ht="12.75">
      <c r="C213" s="874" t="s">
        <v>1107</v>
      </c>
      <c r="F213" s="874" t="s">
        <v>4231</v>
      </c>
      <c r="L213" s="874" t="s">
        <v>2833</v>
      </c>
    </row>
    <row r="214" spans="3:41" s="874" customFormat="1" ht="12.75"/>
    <row r="215" spans="3:41" s="874" customFormat="1" ht="12.75">
      <c r="D215" s="874" t="s">
        <v>10</v>
      </c>
      <c r="F215" s="874">
        <f>INDEX(DataPageBusAV1BorrowAvail,xxYear+3)</f>
        <v>80000</v>
      </c>
      <c r="L215" s="874">
        <v>0</v>
      </c>
    </row>
    <row r="216" spans="3:41" s="874" customFormat="1" ht="12.75"/>
    <row r="217" spans="3:41" s="874" customFormat="1" ht="12.75">
      <c r="D217" s="874" t="s">
        <v>11</v>
      </c>
      <c r="F217" s="874">
        <f>INDEX(DataPageBusAV2BorrowAvail,xxYear+3)</f>
        <v>20000</v>
      </c>
      <c r="L217" s="874">
        <v>0</v>
      </c>
      <c r="AB217" s="874" t="s">
        <v>4642</v>
      </c>
      <c r="AC217" s="874" t="s">
        <v>2320</v>
      </c>
      <c r="AD217" s="874" t="s">
        <v>1239</v>
      </c>
      <c r="AE217" s="874" t="s">
        <v>2022</v>
      </c>
      <c r="AG217" s="874" t="str">
        <f>DataNameEmp4</f>
        <v>Director / EM</v>
      </c>
      <c r="AH217" s="874" t="str">
        <f>DataNameEmp3</f>
        <v>PM / Analyst</v>
      </c>
      <c r="AI217" s="874" t="s">
        <v>1239</v>
      </c>
      <c r="AJ217" s="874" t="str">
        <f>DataNameEmp1</f>
        <v>Offshore</v>
      </c>
      <c r="AL217" s="874" t="str">
        <f>DataNameEmp4</f>
        <v>Director / EM</v>
      </c>
      <c r="AM217" s="874" t="str">
        <f>DataNameEmp3</f>
        <v>PM / Analyst</v>
      </c>
      <c r="AN217" s="874" t="s">
        <v>1239</v>
      </c>
      <c r="AO217" s="874" t="str">
        <f>DataNameEmp1</f>
        <v>Offshore</v>
      </c>
    </row>
    <row r="218" spans="3:41" s="874" customFormat="1" ht="12.75"/>
    <row r="219" spans="3:41" s="874" customFormat="1" ht="12.75">
      <c r="D219" s="874" t="s">
        <v>12</v>
      </c>
      <c r="F219" s="874">
        <f>INDEX(DataPageBusAV3BorrowAvail,xxYear+3)</f>
        <v>50000</v>
      </c>
      <c r="L219" s="874">
        <v>0</v>
      </c>
    </row>
    <row r="220" spans="3:41" s="874" customFormat="1" ht="12.75">
      <c r="AA220" s="874" t="s">
        <v>10</v>
      </c>
      <c r="AB220" s="874">
        <f>tlInputBusAEmp4HrsCurrProj</f>
        <v>40000</v>
      </c>
      <c r="AC220" s="874">
        <f>tlInputBusAEmp3HrsCurrProj</f>
        <v>110000</v>
      </c>
      <c r="AD220" s="874">
        <f>tlInputBusAEmp2HrsCurrProj</f>
        <v>175000</v>
      </c>
      <c r="AE220" s="874">
        <f>tlInputBusAEmp1HrsCurrProj</f>
        <v>5</v>
      </c>
      <c r="AF220" s="874" t="s">
        <v>11</v>
      </c>
      <c r="AG220" s="874">
        <f>tlInputBusAEmp4HrsCurrProjV2</f>
        <v>25000</v>
      </c>
      <c r="AH220" s="874">
        <f>tlInputBusAEmp3HrsCurrProjV2</f>
        <v>85000</v>
      </c>
      <c r="AI220" s="874">
        <f>tlInputBusAEmp2HrsCurrProjV2</f>
        <v>165000</v>
      </c>
      <c r="AJ220" s="874">
        <f>tlInputBusAEmp1HrsCurrProjV2</f>
        <v>5</v>
      </c>
      <c r="AK220" s="874" t="s">
        <v>12</v>
      </c>
      <c r="AL220" s="874">
        <f>tlInputBusAEmp4HrsCurrProjV3</f>
        <v>6000</v>
      </c>
      <c r="AM220" s="874">
        <f>tlInputBusAEmp3HrsCurrProjV3</f>
        <v>25000</v>
      </c>
      <c r="AN220" s="874">
        <f>tlInputBusAEmp2HrsCurrProjV3</f>
        <v>50000</v>
      </c>
      <c r="AO220" s="874">
        <f>tlInputBusAEmp1HrsCurrProjV3</f>
        <v>5</v>
      </c>
    </row>
    <row r="221" spans="3:41" s="874" customFormat="1" ht="12.75"/>
    <row r="222" spans="3:41" s="874" customFormat="1" ht="12.75"/>
    <row r="223" spans="3:41" s="874" customFormat="1" ht="12.75"/>
    <row r="224" spans="3:41" s="874" customFormat="1" ht="12.75"/>
    <row r="225" spans="27:41" s="874" customFormat="1" ht="12.75"/>
    <row r="226" spans="27:41" s="874" customFormat="1" ht="12.75"/>
    <row r="227" spans="27:41" s="874" customFormat="1" ht="12.75"/>
    <row r="228" spans="27:41" s="874" customFormat="1" ht="12.75"/>
    <row r="229" spans="27:41" s="874" customFormat="1" ht="12.75"/>
    <row r="230" spans="27:41" s="874" customFormat="1" ht="12.75"/>
    <row r="231" spans="27:41" s="874" customFormat="1" ht="12.75"/>
    <row r="232" spans="27:41" s="874" customFormat="1" ht="12.75"/>
    <row r="233" spans="27:41" s="874" customFormat="1" ht="12.75"/>
    <row r="234" spans="27:41" s="874" customFormat="1" ht="12.75"/>
    <row r="235" spans="27:41" s="874" customFormat="1" ht="12.75"/>
    <row r="236" spans="27:41" s="874" customFormat="1" ht="12.75">
      <c r="AB236" s="874" t="str">
        <f>DataNameEmp4</f>
        <v>Director / EM</v>
      </c>
      <c r="AC236" s="874" t="str">
        <f>DataNameEmp3</f>
        <v>PM / Analyst</v>
      </c>
      <c r="AD236" s="874" t="s">
        <v>1239</v>
      </c>
      <c r="AE236" s="874" t="str">
        <f>DataNameEmp1</f>
        <v>Offshore</v>
      </c>
      <c r="AG236" s="874" t="str">
        <f>DataNameEmp4</f>
        <v>Director / EM</v>
      </c>
      <c r="AH236" s="874" t="str">
        <f>DataNameEmp3</f>
        <v>PM / Analyst</v>
      </c>
      <c r="AI236" s="874" t="s">
        <v>1239</v>
      </c>
      <c r="AJ236" s="874" t="str">
        <f>DataNameEmp1</f>
        <v>Offshore</v>
      </c>
      <c r="AL236" s="874" t="str">
        <f>DataNameEmp4</f>
        <v>Director / EM</v>
      </c>
      <c r="AM236" s="874" t="str">
        <f>DataNameEmp3</f>
        <v>PM / Analyst</v>
      </c>
      <c r="AN236" s="874" t="s">
        <v>1239</v>
      </c>
      <c r="AO236" s="874" t="str">
        <f>DataNameEmp1</f>
        <v>Offshore</v>
      </c>
    </row>
    <row r="237" spans="27:41" s="874" customFormat="1" ht="12.75"/>
    <row r="238" spans="27:41" s="874" customFormat="1" ht="12.75">
      <c r="AA238" s="874" t="s">
        <v>10</v>
      </c>
      <c r="AB238" s="874">
        <f>tlInputBusAEmp4HrsSales</f>
        <v>10000</v>
      </c>
      <c r="AC238" s="874">
        <f>tlInputBusAEmp3HrsSales</f>
        <v>5300</v>
      </c>
      <c r="AD238" s="874">
        <f>tlInputBusAEmp2HrsSales</f>
        <v>10000</v>
      </c>
      <c r="AE238" s="874">
        <f>tlInputBusAEmp1HrsSales</f>
        <v>2500</v>
      </c>
      <c r="AF238" s="874" t="s">
        <v>11</v>
      </c>
      <c r="AG238" s="874">
        <f>tlInputBusAEmp4HrsSalesV2</f>
        <v>1000</v>
      </c>
      <c r="AH238" s="874">
        <f>tlInputBusAEmp3HrsSalesV2</f>
        <v>2500</v>
      </c>
      <c r="AI238" s="874">
        <f>tlInputBusAEmp2HrsSalesV2</f>
        <v>5000</v>
      </c>
      <c r="AJ238" s="874">
        <f>tlInputBusAEmp1HrsSalesV2</f>
        <v>2200</v>
      </c>
      <c r="AK238" s="874" t="s">
        <v>12</v>
      </c>
      <c r="AL238" s="874">
        <f>tlInputBusAEmp4HrsSalesV3</f>
        <v>6000</v>
      </c>
      <c r="AM238" s="874">
        <f>tlInputBusAEmp3HrsSalesV3</f>
        <v>22000</v>
      </c>
      <c r="AN238" s="874">
        <f>tlInputBusAEmp2HrsSalesV3</f>
        <v>40000</v>
      </c>
      <c r="AO238" s="874">
        <f>tlInputBusAEmp1HrsSalesV3</f>
        <v>3500</v>
      </c>
    </row>
  </sheetData>
  <mergeCells count="3">
    <mergeCell ref="D10:F11"/>
    <mergeCell ref="D35:F36"/>
    <mergeCell ref="A4:A5"/>
  </mergeCells>
  <phoneticPr fontId="0" type="noConversion"/>
  <conditionalFormatting sqref="L10">
    <cfRule type="expression" dxfId="120" priority="5">
      <formula>$L$10&gt;=98.5%</formula>
    </cfRule>
    <cfRule type="expression" dxfId="119" priority="6">
      <formula>$L$10&lt;98.5%</formula>
    </cfRule>
  </conditionalFormatting>
  <dataValidations count="5">
    <dataValidation type="whole" operator="greaterThanOrEqual" allowBlank="1" showInputMessage="1" showErrorMessage="1" error="Must be a positive number" sqref="T79:T80 T68:T69 T89 T126 T124 R124 L124">
      <formula1>0</formula1>
    </dataValidation>
    <dataValidation type="whole" operator="lessThanOrEqual" allowBlank="1" showInputMessage="1" showErrorMessage="1" error="Must be less than or equal to time available" sqref="L215">
      <formula1>INDEX(DataPageBusAV1BorrowAvail,xxYear+3)</formula1>
    </dataValidation>
    <dataValidation type="whole" operator="lessThanOrEqual" allowBlank="1" showInputMessage="1" showErrorMessage="1" error="Must be less than or equal to time available" sqref="L217">
      <formula1>INDEX(DataPageBusAV2BorrowAvail,xxYear+3)</formula1>
    </dataValidation>
    <dataValidation type="whole" operator="lessThanOrEqual" allowBlank="1" showInputMessage="1" showErrorMessage="1" error="Must be less than or equal to time available" sqref="L219">
      <formula1>INDEX(DataPageBusAV3BorrowAvail,xxYear+3)</formula1>
    </dataValidation>
    <dataValidation operator="greaterThanOrEqual" allowBlank="1" showInputMessage="1" showErrorMessage="1" error="Must be a positive number" sqref="H48"/>
  </dataValidations>
  <pageMargins left="0.75" right="0.75" top="1" bottom="1" header="0.5" footer="0.5"/>
  <pageSetup scale="5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6" r:id="rId4" name="ScrollBar_JDCOffshorePrac1">
              <controlPr defaultSize="0" autoPict="0" macro="[0]!mtMacro">
                <anchor moveWithCells="1">
                  <from>
                    <xdr:col>6</xdr:col>
                    <xdr:colOff>180975</xdr:colOff>
                    <xdr:row>26</xdr:row>
                    <xdr:rowOff>142875</xdr:rowOff>
                  </from>
                  <to>
                    <xdr:col>11</xdr:col>
                    <xdr:colOff>704850</xdr:colOff>
                    <xdr:row>27</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99"/>
  </sheetPr>
  <dimension ref="A1:AO151"/>
  <sheetViews>
    <sheetView zoomScale="110" zoomScaleNormal="110" workbookViewId="0">
      <pane ySplit="7" topLeftCell="A16" activePane="bottomLeft" state="frozen"/>
      <selection activeCell="H25" sqref="H25"/>
      <selection pane="bottomLeft" activeCell="J44" sqref="J44"/>
    </sheetView>
  </sheetViews>
  <sheetFormatPr defaultColWidth="18.83203125" defaultRowHeight="12.95" customHeight="1"/>
  <cols>
    <col min="1" max="1" width="2.5" style="285" customWidth="1"/>
    <col min="2" max="2" width="2.33203125" style="285" customWidth="1"/>
    <col min="3" max="3" width="5.83203125" style="285" customWidth="1"/>
    <col min="4" max="4" width="13.83203125" style="285" customWidth="1"/>
    <col min="5" max="5" width="3.83203125" style="285" customWidth="1"/>
    <col min="6" max="6" width="13.83203125" style="285" customWidth="1"/>
    <col min="7" max="7" width="3.83203125" style="285" customWidth="1"/>
    <col min="8" max="8" width="13.83203125" style="285" customWidth="1"/>
    <col min="9" max="9" width="3.83203125" style="285" customWidth="1"/>
    <col min="10" max="10" width="13.83203125" style="285" customWidth="1"/>
    <col min="11" max="11" width="3.83203125" style="285" customWidth="1"/>
    <col min="12" max="12" width="13.83203125" style="285" customWidth="1"/>
    <col min="13" max="13" width="3.83203125" style="285" customWidth="1"/>
    <col min="14" max="14" width="13.83203125" style="285" customWidth="1"/>
    <col min="15" max="15" width="3.83203125" style="285" customWidth="1"/>
    <col min="16" max="16" width="13.83203125" style="285" customWidth="1"/>
    <col min="17" max="17" width="3.83203125" style="285" customWidth="1"/>
    <col min="18" max="18" width="13.83203125" style="285" customWidth="1"/>
    <col min="19" max="19" width="3.83203125" style="285" customWidth="1"/>
    <col min="20" max="20" width="13.83203125" style="285" customWidth="1"/>
    <col min="21" max="21" width="3.83203125" style="285" customWidth="1"/>
    <col min="22" max="22" width="13.83203125" style="285" customWidth="1"/>
    <col min="23" max="23" width="3.83203125" style="285" customWidth="1"/>
    <col min="24" max="24" width="13.83203125" style="285" customWidth="1"/>
    <col min="25" max="25" width="3.83203125" style="285" customWidth="1"/>
    <col min="26" max="26" width="13.83203125" style="285" customWidth="1"/>
    <col min="27" max="27" width="3.83203125" style="285" customWidth="1"/>
    <col min="28" max="28" width="9.33203125" style="285" customWidth="1"/>
    <col min="29" max="29" width="3.83203125" style="285" customWidth="1"/>
    <col min="30" max="30" width="10.6640625" style="285" bestFit="1" customWidth="1"/>
    <col min="31" max="32" width="9.5" style="285" bestFit="1" customWidth="1"/>
    <col min="33" max="33" width="10" style="285" bestFit="1" customWidth="1"/>
    <col min="34" max="41" width="9.33203125" style="285" customWidth="1"/>
    <col min="42" max="16384" width="18.83203125" style="285"/>
  </cols>
  <sheetData>
    <row r="1" spans="1:26" s="866" customFormat="1" ht="4.5" customHeight="1"/>
    <row r="2" spans="1:26" s="867" customFormat="1" ht="26.25" customHeight="1">
      <c r="C2" s="867" t="s">
        <v>4700</v>
      </c>
      <c r="Z2" s="867" t="s">
        <v>5259</v>
      </c>
    </row>
    <row r="3" spans="1:26" s="864" customFormat="1" ht="15.75" customHeight="1">
      <c r="B3" s="865"/>
      <c r="M3" s="870" t="str">
        <f>xxDashboard</f>
        <v>Bookings: $338.8M       Bookings CAGR: 0.0%       Revenues: $200.5M       GM: 34.8%       OM: -73.2%</v>
      </c>
    </row>
    <row r="4" spans="1:26" s="867" customFormat="1" ht="42.75" customHeight="1">
      <c r="A4" s="1522" t="s">
        <v>4906</v>
      </c>
    </row>
    <row r="5" spans="1:26" s="867" customFormat="1" ht="12" customHeight="1">
      <c r="A5" s="1522"/>
      <c r="B5" s="1327"/>
      <c r="C5" s="1327"/>
      <c r="D5" s="1328" t="s">
        <v>5305</v>
      </c>
      <c r="E5" s="1327"/>
      <c r="F5" s="1327"/>
      <c r="G5" s="1327"/>
      <c r="H5" s="1328" t="s">
        <v>5306</v>
      </c>
      <c r="I5" s="1327"/>
      <c r="J5" s="1327"/>
      <c r="K5" s="1327"/>
      <c r="L5" s="1328" t="s">
        <v>5307</v>
      </c>
      <c r="M5" s="1327"/>
      <c r="N5" s="1328"/>
      <c r="O5" s="1327"/>
      <c r="P5" s="1328" t="s">
        <v>5308</v>
      </c>
      <c r="U5" s="871"/>
      <c r="X5" s="871"/>
    </row>
    <row r="6" spans="1:26" s="867" customFormat="1" ht="4.5" customHeight="1"/>
    <row r="7" spans="1:26" s="864" customFormat="1" ht="15.75" customHeight="1">
      <c r="B7" s="865"/>
      <c r="M7" s="870" t="str">
        <f>xxDashboardBusA</f>
        <v>Goodwilll Hours Expense: $1.5M          Employee NPS: 68.9%          Client NPS: 64.3%</v>
      </c>
    </row>
    <row r="8" spans="1:26" s="874" customFormat="1" ht="15.75" customHeight="1"/>
    <row r="9" spans="1:26" s="874" customFormat="1" ht="6" customHeight="1">
      <c r="C9" s="875"/>
      <c r="D9" s="875"/>
      <c r="E9" s="875"/>
      <c r="F9" s="875"/>
      <c r="G9" s="888"/>
      <c r="H9" s="889"/>
      <c r="I9" s="889"/>
      <c r="J9" s="889"/>
      <c r="K9" s="889"/>
      <c r="L9" s="889"/>
      <c r="M9" s="890"/>
    </row>
    <row r="10" spans="1:26" s="874" customFormat="1" ht="12.75" customHeight="1">
      <c r="C10" s="883"/>
      <c r="D10" s="1523" t="s">
        <v>4875</v>
      </c>
      <c r="E10" s="1523"/>
      <c r="F10" s="1523"/>
      <c r="G10" s="891"/>
      <c r="H10" s="1072"/>
      <c r="I10" s="1072"/>
      <c r="J10" s="1072" t="s">
        <v>4876</v>
      </c>
      <c r="K10" s="887"/>
      <c r="L10" s="1228">
        <f>INDEX(capBusACurrProjV2PctStaffed,xxIndexTeam)</f>
        <v>0.57004167465322819</v>
      </c>
      <c r="M10" s="892"/>
      <c r="R10" s="886" t="s">
        <v>4905</v>
      </c>
    </row>
    <row r="11" spans="1:26" s="874" customFormat="1" ht="6" customHeight="1">
      <c r="C11" s="875"/>
      <c r="D11" s="1523"/>
      <c r="E11" s="1523"/>
      <c r="F11" s="1523"/>
      <c r="G11" s="893"/>
      <c r="H11" s="894"/>
      <c r="I11" s="894"/>
      <c r="J11" s="894"/>
      <c r="K11" s="894"/>
      <c r="L11" s="894"/>
      <c r="M11" s="895"/>
    </row>
    <row r="12" spans="1:26" s="874" customFormat="1" ht="12" customHeight="1">
      <c r="C12" s="875"/>
      <c r="D12" s="884"/>
      <c r="E12" s="884"/>
      <c r="F12" s="884"/>
      <c r="G12" s="875"/>
      <c r="H12" s="875"/>
      <c r="I12" s="875"/>
      <c r="J12" s="875"/>
      <c r="K12" s="875"/>
      <c r="L12" s="875"/>
      <c r="M12" s="875"/>
    </row>
    <row r="13" spans="1:26" s="874" customFormat="1" ht="12.75" customHeight="1">
      <c r="C13" s="875"/>
      <c r="D13" s="883"/>
      <c r="E13" s="875"/>
      <c r="F13" s="875"/>
      <c r="G13" s="875"/>
      <c r="H13" s="878" t="s">
        <v>4703</v>
      </c>
      <c r="I13" s="881"/>
      <c r="J13" s="878" t="s">
        <v>4704</v>
      </c>
      <c r="K13" s="881"/>
      <c r="L13" s="878" t="s">
        <v>4705</v>
      </c>
      <c r="M13" s="875"/>
    </row>
    <row r="14" spans="1:26" s="874" customFormat="1" ht="12.75" customHeight="1">
      <c r="C14" s="875"/>
      <c r="D14" s="875"/>
      <c r="E14" s="875"/>
      <c r="F14" s="875"/>
      <c r="G14" s="875"/>
      <c r="H14" s="875"/>
      <c r="I14" s="875"/>
      <c r="J14" s="875"/>
      <c r="K14" s="875"/>
      <c r="L14" s="875"/>
      <c r="M14" s="875"/>
    </row>
    <row r="15" spans="1:26" s="874" customFormat="1" ht="12.75" customHeight="1">
      <c r="C15" s="875"/>
      <c r="D15" s="885" t="s">
        <v>5168</v>
      </c>
      <c r="E15" s="884"/>
      <c r="F15" s="884"/>
      <c r="G15" s="875"/>
      <c r="H15" s="1085">
        <v>25000</v>
      </c>
      <c r="I15" s="875"/>
      <c r="J15" s="1085">
        <v>85000</v>
      </c>
      <c r="K15" s="875"/>
      <c r="L15" s="1085">
        <v>165000</v>
      </c>
      <c r="M15" s="875"/>
    </row>
    <row r="16" spans="1:26" s="874" customFormat="1" ht="6" customHeight="1">
      <c r="C16" s="875"/>
      <c r="D16" s="884"/>
      <c r="E16" s="884"/>
      <c r="F16" s="884"/>
      <c r="G16" s="875"/>
      <c r="H16" s="875"/>
      <c r="I16" s="875"/>
      <c r="J16" s="875"/>
      <c r="K16" s="875"/>
      <c r="L16" s="875"/>
      <c r="M16" s="875"/>
    </row>
    <row r="17" spans="3:18" s="874" customFormat="1" ht="12.75" customHeight="1">
      <c r="C17" s="875"/>
      <c r="D17" s="884"/>
      <c r="E17" s="884"/>
      <c r="F17" s="884"/>
      <c r="G17" s="875"/>
      <c r="H17" s="1225">
        <f>INDEX(capBusACurrProjV2Emp4Output,xxIndexTeam)/INDEX(capBusACurrProjV2HrsReq,xxIndexTeam)</f>
        <v>6.7432353742995318E-2</v>
      </c>
      <c r="I17" s="875"/>
      <c r="J17" s="1225">
        <f>INDEX(capBusACurrProjV2Emp3Output,xxIndexTeam)/INDEX(capBusACurrProjV2HrsReq,xxIndexTeam)</f>
        <v>0.17811116849648997</v>
      </c>
      <c r="K17" s="875"/>
      <c r="L17" s="1225">
        <f>INDEX(capBusACurrProjV2Emp2Output,xxIndexTeam)/INDEX(capBusACurrProjV2HrsReq,xxIndexTeam)</f>
        <v>0.24473939173308085</v>
      </c>
      <c r="M17" s="875"/>
    </row>
    <row r="18" spans="3:18" s="874" customFormat="1" ht="12.75" customHeight="1">
      <c r="C18" s="875"/>
      <c r="D18" s="875"/>
      <c r="E18" s="875"/>
      <c r="F18" s="875"/>
      <c r="G18" s="875"/>
      <c r="H18" s="875"/>
      <c r="I18" s="875"/>
      <c r="J18" s="875"/>
      <c r="K18" s="875"/>
      <c r="L18" s="875"/>
      <c r="M18" s="875"/>
    </row>
    <row r="19" spans="3:18" s="874" customFormat="1" ht="12.75" customHeight="1">
      <c r="C19" s="875"/>
      <c r="D19" s="885" t="s">
        <v>5178</v>
      </c>
      <c r="E19" s="884"/>
      <c r="F19" s="884"/>
      <c r="G19" s="875"/>
      <c r="H19" s="884"/>
      <c r="I19" s="884"/>
      <c r="J19" s="884"/>
      <c r="K19" s="875"/>
      <c r="L19" s="1085">
        <v>20000</v>
      </c>
      <c r="M19" s="875"/>
    </row>
    <row r="20" spans="3:18" s="874" customFormat="1" ht="6" customHeight="1">
      <c r="C20" s="875"/>
      <c r="D20" s="884"/>
      <c r="E20" s="884"/>
      <c r="F20" s="884"/>
      <c r="G20" s="875"/>
      <c r="H20" s="884"/>
      <c r="I20" s="884"/>
      <c r="J20" s="884"/>
      <c r="K20" s="875"/>
      <c r="L20" s="875"/>
      <c r="M20" s="875"/>
    </row>
    <row r="21" spans="3:18" s="874" customFormat="1" ht="12.75" customHeight="1">
      <c r="C21" s="875"/>
      <c r="D21" s="884"/>
      <c r="E21" s="884"/>
      <c r="F21" s="884"/>
      <c r="G21" s="875"/>
      <c r="H21" s="884"/>
      <c r="I21" s="884"/>
      <c r="J21" s="884"/>
      <c r="K21" s="875"/>
      <c r="L21" s="1225">
        <f>INDEX(capBusACurrProjV2Emp9Output,xxIndexTeam)/INDEX(capBusACurrProjV2HrsReq,xxIndexTeam)</f>
        <v>3.0021510412210347E-2</v>
      </c>
      <c r="M21" s="875"/>
    </row>
    <row r="22" spans="3:18" s="874" customFormat="1" ht="6" customHeight="1">
      <c r="C22" s="875"/>
      <c r="D22" s="875"/>
      <c r="E22" s="875"/>
      <c r="F22" s="875"/>
      <c r="G22" s="875"/>
      <c r="H22" s="875"/>
      <c r="I22" s="875"/>
      <c r="J22" s="875"/>
      <c r="K22" s="875"/>
      <c r="L22" s="875"/>
      <c r="M22" s="875"/>
    </row>
    <row r="23" spans="3:18" s="874" customFormat="1" ht="12.75" customHeight="1"/>
    <row r="24" spans="3:18" s="874" customFormat="1" ht="6" customHeight="1">
      <c r="C24" s="875"/>
      <c r="D24" s="875"/>
      <c r="E24" s="875"/>
      <c r="F24" s="875"/>
      <c r="G24" s="875"/>
      <c r="H24" s="875"/>
      <c r="I24" s="875"/>
      <c r="J24" s="876"/>
      <c r="K24" s="876"/>
      <c r="L24" s="876"/>
      <c r="M24" s="876"/>
    </row>
    <row r="25" spans="3:18" s="874" customFormat="1" ht="12.75" customHeight="1">
      <c r="C25" s="883"/>
      <c r="D25" s="876" t="s">
        <v>5169</v>
      </c>
      <c r="E25" s="876"/>
      <c r="F25" s="876"/>
      <c r="G25" s="876"/>
      <c r="H25" s="876"/>
      <c r="I25" s="882"/>
      <c r="J25" s="876"/>
      <c r="K25" s="876"/>
      <c r="L25" s="1226">
        <f>tlInputBusAEmp1HrsCurrProjV2/100</f>
        <v>0.05</v>
      </c>
      <c r="M25" s="876"/>
      <c r="R25" s="886"/>
    </row>
    <row r="26" spans="3:18" s="874" customFormat="1" ht="6" customHeight="1">
      <c r="C26" s="875"/>
      <c r="D26" s="876"/>
      <c r="E26" s="876"/>
      <c r="F26" s="876"/>
      <c r="G26" s="875"/>
      <c r="H26" s="875"/>
      <c r="I26" s="875"/>
      <c r="J26" s="876"/>
      <c r="K26" s="876"/>
      <c r="L26" s="876"/>
      <c r="M26" s="876"/>
    </row>
    <row r="27" spans="3:18" s="874" customFormat="1" ht="12.75" customHeight="1">
      <c r="C27" s="875"/>
      <c r="D27" s="875"/>
      <c r="E27" s="875"/>
      <c r="F27" s="875"/>
      <c r="G27" s="875"/>
      <c r="H27" s="875"/>
      <c r="I27" s="875"/>
      <c r="J27" s="875"/>
      <c r="K27" s="875"/>
      <c r="L27" s="875"/>
      <c r="M27" s="875"/>
    </row>
    <row r="28" spans="3:18" s="874" customFormat="1" ht="12.75" customHeight="1">
      <c r="C28" s="875"/>
      <c r="D28" s="875" t="s">
        <v>5169</v>
      </c>
      <c r="E28" s="875"/>
      <c r="F28" s="875"/>
      <c r="G28" s="875"/>
      <c r="H28" s="875"/>
      <c r="I28" s="875"/>
      <c r="J28" s="875"/>
      <c r="K28" s="875"/>
      <c r="L28" s="875"/>
      <c r="M28" s="875"/>
      <c r="N28" s="1018"/>
    </row>
    <row r="29" spans="3:18" s="874" customFormat="1" ht="6" customHeight="1">
      <c r="C29" s="875"/>
      <c r="D29" s="875"/>
      <c r="E29" s="875"/>
      <c r="F29" s="875"/>
      <c r="G29" s="875"/>
      <c r="H29" s="875"/>
      <c r="I29" s="875"/>
      <c r="J29" s="875"/>
      <c r="K29" s="875"/>
      <c r="L29" s="875"/>
      <c r="M29" s="875"/>
    </row>
    <row r="30" spans="3:18" s="874" customFormat="1" ht="12.75" customHeight="1">
      <c r="C30" s="875"/>
      <c r="D30" s="917" t="s">
        <v>4751</v>
      </c>
      <c r="E30" s="875"/>
      <c r="F30" s="875"/>
      <c r="G30" s="975"/>
      <c r="H30" s="875"/>
      <c r="I30" s="875"/>
      <c r="J30" s="875"/>
      <c r="K30" s="875"/>
      <c r="L30" s="875"/>
      <c r="M30" s="875"/>
    </row>
    <row r="31" spans="3:18" s="874" customFormat="1" ht="6.75" customHeight="1">
      <c r="C31" s="875"/>
      <c r="D31" s="917"/>
      <c r="E31" s="875"/>
      <c r="F31" s="875"/>
      <c r="G31" s="975"/>
      <c r="H31" s="875"/>
      <c r="I31" s="875"/>
      <c r="J31" s="875"/>
      <c r="K31" s="875"/>
      <c r="L31" s="875"/>
      <c r="M31" s="875"/>
    </row>
    <row r="32" spans="3:18" s="874" customFormat="1" ht="12.75">
      <c r="C32" s="875"/>
      <c r="D32" s="917" t="s">
        <v>4228</v>
      </c>
      <c r="E32" s="875"/>
      <c r="F32" s="1227">
        <f>INDEX(capBusAEmp1Utiliz,xxIndexTeam)</f>
        <v>0.31644779931599104</v>
      </c>
      <c r="G32" s="875"/>
      <c r="H32" s="875"/>
      <c r="I32" s="875"/>
      <c r="J32" s="875"/>
      <c r="K32" s="875"/>
      <c r="L32" s="875"/>
      <c r="M32" s="875"/>
    </row>
    <row r="33" spans="3:18" s="874" customFormat="1" ht="12.75" customHeight="1"/>
    <row r="34" spans="3:18" s="874" customFormat="1" ht="6" hidden="1" customHeight="1">
      <c r="C34" s="875"/>
      <c r="D34" s="875"/>
      <c r="E34" s="875"/>
      <c r="F34" s="875"/>
      <c r="G34" s="875"/>
      <c r="H34" s="875"/>
      <c r="I34" s="875"/>
      <c r="J34" s="875"/>
      <c r="K34" s="875"/>
      <c r="L34" s="875"/>
      <c r="M34" s="875"/>
    </row>
    <row r="35" spans="3:18" s="874" customFormat="1" ht="12.75" hidden="1" customHeight="1">
      <c r="C35" s="884"/>
      <c r="D35" s="1524" t="s">
        <v>2354</v>
      </c>
      <c r="E35" s="1524"/>
      <c r="F35" s="1524"/>
      <c r="G35" s="876"/>
      <c r="H35" s="876"/>
      <c r="I35" s="882"/>
      <c r="J35" s="875"/>
      <c r="K35" s="875"/>
      <c r="L35" s="875"/>
      <c r="M35" s="875"/>
      <c r="R35" s="886"/>
    </row>
    <row r="36" spans="3:18" s="874" customFormat="1" ht="6" hidden="1" customHeight="1">
      <c r="C36" s="875"/>
      <c r="D36" s="1524"/>
      <c r="E36" s="1524"/>
      <c r="F36" s="1524"/>
      <c r="G36" s="875"/>
      <c r="H36" s="875"/>
      <c r="I36" s="875"/>
      <c r="J36" s="875"/>
      <c r="K36" s="875"/>
      <c r="L36" s="875"/>
      <c r="M36" s="875"/>
    </row>
    <row r="37" spans="3:18" s="874" customFormat="1" ht="12" hidden="1" customHeight="1">
      <c r="C37" s="875"/>
      <c r="D37" s="884"/>
      <c r="E37" s="884"/>
      <c r="F37" s="884"/>
      <c r="G37" s="875"/>
      <c r="H37" s="875"/>
      <c r="I37" s="875"/>
      <c r="J37" s="875"/>
      <c r="K37" s="875"/>
      <c r="L37" s="875"/>
      <c r="M37" s="875"/>
    </row>
    <row r="38" spans="3:18" s="874" customFormat="1" ht="12.75" hidden="1" customHeight="1">
      <c r="C38" s="875"/>
      <c r="D38" s="883"/>
      <c r="E38" s="875"/>
      <c r="F38" s="875"/>
      <c r="G38" s="875"/>
      <c r="H38" s="878" t="s">
        <v>4645</v>
      </c>
      <c r="I38" s="881"/>
      <c r="J38" s="878" t="s">
        <v>939</v>
      </c>
      <c r="K38" s="881"/>
      <c r="L38" s="878" t="s">
        <v>940</v>
      </c>
      <c r="M38" s="875"/>
    </row>
    <row r="39" spans="3:18" s="874" customFormat="1" ht="12.75" hidden="1" customHeight="1">
      <c r="C39" s="875"/>
      <c r="D39" s="875"/>
      <c r="E39" s="875"/>
      <c r="F39" s="875"/>
      <c r="G39" s="875"/>
      <c r="H39" s="875"/>
      <c r="I39" s="875"/>
      <c r="J39" s="875"/>
      <c r="K39" s="875"/>
      <c r="L39" s="875"/>
      <c r="M39" s="875"/>
    </row>
    <row r="40" spans="3:18" s="874" customFormat="1" ht="12.75" hidden="1" customHeight="1">
      <c r="C40" s="875"/>
      <c r="D40" s="885" t="s">
        <v>4646</v>
      </c>
      <c r="E40" s="884"/>
      <c r="F40" s="884"/>
      <c r="G40" s="875"/>
      <c r="H40" s="877">
        <v>1000</v>
      </c>
      <c r="I40" s="875"/>
      <c r="J40" s="877">
        <v>2500</v>
      </c>
      <c r="K40" s="875"/>
      <c r="L40" s="877">
        <v>5000</v>
      </c>
      <c r="M40" s="875"/>
    </row>
    <row r="41" spans="3:18" s="874" customFormat="1" ht="6" hidden="1" customHeight="1">
      <c r="C41" s="875"/>
      <c r="D41" s="884"/>
      <c r="E41" s="884"/>
      <c r="F41" s="884"/>
      <c r="G41" s="875"/>
      <c r="H41" s="875"/>
      <c r="I41" s="875"/>
      <c r="J41" s="875"/>
      <c r="K41" s="875"/>
      <c r="L41" s="875"/>
      <c r="M41" s="875"/>
    </row>
    <row r="42" spans="3:18" s="874" customFormat="1" ht="12.75" hidden="1" customHeight="1">
      <c r="C42" s="875"/>
      <c r="D42" s="884"/>
      <c r="E42" s="884"/>
      <c r="F42" s="884"/>
      <c r="G42" s="875"/>
      <c r="H42" s="879">
        <f>tlInputBusAEmp4HrsSalesV2/SUM(tlInputBusAEmp4HrsSalesV2,tlInputBusAEmp3HrsSalesV2,tlInputBusAEmp2HrsSalesV2)</f>
        <v>0.11764705882352941</v>
      </c>
      <c r="I42" s="875"/>
      <c r="J42" s="879">
        <f>tlInputBusAEmp3HrsSales/SUM(tlInputBusAEmp4HrsSales,tlInputBusAEmp3HrsSales,tlInputBusAEmp2HrsSales)</f>
        <v>0.20948616600790515</v>
      </c>
      <c r="K42" s="875"/>
      <c r="L42" s="879">
        <f>(tlInputBusAEmp2HrsSales)/SUM(tlInputBusAEmp4HrsSales,tlInputBusAEmp3HrsSales,tlInputBusAEmp2HrsSales)</f>
        <v>0.39525691699604742</v>
      </c>
      <c r="M42" s="875"/>
    </row>
    <row r="43" spans="3:18" s="874" customFormat="1" ht="12.75" hidden="1" customHeight="1">
      <c r="C43" s="875"/>
      <c r="D43" s="875"/>
      <c r="E43" s="875"/>
      <c r="F43" s="875"/>
      <c r="G43" s="875"/>
      <c r="H43" s="875"/>
      <c r="I43" s="875"/>
      <c r="J43" s="875"/>
      <c r="K43" s="875"/>
      <c r="L43" s="875"/>
      <c r="M43" s="875"/>
    </row>
    <row r="44" spans="3:18" s="874" customFormat="1" ht="12.75" hidden="1" customHeight="1">
      <c r="C44" s="875"/>
      <c r="D44" s="885" t="s">
        <v>4671</v>
      </c>
      <c r="E44" s="884"/>
      <c r="F44" s="884"/>
      <c r="G44" s="875"/>
      <c r="H44" s="877">
        <v>1800</v>
      </c>
      <c r="I44" s="875"/>
      <c r="J44" s="877">
        <v>8500</v>
      </c>
      <c r="K44" s="875"/>
      <c r="L44" s="877">
        <v>25000</v>
      </c>
      <c r="M44" s="875"/>
    </row>
    <row r="45" spans="3:18" s="874" customFormat="1" ht="6" hidden="1" customHeight="1">
      <c r="C45" s="875"/>
      <c r="D45" s="884"/>
      <c r="E45" s="884"/>
      <c r="F45" s="884"/>
      <c r="G45" s="875"/>
      <c r="H45" s="875"/>
      <c r="I45" s="875"/>
      <c r="J45" s="875"/>
      <c r="K45" s="875"/>
      <c r="L45" s="875"/>
      <c r="M45" s="875"/>
    </row>
    <row r="46" spans="3:18" s="874" customFormat="1" ht="12.75" hidden="1" customHeight="1">
      <c r="C46" s="875"/>
      <c r="D46" s="884"/>
      <c r="E46" s="884"/>
      <c r="F46" s="884"/>
      <c r="G46" s="875"/>
      <c r="H46" s="879">
        <f>tlInputBusAemp7HrsSalesV2/SUM(tlInputBusAemp7HrsSalesV2,tlInputBusAemp8HrsSalesV2,tlInputBusAemp9HrsSalesV2,tlInputBusAEmp1HrsSalesV2)</f>
        <v>4.8000000000000001E-2</v>
      </c>
      <c r="I46" s="875"/>
      <c r="J46" s="879">
        <f>tlInputBusAemp8HrsSalesV2/SUM(tlInputBusAemp7HrsSalesV2,tlInputBusAemp8HrsSalesV2,tlInputBusAemp9HrsSalesV2,tlInputBusAEmp1HrsSalesV2)</f>
        <v>0.22666666666666666</v>
      </c>
      <c r="K46" s="875"/>
      <c r="L46" s="879">
        <f>(tlInputBusAemp9HrsSalesV2+tlInputBusAEmp1HrsSalesV2)/SUM(tlInputBusAemp7HrsSalesV2,tlInputBusAemp8HrsSalesV2,tlInputBusAemp9HrsSalesV2,tlInputBusAEmp1HrsSalesV2)</f>
        <v>0.72533333333333339</v>
      </c>
      <c r="M46" s="875"/>
    </row>
    <row r="47" spans="3:18" s="874" customFormat="1" ht="12.75" hidden="1" customHeight="1">
      <c r="C47" s="875"/>
      <c r="D47" s="875"/>
      <c r="E47" s="875"/>
      <c r="F47" s="875"/>
      <c r="G47" s="875"/>
      <c r="H47" s="875"/>
      <c r="I47" s="875"/>
      <c r="J47" s="875"/>
      <c r="K47" s="875"/>
      <c r="L47" s="875"/>
      <c r="M47" s="875"/>
    </row>
    <row r="48" spans="3:18" s="874" customFormat="1" ht="12.75" hidden="1" customHeight="1">
      <c r="C48" s="875"/>
      <c r="D48" s="875" t="s">
        <v>4670</v>
      </c>
      <c r="E48" s="875"/>
      <c r="F48" s="875"/>
      <c r="G48" s="875"/>
      <c r="H48" s="877">
        <v>2200</v>
      </c>
      <c r="I48" s="875"/>
      <c r="J48" s="875"/>
      <c r="K48" s="875"/>
      <c r="L48" s="875"/>
      <c r="M48" s="875"/>
    </row>
    <row r="49" spans="3:41" s="874" customFormat="1" ht="6" hidden="1" customHeight="1">
      <c r="C49" s="875"/>
      <c r="D49" s="875"/>
      <c r="E49" s="875"/>
      <c r="F49" s="875"/>
      <c r="G49" s="875"/>
      <c r="H49" s="875"/>
      <c r="I49" s="875"/>
      <c r="J49" s="875"/>
      <c r="K49" s="875"/>
      <c r="L49" s="875"/>
      <c r="M49" s="875"/>
    </row>
    <row r="50" spans="3:41" s="874" customFormat="1" ht="6" hidden="1" customHeight="1">
      <c r="C50" s="875"/>
      <c r="D50" s="875"/>
      <c r="E50" s="875"/>
      <c r="F50" s="875"/>
      <c r="G50" s="875"/>
      <c r="H50" s="875"/>
      <c r="I50" s="875"/>
      <c r="J50" s="875"/>
      <c r="K50" s="875"/>
      <c r="L50" s="875"/>
      <c r="M50" s="875"/>
    </row>
    <row r="51" spans="3:41" s="874" customFormat="1" ht="12.75" hidden="1">
      <c r="D51" s="877">
        <v>30000</v>
      </c>
      <c r="E51" s="875"/>
      <c r="F51" s="877">
        <v>80000</v>
      </c>
    </row>
    <row r="52" spans="3:41" s="874" customFormat="1" ht="12.75" hidden="1">
      <c r="D52" s="875"/>
      <c r="E52" s="875"/>
      <c r="F52" s="875"/>
    </row>
    <row r="53" spans="3:41" s="874" customFormat="1" ht="12.75" hidden="1">
      <c r="D53" s="879">
        <f>tlInputBusAEmp7HrsCurrProjV2/SUM(tlInputBusAEmp7HrsCurrProjV2,tlInputBusAEmp8HrsCurrProjV2,tlInputBusAEmp9HrsCurrProjV2,tlInputBusAEmp1HrsCurrProjV2)</f>
        <v>0.23076035537094727</v>
      </c>
      <c r="E53" s="875"/>
      <c r="F53" s="879">
        <f>tlInputBusAEmp8HrsCurrProjV2/SUM(tlInputBusAEmp7HrsCurrProjV2,tlInputBusAEmp8HrsCurrProjV2,tlInputBusAEmp9HrsCurrProjV2,tlInputBusAEmp1HrsCurrProjV2)</f>
        <v>0.61536094765585936</v>
      </c>
    </row>
    <row r="54" spans="3:41" s="874" customFormat="1" ht="12.75"/>
    <row r="55" spans="3:41" s="874" customFormat="1" ht="12.75"/>
    <row r="56" spans="3:41" s="874" customFormat="1" ht="12.75"/>
    <row r="57" spans="3:41" s="874" customFormat="1" ht="12.75"/>
    <row r="58" spans="3:41" s="874" customFormat="1" ht="12.75"/>
    <row r="59" spans="3:41" s="874" customFormat="1" ht="12.75"/>
    <row r="60" spans="3:41" s="874" customFormat="1" ht="12.75"/>
    <row r="61" spans="3:41" s="874" customFormat="1" ht="12.75"/>
    <row r="62" spans="3:41" s="874" customFormat="1" ht="12.75"/>
    <row r="63" spans="3:41" s="874" customFormat="1" ht="12.75">
      <c r="AB63" s="874" t="str">
        <f>DataNameEmp4</f>
        <v>Director / EM</v>
      </c>
      <c r="AC63" s="874" t="str">
        <f>DataNameEmp3</f>
        <v>PM / Analyst</v>
      </c>
      <c r="AD63" s="874" t="s">
        <v>1239</v>
      </c>
      <c r="AE63" s="874" t="str">
        <f>DataNameEmp1</f>
        <v>Offshore</v>
      </c>
      <c r="AG63" s="874" t="str">
        <f>DataNameEmp4</f>
        <v>Director / EM</v>
      </c>
      <c r="AH63" s="874" t="str">
        <f>DataNameEmp3</f>
        <v>PM / Analyst</v>
      </c>
      <c r="AI63" s="874" t="s">
        <v>1239</v>
      </c>
      <c r="AJ63" s="874" t="str">
        <f>DataNameEmp1</f>
        <v>Offshore</v>
      </c>
      <c r="AL63" s="874" t="str">
        <f>DataNameEmp4</f>
        <v>Director / EM</v>
      </c>
      <c r="AM63" s="874" t="str">
        <f>DataNameEmp3</f>
        <v>PM / Analyst</v>
      </c>
      <c r="AN63" s="874" t="s">
        <v>1239</v>
      </c>
      <c r="AO63" s="874" t="str">
        <f>DataNameEmp1</f>
        <v>Offshore</v>
      </c>
    </row>
    <row r="64" spans="3:41" s="874" customFormat="1" ht="12.75"/>
    <row r="65" spans="27:41" s="874" customFormat="1" ht="12.75">
      <c r="AA65" s="874" t="s">
        <v>10</v>
      </c>
      <c r="AB65" s="874">
        <f>tlInputBusAEmp4HrsSales</f>
        <v>10000</v>
      </c>
      <c r="AC65" s="874">
        <f>tlInputBusAEmp3HrsSales</f>
        <v>5300</v>
      </c>
      <c r="AD65" s="874">
        <f>tlInputBusAEmp2HrsSales</f>
        <v>10000</v>
      </c>
      <c r="AE65" s="874">
        <f>tlInputBusAEmp1HrsSales</f>
        <v>2500</v>
      </c>
      <c r="AF65" s="874" t="s">
        <v>11</v>
      </c>
      <c r="AG65" s="874">
        <f>tlInputBusAEmp4HrsSalesV2</f>
        <v>1000</v>
      </c>
      <c r="AH65" s="874">
        <f>tlInputBusAEmp3HrsSalesV2</f>
        <v>2500</v>
      </c>
      <c r="AI65" s="874">
        <f>tlInputBusAEmp2HrsSalesV2</f>
        <v>5000</v>
      </c>
      <c r="AJ65" s="874">
        <f>tlInputBusAEmp1HrsSalesV2</f>
        <v>2200</v>
      </c>
      <c r="AK65" s="874" t="s">
        <v>12</v>
      </c>
      <c r="AL65" s="874">
        <f>tlInputBusAEmp4HrsSalesV3</f>
        <v>6000</v>
      </c>
      <c r="AM65" s="874">
        <f>tlInputBusAEmp3HrsSalesV3</f>
        <v>22000</v>
      </c>
      <c r="AN65" s="874">
        <f>tlInputBusAEmp2HrsSalesV3</f>
        <v>40000</v>
      </c>
      <c r="AO65" s="874">
        <f>tlInputBusAEmp1HrsSalesV3</f>
        <v>3500</v>
      </c>
    </row>
    <row r="66" spans="27:41" s="1174" customFormat="1" ht="12.95" customHeight="1"/>
    <row r="67" spans="27:41" s="1174" customFormat="1" ht="12.95" customHeight="1"/>
    <row r="68" spans="27:41" s="1174" customFormat="1" ht="12.95" customHeight="1"/>
    <row r="69" spans="27:41" s="1174" customFormat="1" ht="12.95" customHeight="1"/>
    <row r="70" spans="27:41" s="1174" customFormat="1" ht="12.95" customHeight="1"/>
    <row r="71" spans="27:41" s="1174" customFormat="1" ht="12.95" customHeight="1"/>
    <row r="72" spans="27:41" s="1174" customFormat="1" ht="12.95" customHeight="1"/>
    <row r="73" spans="27:41" s="1174" customFormat="1" ht="12.95" customHeight="1"/>
    <row r="74" spans="27:41" s="1174" customFormat="1" ht="12.95" customHeight="1"/>
    <row r="75" spans="27:41" s="1174" customFormat="1" ht="12.95" customHeight="1"/>
    <row r="76" spans="27:41" s="1174" customFormat="1" ht="12.95" customHeight="1"/>
    <row r="77" spans="27:41" s="1174" customFormat="1" ht="12.95" customHeight="1"/>
    <row r="78" spans="27:41" s="1174" customFormat="1" ht="12.95" customHeight="1"/>
    <row r="79" spans="27:41" s="1174" customFormat="1" ht="12.95" customHeight="1"/>
    <row r="80" spans="27:41" s="1174" customFormat="1" ht="12.95" customHeight="1"/>
    <row r="81" s="1174" customFormat="1" ht="12.95" customHeight="1"/>
    <row r="82" s="1174" customFormat="1" ht="12.95" customHeight="1"/>
    <row r="83" s="1174" customFormat="1" ht="12.95" customHeight="1"/>
    <row r="84" s="1174" customFormat="1" ht="12.95" customHeight="1"/>
    <row r="85" s="1174" customFormat="1" ht="12.95" customHeight="1"/>
    <row r="86" s="1174" customFormat="1" ht="12.95" customHeight="1"/>
    <row r="87" s="1174" customFormat="1" ht="12.95" customHeight="1"/>
    <row r="88" s="1174" customFormat="1" ht="12.95" customHeight="1"/>
    <row r="89" s="1174" customFormat="1" ht="12.95" customHeight="1"/>
    <row r="90" s="1174" customFormat="1" ht="12.95" customHeight="1"/>
    <row r="91" s="1174" customFormat="1" ht="12.95" customHeight="1"/>
    <row r="92" s="1174" customFormat="1" ht="12.95" customHeight="1"/>
    <row r="93" s="1174" customFormat="1" ht="12.95" customHeight="1"/>
    <row r="94" s="1174" customFormat="1" ht="12.95" customHeight="1"/>
    <row r="95" s="1174" customFormat="1" ht="12.95" customHeight="1"/>
    <row r="96" s="1174" customFormat="1" ht="12.95" customHeight="1"/>
    <row r="97" s="1174" customFormat="1" ht="12.95" customHeight="1"/>
    <row r="98" s="1174" customFormat="1" ht="12.95" customHeight="1"/>
    <row r="99" s="1174" customFormat="1" ht="12.95" customHeight="1"/>
    <row r="100" s="1174" customFormat="1" ht="12.95" customHeight="1"/>
    <row r="101" s="1174" customFormat="1" ht="12.95" customHeight="1"/>
    <row r="102" s="1174" customFormat="1" ht="12.95" customHeight="1"/>
    <row r="103" s="1174" customFormat="1" ht="12.95" customHeight="1"/>
    <row r="104" s="1174" customFormat="1" ht="12.95" customHeight="1"/>
    <row r="105" s="1174" customFormat="1" ht="12.95" customHeight="1"/>
    <row r="106" s="1174" customFormat="1" ht="12.95" customHeight="1"/>
    <row r="107" s="1174" customFormat="1" ht="12.95" customHeight="1"/>
    <row r="108" s="1174" customFormat="1" ht="12.95" customHeight="1"/>
    <row r="109" s="1174" customFormat="1" ht="12.95" customHeight="1"/>
    <row r="110" s="1174" customFormat="1" ht="12.95" customHeight="1"/>
    <row r="111" s="1174" customFormat="1" ht="12.95" customHeight="1"/>
    <row r="112" s="1174" customFormat="1" ht="12.95" customHeight="1"/>
    <row r="113" s="1174" customFormat="1" ht="12.95" customHeight="1"/>
    <row r="114" s="1174" customFormat="1" ht="12.95" customHeight="1"/>
    <row r="115" s="1174" customFormat="1" ht="12.95" customHeight="1"/>
    <row r="116" s="1174" customFormat="1" ht="12.95" customHeight="1"/>
    <row r="117" s="1174" customFormat="1" ht="12.95" customHeight="1"/>
    <row r="118" s="1174" customFormat="1" ht="12.95" customHeight="1"/>
    <row r="119" s="1174" customFormat="1" ht="12.95" customHeight="1"/>
    <row r="120" s="1174" customFormat="1" ht="12.95" customHeight="1"/>
    <row r="121" s="1174" customFormat="1" ht="12.95" customHeight="1"/>
    <row r="122" s="1174" customFormat="1" ht="12.95" customHeight="1"/>
    <row r="123" s="1174" customFormat="1" ht="12.95" customHeight="1"/>
    <row r="124" s="1174" customFormat="1" ht="12.95" customHeight="1"/>
    <row r="125" s="1174" customFormat="1" ht="12.95" customHeight="1"/>
    <row r="126" s="1174" customFormat="1" ht="12.95" customHeight="1"/>
    <row r="127" s="1174" customFormat="1" ht="12.95" customHeight="1"/>
    <row r="128" s="1174" customFormat="1" ht="12.95" customHeight="1"/>
    <row r="129" s="1174" customFormat="1" ht="12.95" customHeight="1"/>
    <row r="130" s="1174" customFormat="1" ht="12.95" customHeight="1"/>
    <row r="131" s="1174" customFormat="1" ht="12.95" customHeight="1"/>
    <row r="132" s="1174" customFormat="1" ht="12.95" customHeight="1"/>
    <row r="133" s="1174" customFormat="1" ht="12.95" customHeight="1"/>
    <row r="134" s="1174" customFormat="1" ht="12.95" customHeight="1"/>
    <row r="135" s="1174" customFormat="1" ht="12.95" customHeight="1"/>
    <row r="136" s="1174" customFormat="1" ht="12.95" customHeight="1"/>
    <row r="137" s="1174" customFormat="1" ht="12.95" customHeight="1"/>
    <row r="138" s="1174" customFormat="1" ht="12.95" customHeight="1"/>
    <row r="139" s="1174" customFormat="1" ht="12.95" customHeight="1"/>
    <row r="140" s="1174" customFormat="1" ht="12.95" customHeight="1"/>
    <row r="141" s="1174" customFormat="1" ht="12.95" customHeight="1"/>
    <row r="142" s="1174" customFormat="1" ht="12.95" customHeight="1"/>
    <row r="143" s="1174" customFormat="1" ht="12.95" customHeight="1"/>
    <row r="144" s="1174" customFormat="1" ht="12.95" customHeight="1"/>
    <row r="145" s="1174" customFormat="1" ht="12.95" customHeight="1"/>
    <row r="146" s="1174" customFormat="1" ht="12.95" customHeight="1"/>
    <row r="147" s="1174" customFormat="1" ht="12.95" customHeight="1"/>
    <row r="148" s="1174" customFormat="1" ht="12.95" customHeight="1"/>
    <row r="149" s="1174" customFormat="1" ht="12.95" customHeight="1"/>
    <row r="150" s="1174" customFormat="1" ht="12.95" customHeight="1"/>
    <row r="151" s="1174" customFormat="1" ht="12.95" customHeight="1"/>
  </sheetData>
  <mergeCells count="3">
    <mergeCell ref="D35:F36"/>
    <mergeCell ref="D10:F11"/>
    <mergeCell ref="A4:A5"/>
  </mergeCells>
  <conditionalFormatting sqref="L10">
    <cfRule type="expression" dxfId="118" priority="1">
      <formula>$L$10&gt;=98.5%</formula>
    </cfRule>
    <cfRule type="expression" dxfId="117" priority="2">
      <formula>$L$10&lt;98.5%</formula>
    </cfRule>
  </conditionalFormatting>
  <dataValidations disablePrompts="1" count="1">
    <dataValidation operator="greaterThanOrEqual" allowBlank="1" showInputMessage="1" showErrorMessage="1" error="Must be a positive number" sqref="H4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8" r:id="rId3" name="ScrollBar_JDCOffshorePrac2">
              <controlPr defaultSize="0" autoPict="0" macro="[0]!mtMacro">
                <anchor moveWithCells="1">
                  <from>
                    <xdr:col>6</xdr:col>
                    <xdr:colOff>190500</xdr:colOff>
                    <xdr:row>26</xdr:row>
                    <xdr:rowOff>152400</xdr:rowOff>
                  </from>
                  <to>
                    <xdr:col>11</xdr:col>
                    <xdr:colOff>714375</xdr:colOff>
                    <xdr:row>27</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99"/>
  </sheetPr>
  <dimension ref="A1:AO151"/>
  <sheetViews>
    <sheetView zoomScale="110" zoomScaleNormal="110" workbookViewId="0">
      <pane ySplit="7" topLeftCell="A17" activePane="bottomLeft" state="frozen"/>
      <selection activeCell="D25" sqref="D25:F26"/>
      <selection pane="bottomLeft" activeCell="T33" sqref="T33"/>
    </sheetView>
  </sheetViews>
  <sheetFormatPr defaultColWidth="18.83203125" defaultRowHeight="12.95" customHeight="1"/>
  <cols>
    <col min="1" max="1" width="2.5" style="285" customWidth="1"/>
    <col min="2" max="2" width="2.33203125" style="285" customWidth="1"/>
    <col min="3" max="3" width="5.83203125" style="285" customWidth="1"/>
    <col min="4" max="4" width="13.83203125" style="285" customWidth="1"/>
    <col min="5" max="5" width="3.83203125" style="285" customWidth="1"/>
    <col min="6" max="6" width="13.83203125" style="285" customWidth="1"/>
    <col min="7" max="7" width="3.83203125" style="285" customWidth="1"/>
    <col min="8" max="8" width="13.83203125" style="285" customWidth="1"/>
    <col min="9" max="9" width="3.83203125" style="285" customWidth="1"/>
    <col min="10" max="10" width="13.83203125" style="285" customWidth="1"/>
    <col min="11" max="11" width="3.83203125" style="285" customWidth="1"/>
    <col min="12" max="12" width="13.83203125" style="285" customWidth="1"/>
    <col min="13" max="13" width="3.83203125" style="285" customWidth="1"/>
    <col min="14" max="14" width="13.83203125" style="285" customWidth="1"/>
    <col min="15" max="15" width="3.83203125" style="285" customWidth="1"/>
    <col min="16" max="16" width="13.83203125" style="285" customWidth="1"/>
    <col min="17" max="17" width="3.83203125" style="285" customWidth="1"/>
    <col min="18" max="18" width="13.83203125" style="285" customWidth="1"/>
    <col min="19" max="19" width="3.83203125" style="285" customWidth="1"/>
    <col min="20" max="20" width="13.83203125" style="285" customWidth="1"/>
    <col min="21" max="21" width="3.83203125" style="285" customWidth="1"/>
    <col min="22" max="22" width="13.83203125" style="285" customWidth="1"/>
    <col min="23" max="23" width="3.83203125" style="285" customWidth="1"/>
    <col min="24" max="24" width="13.83203125" style="285" customWidth="1"/>
    <col min="25" max="25" width="3.83203125" style="285" customWidth="1"/>
    <col min="26" max="26" width="13.83203125" style="285" customWidth="1"/>
    <col min="27" max="27" width="3.83203125" style="285" customWidth="1"/>
    <col min="28" max="28" width="9.33203125" style="285" customWidth="1"/>
    <col min="29" max="29" width="3.83203125" style="285" customWidth="1"/>
    <col min="30" max="30" width="10.6640625" style="285" bestFit="1" customWidth="1"/>
    <col min="31" max="32" width="9.5" style="285" bestFit="1" customWidth="1"/>
    <col min="33" max="33" width="10" style="285" bestFit="1" customWidth="1"/>
    <col min="34" max="41" width="9.33203125" style="285" customWidth="1"/>
    <col min="42" max="16384" width="18.83203125" style="285"/>
  </cols>
  <sheetData>
    <row r="1" spans="1:26" s="866" customFormat="1" ht="4.5" customHeight="1"/>
    <row r="2" spans="1:26" s="867" customFormat="1" ht="26.25" customHeight="1">
      <c r="C2" s="867" t="s">
        <v>5157</v>
      </c>
      <c r="Z2" s="867" t="s">
        <v>5259</v>
      </c>
    </row>
    <row r="3" spans="1:26" s="864" customFormat="1" ht="15.75" customHeight="1">
      <c r="B3" s="865"/>
      <c r="M3" s="870" t="str">
        <f>xxDashboard</f>
        <v>Bookings: $338.8M       Bookings CAGR: 0.0%       Revenues: $200.5M       GM: 34.8%       OM: -73.2%</v>
      </c>
    </row>
    <row r="4" spans="1:26" s="867" customFormat="1" ht="42.75" customHeight="1">
      <c r="A4" s="1522" t="s">
        <v>4906</v>
      </c>
    </row>
    <row r="5" spans="1:26" s="867" customFormat="1" ht="12" customHeight="1">
      <c r="A5" s="1522"/>
      <c r="B5" s="1327"/>
      <c r="C5" s="1327"/>
      <c r="D5" s="1328" t="s">
        <v>5305</v>
      </c>
      <c r="E5" s="1327"/>
      <c r="F5" s="1327"/>
      <c r="G5" s="1327"/>
      <c r="H5" s="1328" t="s">
        <v>5306</v>
      </c>
      <c r="I5" s="1327"/>
      <c r="J5" s="1327"/>
      <c r="K5" s="1327"/>
      <c r="L5" s="1328" t="s">
        <v>5307</v>
      </c>
      <c r="M5" s="1327"/>
      <c r="N5" s="1328"/>
      <c r="O5" s="1327"/>
      <c r="P5" s="1328" t="s">
        <v>5308</v>
      </c>
      <c r="T5" s="871"/>
      <c r="U5" s="871"/>
      <c r="X5" s="871"/>
    </row>
    <row r="6" spans="1:26" s="867" customFormat="1" ht="4.5" customHeight="1"/>
    <row r="7" spans="1:26" s="864" customFormat="1" ht="15.75" customHeight="1">
      <c r="B7" s="865"/>
      <c r="M7" s="870" t="str">
        <f>xxDashboardBusA</f>
        <v>Goodwilll Hours Expense: $1.5M          Employee NPS: 68.9%          Client NPS: 64.3%</v>
      </c>
    </row>
    <row r="8" spans="1:26" s="874" customFormat="1" ht="15.75" customHeight="1"/>
    <row r="9" spans="1:26" s="874" customFormat="1" ht="6" customHeight="1">
      <c r="C9" s="875"/>
      <c r="D9" s="875"/>
      <c r="E9" s="875"/>
      <c r="F9" s="875"/>
      <c r="G9" s="888"/>
      <c r="H9" s="889"/>
      <c r="I9" s="889"/>
      <c r="J9" s="889"/>
      <c r="K9" s="889"/>
      <c r="L9" s="889"/>
      <c r="M9" s="890"/>
    </row>
    <row r="10" spans="1:26" s="874" customFormat="1" ht="12.75" customHeight="1">
      <c r="C10" s="883"/>
      <c r="D10" s="1523" t="s">
        <v>4888</v>
      </c>
      <c r="E10" s="1523"/>
      <c r="F10" s="1523"/>
      <c r="G10" s="891"/>
      <c r="H10" s="1072"/>
      <c r="I10" s="1072"/>
      <c r="J10" s="1072" t="s">
        <v>4876</v>
      </c>
      <c r="K10" s="887"/>
      <c r="L10" s="1228">
        <f>INDEX(capBusACurrProjV3PctStaffed,xxIndexTeam)</f>
        <v>0.48702026015070626</v>
      </c>
      <c r="M10" s="892"/>
      <c r="R10" s="886" t="s">
        <v>5158</v>
      </c>
    </row>
    <row r="11" spans="1:26" s="874" customFormat="1" ht="6" customHeight="1">
      <c r="C11" s="875"/>
      <c r="D11" s="1523"/>
      <c r="E11" s="1523"/>
      <c r="F11" s="1523"/>
      <c r="G11" s="893"/>
      <c r="H11" s="894"/>
      <c r="I11" s="894"/>
      <c r="J11" s="894"/>
      <c r="K11" s="894"/>
      <c r="L11" s="894"/>
      <c r="M11" s="895"/>
    </row>
    <row r="12" spans="1:26" s="874" customFormat="1" ht="12" customHeight="1">
      <c r="C12" s="875"/>
      <c r="D12" s="884"/>
      <c r="E12" s="884"/>
      <c r="F12" s="884"/>
      <c r="G12" s="875"/>
      <c r="H12" s="875"/>
      <c r="I12" s="875"/>
      <c r="J12" s="875"/>
      <c r="K12" s="875"/>
      <c r="L12" s="875"/>
      <c r="M12" s="875"/>
    </row>
    <row r="13" spans="1:26" s="874" customFormat="1" ht="12.75" customHeight="1">
      <c r="C13" s="875"/>
      <c r="D13" s="883"/>
      <c r="E13" s="875"/>
      <c r="F13" s="875"/>
      <c r="G13" s="875"/>
      <c r="H13" s="878" t="s">
        <v>4703</v>
      </c>
      <c r="I13" s="881"/>
      <c r="J13" s="878" t="s">
        <v>4704</v>
      </c>
      <c r="K13" s="881"/>
      <c r="L13" s="878" t="s">
        <v>4705</v>
      </c>
      <c r="M13" s="875"/>
    </row>
    <row r="14" spans="1:26" s="874" customFormat="1" ht="12.75" customHeight="1">
      <c r="C14" s="875"/>
      <c r="D14" s="875"/>
      <c r="E14" s="875"/>
      <c r="F14" s="875"/>
      <c r="G14" s="875"/>
      <c r="H14" s="875"/>
      <c r="I14" s="875"/>
      <c r="J14" s="875"/>
      <c r="K14" s="875"/>
      <c r="L14" s="875"/>
      <c r="M14" s="875"/>
    </row>
    <row r="15" spans="1:26" s="874" customFormat="1" ht="12.75" customHeight="1">
      <c r="C15" s="875"/>
      <c r="D15" s="885" t="s">
        <v>5168</v>
      </c>
      <c r="E15" s="884"/>
      <c r="F15" s="884"/>
      <c r="G15" s="875"/>
      <c r="H15" s="1085">
        <v>6000</v>
      </c>
      <c r="I15" s="875"/>
      <c r="J15" s="1085">
        <v>25000</v>
      </c>
      <c r="K15" s="875"/>
      <c r="L15" s="1085">
        <v>50000</v>
      </c>
      <c r="M15" s="875"/>
    </row>
    <row r="16" spans="1:26" s="874" customFormat="1" ht="6" customHeight="1">
      <c r="C16" s="875"/>
      <c r="D16" s="884"/>
      <c r="E16" s="884"/>
      <c r="F16" s="884"/>
      <c r="G16" s="875"/>
      <c r="H16" s="875"/>
      <c r="I16" s="875"/>
      <c r="J16" s="875"/>
      <c r="K16" s="875"/>
      <c r="L16" s="875"/>
      <c r="M16" s="875"/>
    </row>
    <row r="17" spans="3:18" s="874" customFormat="1" ht="12.75" customHeight="1">
      <c r="C17" s="875"/>
      <c r="D17" s="884"/>
      <c r="E17" s="884"/>
      <c r="F17" s="884"/>
      <c r="G17" s="875"/>
      <c r="H17" s="1225">
        <f>INDEX(capBusACurrProjV3Emp4Output,xxIndexTeam)/INDEX(capBusACurrProjV3HrsReq,xxIndexTeam)</f>
        <v>4.0965016542806709E-2</v>
      </c>
      <c r="I17" s="875"/>
      <c r="J17" s="1225">
        <f>INDEX(capBusACurrProjV3Emp3Output,xxIndexTeam)/INDEX(capBusACurrProjV3HrsReq,xxIndexTeam)</f>
        <v>0.13260069781550876</v>
      </c>
      <c r="K17" s="875"/>
      <c r="L17" s="1225">
        <f>INDEX(capBusACurrProjV3Emp2Output,xxIndexTeam)/INDEX(capBusACurrProjV3HrsReq,xxIndexTeam)</f>
        <v>0.18772560394888452</v>
      </c>
      <c r="M17" s="875"/>
    </row>
    <row r="18" spans="3:18" s="874" customFormat="1" ht="12.75" customHeight="1">
      <c r="C18" s="875"/>
      <c r="D18" s="875"/>
      <c r="E18" s="875"/>
      <c r="F18" s="875"/>
      <c r="G18" s="875"/>
      <c r="H18" s="875"/>
      <c r="I18" s="875"/>
      <c r="J18" s="875"/>
      <c r="K18" s="875"/>
      <c r="L18" s="875"/>
      <c r="M18" s="875"/>
    </row>
    <row r="19" spans="3:18" s="874" customFormat="1" ht="12.75" customHeight="1">
      <c r="C19" s="875"/>
      <c r="D19" s="885" t="s">
        <v>5178</v>
      </c>
      <c r="E19" s="884"/>
      <c r="F19" s="884"/>
      <c r="G19" s="875"/>
      <c r="H19" s="884"/>
      <c r="I19" s="884"/>
      <c r="J19" s="884"/>
      <c r="K19" s="875"/>
      <c r="L19" s="1085">
        <v>20000</v>
      </c>
      <c r="M19" s="875"/>
    </row>
    <row r="20" spans="3:18" s="874" customFormat="1" ht="6" customHeight="1">
      <c r="C20" s="875"/>
      <c r="D20" s="884"/>
      <c r="E20" s="884"/>
      <c r="F20" s="884"/>
      <c r="G20" s="875"/>
      <c r="H20" s="884"/>
      <c r="I20" s="884"/>
      <c r="J20" s="884"/>
      <c r="K20" s="875"/>
      <c r="L20" s="875"/>
      <c r="M20" s="875"/>
    </row>
    <row r="21" spans="3:18" s="874" customFormat="1" ht="12.75" customHeight="1">
      <c r="C21" s="875"/>
      <c r="D21" s="884"/>
      <c r="E21" s="884"/>
      <c r="F21" s="884"/>
      <c r="G21" s="875"/>
      <c r="H21" s="884"/>
      <c r="I21" s="884"/>
      <c r="J21" s="884"/>
      <c r="K21" s="875"/>
      <c r="L21" s="1225">
        <f>INDEX(capBusACurrProjV3Emp9Output,xxIndexTeam)/INDEX(capBusACurrProjV3HrsReq,xxIndexTeam)</f>
        <v>7.5991691575054462E-2</v>
      </c>
      <c r="M21" s="875"/>
    </row>
    <row r="22" spans="3:18" s="874" customFormat="1" ht="6" customHeight="1">
      <c r="C22" s="875"/>
      <c r="D22" s="875"/>
      <c r="E22" s="875"/>
      <c r="F22" s="875"/>
      <c r="G22" s="875"/>
      <c r="H22" s="875"/>
      <c r="I22" s="875"/>
      <c r="J22" s="875"/>
      <c r="K22" s="875"/>
      <c r="L22" s="875"/>
      <c r="M22" s="875"/>
    </row>
    <row r="23" spans="3:18" s="874" customFormat="1" ht="12.75" customHeight="1"/>
    <row r="24" spans="3:18" s="874" customFormat="1" ht="6" customHeight="1">
      <c r="C24" s="875"/>
      <c r="D24" s="875"/>
      <c r="E24" s="875"/>
      <c r="F24" s="875"/>
      <c r="G24" s="875"/>
      <c r="H24" s="875"/>
      <c r="I24" s="875"/>
      <c r="J24" s="876"/>
      <c r="K24" s="876"/>
      <c r="L24" s="876"/>
      <c r="M24" s="876"/>
    </row>
    <row r="25" spans="3:18" s="874" customFormat="1" ht="12.75" customHeight="1">
      <c r="C25" s="883"/>
      <c r="D25" s="876" t="s">
        <v>5169</v>
      </c>
      <c r="E25" s="876"/>
      <c r="F25" s="876"/>
      <c r="G25" s="876"/>
      <c r="H25" s="876"/>
      <c r="I25" s="882"/>
      <c r="J25" s="876"/>
      <c r="K25" s="876"/>
      <c r="L25" s="1226">
        <f>tlInputBusAEmp1HrsCurrProjV3/100</f>
        <v>0.05</v>
      </c>
      <c r="M25" s="876"/>
      <c r="R25" s="886"/>
    </row>
    <row r="26" spans="3:18" s="874" customFormat="1" ht="6" customHeight="1">
      <c r="C26" s="875"/>
      <c r="D26" s="876"/>
      <c r="E26" s="876"/>
      <c r="F26" s="876"/>
      <c r="G26" s="875"/>
      <c r="H26" s="875"/>
      <c r="I26" s="875"/>
      <c r="J26" s="876"/>
      <c r="K26" s="876"/>
      <c r="L26" s="876"/>
      <c r="M26" s="876"/>
    </row>
    <row r="27" spans="3:18" s="874" customFormat="1" ht="12.75" customHeight="1">
      <c r="C27" s="875"/>
      <c r="D27" s="875"/>
      <c r="E27" s="875"/>
      <c r="F27" s="875"/>
      <c r="G27" s="875"/>
      <c r="H27" s="875"/>
      <c r="I27" s="875"/>
      <c r="J27" s="875"/>
      <c r="K27" s="875"/>
      <c r="L27" s="875"/>
      <c r="M27" s="875"/>
    </row>
    <row r="28" spans="3:18" s="874" customFormat="1" ht="12.75" customHeight="1">
      <c r="C28" s="875"/>
      <c r="D28" s="875" t="s">
        <v>5169</v>
      </c>
      <c r="E28" s="875"/>
      <c r="F28" s="875"/>
      <c r="G28" s="875"/>
      <c r="H28" s="875"/>
      <c r="I28" s="875"/>
      <c r="J28" s="875"/>
      <c r="K28" s="875"/>
      <c r="L28" s="875"/>
      <c r="M28" s="875"/>
    </row>
    <row r="29" spans="3:18" s="874" customFormat="1" ht="6" customHeight="1">
      <c r="C29" s="875"/>
      <c r="D29" s="875"/>
      <c r="E29" s="875"/>
      <c r="F29" s="875"/>
      <c r="G29" s="875"/>
      <c r="H29" s="875"/>
      <c r="I29" s="875"/>
      <c r="J29" s="875"/>
      <c r="K29" s="875"/>
      <c r="L29" s="875"/>
      <c r="M29" s="875"/>
    </row>
    <row r="30" spans="3:18" s="874" customFormat="1" ht="12.75" customHeight="1">
      <c r="C30" s="875"/>
      <c r="D30" s="917" t="s">
        <v>4751</v>
      </c>
      <c r="E30" s="875"/>
      <c r="F30" s="875"/>
      <c r="G30" s="975"/>
      <c r="H30" s="875"/>
      <c r="I30" s="875"/>
      <c r="J30" s="875"/>
      <c r="K30" s="875"/>
      <c r="L30" s="875"/>
      <c r="M30" s="875"/>
    </row>
    <row r="31" spans="3:18" s="874" customFormat="1" ht="9" customHeight="1">
      <c r="C31" s="875"/>
      <c r="D31" s="917"/>
      <c r="E31" s="875"/>
      <c r="F31" s="875"/>
      <c r="G31" s="975"/>
      <c r="H31" s="875"/>
      <c r="I31" s="875"/>
      <c r="J31" s="875"/>
      <c r="K31" s="875"/>
      <c r="L31" s="875"/>
      <c r="M31" s="875"/>
    </row>
    <row r="32" spans="3:18" s="874" customFormat="1" ht="12.75">
      <c r="C32" s="875"/>
      <c r="D32" s="917" t="s">
        <v>4228</v>
      </c>
      <c r="E32" s="875"/>
      <c r="F32" s="1227">
        <f>INDEX(capBusAEmp1Utiliz,xxIndexTeam)</f>
        <v>0.31644779931599104</v>
      </c>
      <c r="G32" s="875"/>
      <c r="H32" s="875"/>
      <c r="I32" s="875"/>
      <c r="J32" s="875"/>
      <c r="K32" s="875"/>
      <c r="L32" s="875"/>
      <c r="M32" s="875"/>
    </row>
    <row r="33" spans="3:18" s="874" customFormat="1" ht="12.75" customHeight="1"/>
    <row r="34" spans="3:18" s="874" customFormat="1" ht="6" hidden="1" customHeight="1">
      <c r="C34" s="875"/>
      <c r="D34" s="875"/>
      <c r="E34" s="875"/>
      <c r="F34" s="875"/>
      <c r="G34" s="875"/>
      <c r="H34" s="875"/>
      <c r="I34" s="875"/>
      <c r="J34" s="875"/>
      <c r="K34" s="875"/>
      <c r="L34" s="875"/>
      <c r="M34" s="875"/>
    </row>
    <row r="35" spans="3:18" s="874" customFormat="1" ht="12.75" hidden="1" customHeight="1">
      <c r="C35" s="884"/>
      <c r="D35" s="1524" t="s">
        <v>2354</v>
      </c>
      <c r="E35" s="1524"/>
      <c r="F35" s="1524"/>
      <c r="G35" s="876"/>
      <c r="H35" s="876"/>
      <c r="I35" s="882"/>
      <c r="J35" s="875"/>
      <c r="K35" s="875"/>
      <c r="L35" s="875"/>
      <c r="M35" s="875"/>
      <c r="R35" s="886"/>
    </row>
    <row r="36" spans="3:18" s="874" customFormat="1" ht="6" hidden="1" customHeight="1">
      <c r="C36" s="875"/>
      <c r="D36" s="1524"/>
      <c r="E36" s="1524"/>
      <c r="F36" s="1524"/>
      <c r="G36" s="875"/>
      <c r="H36" s="875"/>
      <c r="I36" s="875"/>
      <c r="J36" s="875"/>
      <c r="K36" s="875"/>
      <c r="L36" s="875"/>
      <c r="M36" s="875"/>
    </row>
    <row r="37" spans="3:18" s="874" customFormat="1" ht="12" hidden="1" customHeight="1">
      <c r="C37" s="875"/>
      <c r="D37" s="884"/>
      <c r="E37" s="884"/>
      <c r="F37" s="884"/>
      <c r="G37" s="875"/>
      <c r="H37" s="875"/>
      <c r="I37" s="875"/>
      <c r="J37" s="875"/>
      <c r="K37" s="875"/>
      <c r="L37" s="875"/>
      <c r="M37" s="875"/>
    </row>
    <row r="38" spans="3:18" s="874" customFormat="1" ht="12.75" hidden="1" customHeight="1">
      <c r="C38" s="875"/>
      <c r="D38" s="883"/>
      <c r="E38" s="875"/>
      <c r="F38" s="875"/>
      <c r="G38" s="875"/>
      <c r="H38" s="878" t="s">
        <v>4645</v>
      </c>
      <c r="I38" s="881"/>
      <c r="J38" s="878" t="s">
        <v>939</v>
      </c>
      <c r="K38" s="881"/>
      <c r="L38" s="878" t="s">
        <v>940</v>
      </c>
      <c r="M38" s="875"/>
    </row>
    <row r="39" spans="3:18" s="874" customFormat="1" ht="12.75" hidden="1" customHeight="1">
      <c r="C39" s="875"/>
      <c r="D39" s="875"/>
      <c r="E39" s="875"/>
      <c r="F39" s="875"/>
      <c r="G39" s="875"/>
      <c r="H39" s="875"/>
      <c r="I39" s="875"/>
      <c r="J39" s="875"/>
      <c r="K39" s="875"/>
      <c r="L39" s="875"/>
      <c r="M39" s="875"/>
    </row>
    <row r="40" spans="3:18" s="874" customFormat="1" ht="12.75" hidden="1" customHeight="1">
      <c r="C40" s="875"/>
      <c r="D40" s="885" t="s">
        <v>4646</v>
      </c>
      <c r="E40" s="884"/>
      <c r="F40" s="884"/>
      <c r="G40" s="875"/>
      <c r="H40" s="877">
        <v>6000</v>
      </c>
      <c r="I40" s="875"/>
      <c r="J40" s="877">
        <v>22000</v>
      </c>
      <c r="K40" s="875"/>
      <c r="L40" s="877">
        <v>40000</v>
      </c>
      <c r="M40" s="875"/>
    </row>
    <row r="41" spans="3:18" s="874" customFormat="1" ht="6" hidden="1" customHeight="1">
      <c r="C41" s="875"/>
      <c r="D41" s="884"/>
      <c r="E41" s="884"/>
      <c r="F41" s="884"/>
      <c r="G41" s="875"/>
      <c r="H41" s="875"/>
      <c r="I41" s="875"/>
      <c r="J41" s="875"/>
      <c r="K41" s="875"/>
      <c r="L41" s="875"/>
      <c r="M41" s="875"/>
    </row>
    <row r="42" spans="3:18" s="874" customFormat="1" ht="12.75" hidden="1" customHeight="1">
      <c r="C42" s="875"/>
      <c r="D42" s="884"/>
      <c r="E42" s="884"/>
      <c r="F42" s="884"/>
      <c r="G42" s="875"/>
      <c r="H42" s="879">
        <f>tlInputBusAEmp4HrsSalesV3/SUM(tlInputBusAEmp4HrsSalesV3,tlInputBusAEmp3HrsSalesV3,tlInputBusAEmp2HrsSalesV3)</f>
        <v>8.8235294117647065E-2</v>
      </c>
      <c r="I42" s="875"/>
      <c r="J42" s="879">
        <f>tlInputBusAEmp3HrsSalesV3/SUM(tlInputBusAEmp4HrsSalesV3,tlInputBusAEmp3HrsSalesV3,tlInputBusAEmp2HrsSalesV3)</f>
        <v>0.3235294117647059</v>
      </c>
      <c r="K42" s="875"/>
      <c r="L42" s="879">
        <f>(tlInputBusAEmp2HrsSalesV3)/SUM(tlInputBusAEmp4HrsSalesV3,tlInputBusAEmp3HrsSalesV3,tlInputBusAEmp2HrsSalesV3)</f>
        <v>0.58823529411764708</v>
      </c>
      <c r="M42" s="875"/>
    </row>
    <row r="43" spans="3:18" s="874" customFormat="1" ht="12.75" hidden="1" customHeight="1">
      <c r="C43" s="875"/>
      <c r="D43" s="875"/>
      <c r="E43" s="875"/>
      <c r="F43" s="875"/>
      <c r="G43" s="875"/>
      <c r="H43" s="875"/>
      <c r="I43" s="875"/>
      <c r="J43" s="875"/>
      <c r="K43" s="875"/>
      <c r="L43" s="875"/>
      <c r="M43" s="875"/>
    </row>
    <row r="44" spans="3:18" s="874" customFormat="1" ht="12.75" hidden="1" customHeight="1">
      <c r="C44" s="875"/>
      <c r="D44" s="885" t="s">
        <v>4671</v>
      </c>
      <c r="E44" s="884"/>
      <c r="F44" s="884"/>
      <c r="G44" s="875"/>
      <c r="H44" s="877">
        <v>900</v>
      </c>
      <c r="I44" s="875"/>
      <c r="J44" s="877">
        <v>3200</v>
      </c>
      <c r="K44" s="875"/>
      <c r="L44" s="877">
        <v>4000</v>
      </c>
      <c r="M44" s="875"/>
    </row>
    <row r="45" spans="3:18" s="874" customFormat="1" ht="6" hidden="1" customHeight="1">
      <c r="C45" s="875"/>
      <c r="D45" s="884"/>
      <c r="E45" s="884"/>
      <c r="F45" s="884"/>
      <c r="G45" s="875"/>
      <c r="H45" s="875"/>
      <c r="I45" s="875"/>
      <c r="J45" s="875"/>
      <c r="K45" s="875"/>
      <c r="L45" s="875"/>
      <c r="M45" s="875"/>
    </row>
    <row r="46" spans="3:18" s="874" customFormat="1" ht="12.75" hidden="1" customHeight="1">
      <c r="C46" s="875"/>
      <c r="D46" s="884"/>
      <c r="E46" s="884"/>
      <c r="F46" s="884"/>
      <c r="G46" s="875"/>
      <c r="H46" s="879">
        <f>tlInputBusAemp7HrsSalesV3/SUM(tlInputBusAemp7HrsSalesV3,tlInputBusAemp8HrsSalesV3,tlInputBusAemp9HrsSalesV3,tlInputBusAEmp1HrsSalesV3)</f>
        <v>7.7586206896551727E-2</v>
      </c>
      <c r="I46" s="875"/>
      <c r="J46" s="879">
        <f>tlInputBusAemp8HrsSalesV3/SUM(tlInputBusAemp7HrsSalesV3,tlInputBusAemp8HrsSalesV3,tlInputBusAemp9HrsSalesV3,tlInputBusAEmp1HrsSalesV3)</f>
        <v>0.27586206896551724</v>
      </c>
      <c r="K46" s="875"/>
      <c r="L46" s="879">
        <f>(tlInputBusAemp9HrsSalesV3+tlInputBusAEmp1HrsSalesV3)/SUM(tlInputBusAemp7HrsSalesV3,tlInputBusAemp8HrsSalesV3,tlInputBusAemp9HrsSalesV3,tlInputBusAEmp1HrsSalesV3)</f>
        <v>0.64655172413793105</v>
      </c>
      <c r="M46" s="875"/>
    </row>
    <row r="47" spans="3:18" s="874" customFormat="1" ht="12.75" hidden="1" customHeight="1">
      <c r="C47" s="875"/>
      <c r="D47" s="875"/>
      <c r="E47" s="875"/>
      <c r="F47" s="875"/>
      <c r="G47" s="875"/>
      <c r="H47" s="875"/>
      <c r="I47" s="875"/>
      <c r="J47" s="875"/>
      <c r="K47" s="875"/>
      <c r="L47" s="875"/>
      <c r="M47" s="875"/>
    </row>
    <row r="48" spans="3:18" s="874" customFormat="1" ht="12.75" hidden="1" customHeight="1">
      <c r="C48" s="875"/>
      <c r="D48" s="875" t="s">
        <v>4670</v>
      </c>
      <c r="E48" s="875"/>
      <c r="F48" s="875"/>
      <c r="G48" s="875"/>
      <c r="H48" s="877">
        <v>3500</v>
      </c>
      <c r="I48" s="875"/>
      <c r="J48" s="875"/>
      <c r="K48" s="875"/>
      <c r="L48" s="875"/>
      <c r="M48" s="875"/>
    </row>
    <row r="49" spans="3:41" s="874" customFormat="1" ht="6" hidden="1" customHeight="1">
      <c r="C49" s="875"/>
      <c r="D49" s="875"/>
      <c r="E49" s="875"/>
      <c r="F49" s="875"/>
      <c r="G49" s="875"/>
      <c r="H49" s="875"/>
      <c r="I49" s="875"/>
      <c r="J49" s="875"/>
      <c r="K49" s="875"/>
      <c r="L49" s="875"/>
      <c r="M49" s="875"/>
    </row>
    <row r="50" spans="3:41" s="874" customFormat="1" ht="6" hidden="1" customHeight="1">
      <c r="C50" s="875"/>
      <c r="D50" s="875"/>
      <c r="E50" s="875"/>
      <c r="F50" s="875"/>
      <c r="G50" s="875"/>
      <c r="H50" s="875"/>
      <c r="I50" s="875"/>
      <c r="J50" s="875"/>
      <c r="K50" s="875"/>
      <c r="L50" s="875"/>
      <c r="M50" s="875"/>
    </row>
    <row r="51" spans="3:41" s="874" customFormat="1" ht="12.75" hidden="1">
      <c r="D51" s="877">
        <v>9000</v>
      </c>
      <c r="E51" s="875"/>
      <c r="F51" s="877">
        <v>32000</v>
      </c>
    </row>
    <row r="52" spans="3:41" s="874" customFormat="1" ht="12.75" hidden="1">
      <c r="D52" s="875"/>
      <c r="E52" s="875"/>
      <c r="F52" s="875"/>
    </row>
    <row r="53" spans="3:41" s="874" customFormat="1" ht="12.75" hidden="1">
      <c r="D53" s="879">
        <f>tlInputBusAEmp7HrsCurrProjV3/SUM(tlInputBusAEmp7HrsCurrProjV3,tlInputBusAEmp8HrsCurrProjV3,tlInputBusAEmp9HrsCurrProjV3,tlInputBusAEmp1HrsCurrProjV3)</f>
        <v>0.14752889107450209</v>
      </c>
      <c r="E53" s="875"/>
      <c r="F53" s="879">
        <f>tlInputBusAEmp8HrsCurrProjV3/SUM(tlInputBusAEmp7HrsCurrProjV3,tlInputBusAEmp8HrsCurrProjV3,tlInputBusAEmp9HrsCurrProjV3,tlInputBusAEmp1HrsCurrProjV3)</f>
        <v>0.52454716826489634</v>
      </c>
    </row>
    <row r="54" spans="3:41" s="874" customFormat="1" ht="12.75"/>
    <row r="55" spans="3:41" s="874" customFormat="1" ht="12.75"/>
    <row r="56" spans="3:41" s="874" customFormat="1" ht="12.75"/>
    <row r="57" spans="3:41" s="874" customFormat="1" ht="12.75">
      <c r="L57" s="1018"/>
      <c r="M57" s="1018"/>
    </row>
    <row r="58" spans="3:41" s="874" customFormat="1" ht="12.75"/>
    <row r="59" spans="3:41" s="874" customFormat="1" ht="12.75"/>
    <row r="60" spans="3:41" s="874" customFormat="1" ht="12.75"/>
    <row r="61" spans="3:41" s="874" customFormat="1" ht="12.75"/>
    <row r="62" spans="3:41" s="874" customFormat="1" ht="12.75"/>
    <row r="63" spans="3:41" s="874" customFormat="1" ht="12.75">
      <c r="AB63" s="874" t="str">
        <f>DataNameEmp4</f>
        <v>Director / EM</v>
      </c>
      <c r="AC63" s="874" t="str">
        <f>DataNameEmp3</f>
        <v>PM / Analyst</v>
      </c>
      <c r="AD63" s="874" t="s">
        <v>1239</v>
      </c>
      <c r="AE63" s="874" t="str">
        <f>DataNameEmp1</f>
        <v>Offshore</v>
      </c>
      <c r="AG63" s="874" t="str">
        <f>DataNameEmp4</f>
        <v>Director / EM</v>
      </c>
      <c r="AH63" s="874" t="str">
        <f>DataNameEmp3</f>
        <v>PM / Analyst</v>
      </c>
      <c r="AI63" s="874" t="s">
        <v>1239</v>
      </c>
      <c r="AJ63" s="874" t="str">
        <f>DataNameEmp1</f>
        <v>Offshore</v>
      </c>
      <c r="AL63" s="874" t="str">
        <f>DataNameEmp4</f>
        <v>Director / EM</v>
      </c>
      <c r="AM63" s="874" t="str">
        <f>DataNameEmp3</f>
        <v>PM / Analyst</v>
      </c>
      <c r="AN63" s="874" t="s">
        <v>1239</v>
      </c>
      <c r="AO63" s="874" t="str">
        <f>DataNameEmp1</f>
        <v>Offshore</v>
      </c>
    </row>
    <row r="64" spans="3:41" s="874" customFormat="1" ht="12.75"/>
    <row r="65" spans="27:41" s="874" customFormat="1" ht="12.75">
      <c r="AA65" s="874" t="s">
        <v>10</v>
      </c>
      <c r="AB65" s="874">
        <f>tlInputBusAEmp4HrsSales</f>
        <v>10000</v>
      </c>
      <c r="AC65" s="874">
        <f>tlInputBusAEmp3HrsSales</f>
        <v>5300</v>
      </c>
      <c r="AD65" s="874">
        <f>tlInputBusAEmp2HrsSales</f>
        <v>10000</v>
      </c>
      <c r="AE65" s="874">
        <f>tlInputBusAEmp1HrsSales</f>
        <v>2500</v>
      </c>
      <c r="AF65" s="874" t="s">
        <v>11</v>
      </c>
      <c r="AG65" s="874">
        <f>tlInputBusAEmp4HrsSalesV2</f>
        <v>1000</v>
      </c>
      <c r="AH65" s="874">
        <f>tlInputBusAEmp3HrsSalesV2</f>
        <v>2500</v>
      </c>
      <c r="AI65" s="874">
        <f>tlInputBusAEmp2HrsSalesV2</f>
        <v>5000</v>
      </c>
      <c r="AJ65" s="874">
        <f>tlInputBusAEmp1HrsSalesV2</f>
        <v>2200</v>
      </c>
      <c r="AK65" s="874" t="s">
        <v>12</v>
      </c>
      <c r="AL65" s="874">
        <f>tlInputBusAEmp4HrsSalesV3</f>
        <v>6000</v>
      </c>
      <c r="AM65" s="874">
        <f>tlInputBusAEmp3HrsSalesV3</f>
        <v>22000</v>
      </c>
      <c r="AN65" s="874">
        <f>tlInputBusAEmp2HrsSalesV3</f>
        <v>40000</v>
      </c>
      <c r="AO65" s="874">
        <f>tlInputBusAEmp1HrsSalesV3</f>
        <v>3500</v>
      </c>
    </row>
    <row r="66" spans="27:41" s="1174" customFormat="1" ht="12.95" customHeight="1"/>
    <row r="67" spans="27:41" s="1174" customFormat="1" ht="12.95" customHeight="1"/>
    <row r="68" spans="27:41" s="1174" customFormat="1" ht="12.95" customHeight="1"/>
    <row r="69" spans="27:41" s="1174" customFormat="1" ht="12.95" customHeight="1"/>
    <row r="70" spans="27:41" s="1174" customFormat="1" ht="12.95" customHeight="1"/>
    <row r="71" spans="27:41" s="1174" customFormat="1" ht="12.95" customHeight="1"/>
    <row r="72" spans="27:41" s="1174" customFormat="1" ht="12.95" customHeight="1"/>
    <row r="73" spans="27:41" s="1174" customFormat="1" ht="12.95" customHeight="1"/>
    <row r="74" spans="27:41" s="1174" customFormat="1" ht="12.95" customHeight="1"/>
    <row r="75" spans="27:41" s="1174" customFormat="1" ht="12.95" customHeight="1"/>
    <row r="76" spans="27:41" s="1174" customFormat="1" ht="12.95" customHeight="1"/>
    <row r="77" spans="27:41" s="1174" customFormat="1" ht="12.95" customHeight="1"/>
    <row r="78" spans="27:41" s="1174" customFormat="1" ht="12.95" customHeight="1"/>
    <row r="79" spans="27:41" s="1174" customFormat="1" ht="12.95" customHeight="1"/>
    <row r="80" spans="27:41" s="1174" customFormat="1" ht="12.95" customHeight="1"/>
    <row r="81" s="1174" customFormat="1" ht="12.95" customHeight="1"/>
    <row r="82" s="1174" customFormat="1" ht="12.95" customHeight="1"/>
    <row r="83" s="1174" customFormat="1" ht="12.95" customHeight="1"/>
    <row r="84" s="1174" customFormat="1" ht="12.95" customHeight="1"/>
    <row r="85" s="1174" customFormat="1" ht="12.95" customHeight="1"/>
    <row r="86" s="1174" customFormat="1" ht="12.95" customHeight="1"/>
    <row r="87" s="1174" customFormat="1" ht="12.95" customHeight="1"/>
    <row r="88" s="1174" customFormat="1" ht="12.95" customHeight="1"/>
    <row r="89" s="1174" customFormat="1" ht="12.95" customHeight="1"/>
    <row r="90" s="1174" customFormat="1" ht="12.95" customHeight="1"/>
    <row r="91" s="1174" customFormat="1" ht="12.95" customHeight="1"/>
    <row r="92" s="1174" customFormat="1" ht="12.95" customHeight="1"/>
    <row r="93" s="1174" customFormat="1" ht="12.95" customHeight="1"/>
    <row r="94" s="1174" customFormat="1" ht="12.95" customHeight="1"/>
    <row r="95" s="1174" customFormat="1" ht="12.95" customHeight="1"/>
    <row r="96" s="1174" customFormat="1" ht="12.95" customHeight="1"/>
    <row r="97" s="1174" customFormat="1" ht="12.95" customHeight="1"/>
    <row r="98" s="1174" customFormat="1" ht="12.95" customHeight="1"/>
    <row r="99" s="1174" customFormat="1" ht="12.95" customHeight="1"/>
    <row r="100" s="1174" customFormat="1" ht="12.95" customHeight="1"/>
    <row r="101" s="1174" customFormat="1" ht="12.95" customHeight="1"/>
    <row r="102" s="1174" customFormat="1" ht="12.95" customHeight="1"/>
    <row r="103" s="1174" customFormat="1" ht="12.95" customHeight="1"/>
    <row r="104" s="1174" customFormat="1" ht="12.95" customHeight="1"/>
    <row r="105" s="1174" customFormat="1" ht="12.95" customHeight="1"/>
    <row r="106" s="1174" customFormat="1" ht="12.95" customHeight="1"/>
    <row r="107" s="1174" customFormat="1" ht="12.95" customHeight="1"/>
    <row r="108" s="1174" customFormat="1" ht="12.95" customHeight="1"/>
    <row r="109" s="1174" customFormat="1" ht="12.95" customHeight="1"/>
    <row r="110" s="1174" customFormat="1" ht="12.95" customHeight="1"/>
    <row r="111" s="1174" customFormat="1" ht="12.95" customHeight="1"/>
    <row r="112" s="1174" customFormat="1" ht="12.95" customHeight="1"/>
    <row r="113" s="1174" customFormat="1" ht="12.95" customHeight="1"/>
    <row r="114" s="1174" customFormat="1" ht="12.95" customHeight="1"/>
    <row r="115" s="1174" customFormat="1" ht="12.95" customHeight="1"/>
    <row r="116" s="1174" customFormat="1" ht="12.95" customHeight="1"/>
    <row r="117" s="1174" customFormat="1" ht="12.95" customHeight="1"/>
    <row r="118" s="1174" customFormat="1" ht="12.95" customHeight="1"/>
    <row r="119" s="1174" customFormat="1" ht="12.95" customHeight="1"/>
    <row r="120" s="1174" customFormat="1" ht="12.95" customHeight="1"/>
    <row r="121" s="1174" customFormat="1" ht="12.95" customHeight="1"/>
    <row r="122" s="1174" customFormat="1" ht="12.95" customHeight="1"/>
    <row r="123" s="1174" customFormat="1" ht="12.95" customHeight="1"/>
    <row r="124" s="1174" customFormat="1" ht="12.95" customHeight="1"/>
    <row r="125" s="1174" customFormat="1" ht="12.95" customHeight="1"/>
    <row r="126" s="1174" customFormat="1" ht="12.95" customHeight="1"/>
    <row r="127" s="1174" customFormat="1" ht="12.95" customHeight="1"/>
    <row r="128" s="1174" customFormat="1" ht="12.95" customHeight="1"/>
    <row r="129" s="1174" customFormat="1" ht="12.95" customHeight="1"/>
    <row r="130" s="1174" customFormat="1" ht="12.95" customHeight="1"/>
    <row r="131" s="1174" customFormat="1" ht="12.95" customHeight="1"/>
    <row r="132" s="1174" customFormat="1" ht="12.95" customHeight="1"/>
    <row r="133" s="1174" customFormat="1" ht="12.95" customHeight="1"/>
    <row r="134" s="1174" customFormat="1" ht="12.95" customHeight="1"/>
    <row r="135" s="1174" customFormat="1" ht="12.95" customHeight="1"/>
    <row r="136" s="1174" customFormat="1" ht="12.95" customHeight="1"/>
    <row r="137" s="1174" customFormat="1" ht="12.95" customHeight="1"/>
    <row r="138" s="1174" customFormat="1" ht="12.95" customHeight="1"/>
    <row r="139" s="1174" customFormat="1" ht="12.95" customHeight="1"/>
    <row r="140" s="1174" customFormat="1" ht="12.95" customHeight="1"/>
    <row r="141" s="1174" customFormat="1" ht="12.95" customHeight="1"/>
    <row r="142" s="1174" customFormat="1" ht="12.95" customHeight="1"/>
    <row r="143" s="1174" customFormat="1" ht="12.95" customHeight="1"/>
    <row r="144" s="1174" customFormat="1" ht="12.95" customHeight="1"/>
    <row r="145" s="1174" customFormat="1" ht="12.95" customHeight="1"/>
    <row r="146" s="1174" customFormat="1" ht="12.95" customHeight="1"/>
    <row r="147" s="1174" customFormat="1" ht="12.95" customHeight="1"/>
    <row r="148" s="1174" customFormat="1" ht="12.95" customHeight="1"/>
    <row r="149" s="1174" customFormat="1" ht="12.95" customHeight="1"/>
    <row r="150" s="1174" customFormat="1" ht="12.95" customHeight="1"/>
    <row r="151" s="1174" customFormat="1" ht="12.95" customHeight="1"/>
  </sheetData>
  <mergeCells count="3">
    <mergeCell ref="D10:F11"/>
    <mergeCell ref="D35:F36"/>
    <mergeCell ref="A4:A5"/>
  </mergeCells>
  <conditionalFormatting sqref="L10">
    <cfRule type="expression" dxfId="116" priority="1">
      <formula>$L$10&gt;=98.5%</formula>
    </cfRule>
    <cfRule type="expression" dxfId="115" priority="2">
      <formula>$L$10&lt;98.5%</formula>
    </cfRule>
  </conditionalFormatting>
  <dataValidations disablePrompts="1" count="1">
    <dataValidation operator="greaterThanOrEqual" allowBlank="1" showInputMessage="1" showErrorMessage="1" error="Must be a positive number" sqref="H4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ScrollBar_JDCOffshorePrac3">
              <controlPr defaultSize="0" autoPict="0" macro="[0]!mtMacro">
                <anchor moveWithCells="1">
                  <from>
                    <xdr:col>6</xdr:col>
                    <xdr:colOff>190500</xdr:colOff>
                    <xdr:row>26</xdr:row>
                    <xdr:rowOff>152400</xdr:rowOff>
                  </from>
                  <to>
                    <xdr:col>11</xdr:col>
                    <xdr:colOff>714375</xdr:colOff>
                    <xdr:row>27</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0099"/>
    <pageSetUpPr fitToPage="1"/>
  </sheetPr>
  <dimension ref="A1:BF445"/>
  <sheetViews>
    <sheetView showGridLines="0" zoomScale="110" zoomScaleNormal="110" workbookViewId="0">
      <pane ySplit="8" topLeftCell="A52" activePane="bottomLeft" state="frozen"/>
      <selection activeCell="I18" sqref="I18"/>
      <selection pane="bottomLeft" activeCell="K54" sqref="K54"/>
    </sheetView>
  </sheetViews>
  <sheetFormatPr defaultColWidth="18.83203125" defaultRowHeight="12.95" customHeight="1"/>
  <cols>
    <col min="1" max="1" width="2.5" style="102" customWidth="1"/>
    <col min="2" max="2" width="2.33203125" style="102" customWidth="1"/>
    <col min="3" max="3" width="5.83203125" style="102" customWidth="1"/>
    <col min="4" max="4" width="13.83203125" style="102" customWidth="1"/>
    <col min="5" max="5" width="3.83203125" style="102" customWidth="1"/>
    <col min="6" max="6" width="15.5" style="102" customWidth="1"/>
    <col min="7" max="7" width="3.83203125" style="102" customWidth="1"/>
    <col min="8" max="8" width="13.83203125" style="102" customWidth="1"/>
    <col min="9" max="9" width="3.83203125" style="102" customWidth="1"/>
    <col min="10" max="10" width="13.83203125" style="102" customWidth="1"/>
    <col min="11" max="11" width="3.83203125" style="102" customWidth="1"/>
    <col min="12" max="12" width="13.83203125" style="102" customWidth="1"/>
    <col min="13" max="13" width="3.83203125" style="102" customWidth="1"/>
    <col min="14" max="14" width="13.83203125" style="102" customWidth="1"/>
    <col min="15" max="15" width="3.83203125" style="102" customWidth="1"/>
    <col min="16" max="16" width="13.83203125" style="102" customWidth="1"/>
    <col min="17" max="17" width="3.83203125" style="102" customWidth="1"/>
    <col min="18" max="18" width="13.83203125" style="102" customWidth="1"/>
    <col min="19" max="19" width="3.83203125" style="102" customWidth="1"/>
    <col min="20" max="20" width="13.83203125" style="102" customWidth="1"/>
    <col min="21" max="21" width="3.83203125" style="102" customWidth="1"/>
    <col min="22" max="22" width="13.83203125" style="102" customWidth="1"/>
    <col min="23" max="23" width="3.83203125" style="102" customWidth="1"/>
    <col min="24" max="24" width="13.83203125" style="102" customWidth="1"/>
    <col min="25" max="25" width="3.83203125" style="102" customWidth="1"/>
    <col min="26" max="26" width="13.83203125" style="102" customWidth="1"/>
    <col min="27" max="27" width="3.83203125" style="102" customWidth="1"/>
    <col min="28" max="28" width="9.33203125" style="102" customWidth="1"/>
    <col min="29" max="29" width="3.83203125" style="102" customWidth="1"/>
    <col min="30" max="30" width="10.6640625" style="102" bestFit="1" customWidth="1"/>
    <col min="31" max="32" width="9.5" style="102" bestFit="1" customWidth="1"/>
    <col min="33" max="33" width="10" style="102" bestFit="1" customWidth="1"/>
    <col min="34" max="36" width="9.33203125" style="102" customWidth="1"/>
    <col min="37" max="37" width="16.83203125" style="102" customWidth="1"/>
    <col min="38" max="38" width="10.33203125" style="102" customWidth="1"/>
    <col min="39" max="47" width="9.33203125" style="102" customWidth="1"/>
    <col min="48" max="48" width="10.1640625" style="102" bestFit="1" customWidth="1"/>
    <col min="49" max="49" width="9.33203125" style="102" customWidth="1"/>
    <col min="50" max="50" width="10.1640625" style="102" bestFit="1" customWidth="1"/>
    <col min="51" max="58" width="9.33203125" style="102" customWidth="1"/>
    <col min="59" max="16384" width="18.83203125" style="102"/>
  </cols>
  <sheetData>
    <row r="1" spans="1:26" ht="9.75" hidden="1" customHeight="1">
      <c r="A1" s="269"/>
      <c r="B1" s="269"/>
      <c r="C1" s="269"/>
      <c r="D1" s="269"/>
      <c r="E1" s="269"/>
      <c r="F1" s="269"/>
      <c r="G1" s="269"/>
      <c r="H1" s="269"/>
      <c r="I1" s="269"/>
      <c r="J1" s="269"/>
      <c r="K1" s="269"/>
      <c r="L1" s="269"/>
      <c r="M1" s="269"/>
      <c r="N1" s="269"/>
      <c r="O1" s="269"/>
      <c r="P1" s="269"/>
    </row>
    <row r="2" spans="1:26" s="866" customFormat="1" ht="4.5" customHeight="1"/>
    <row r="3" spans="1:26" s="867" customFormat="1" ht="26.25" customHeight="1">
      <c r="C3" s="867" t="s">
        <v>4777</v>
      </c>
      <c r="Z3" s="867" t="s">
        <v>5260</v>
      </c>
    </row>
    <row r="4" spans="1:26" s="864" customFormat="1" ht="15.75" customHeight="1">
      <c r="B4" s="865"/>
      <c r="M4" s="870" t="str">
        <f>xxDashboard</f>
        <v>Bookings: $338.8M       Bookings CAGR: 0.0%       Revenues: $200.5M       GM: 34.8%       OM: -73.2%</v>
      </c>
      <c r="O4" s="870"/>
    </row>
    <row r="5" spans="1:26" s="867" customFormat="1" ht="42.75" customHeight="1">
      <c r="A5" s="1522" t="s">
        <v>4906</v>
      </c>
    </row>
    <row r="6" spans="1:26" s="867" customFormat="1" ht="12" customHeight="1">
      <c r="A6" s="1522"/>
      <c r="B6" s="1327"/>
      <c r="C6" s="1327"/>
      <c r="D6" s="1328" t="s">
        <v>5305</v>
      </c>
      <c r="E6" s="1327"/>
      <c r="F6" s="1327"/>
      <c r="G6" s="1327"/>
      <c r="H6" s="1328" t="s">
        <v>5306</v>
      </c>
      <c r="I6" s="1327"/>
      <c r="J6" s="1327"/>
      <c r="K6" s="1327"/>
      <c r="L6" s="1328" t="s">
        <v>5307</v>
      </c>
      <c r="M6" s="1327"/>
      <c r="N6" s="1328"/>
      <c r="O6" s="1327"/>
      <c r="P6" s="1328" t="s">
        <v>5308</v>
      </c>
      <c r="T6" s="871"/>
      <c r="U6" s="871"/>
      <c r="X6" s="871"/>
    </row>
    <row r="7" spans="1:26" s="867" customFormat="1" ht="4.5" customHeight="1"/>
    <row r="8" spans="1:26" s="864" customFormat="1" ht="15.75" customHeight="1">
      <c r="B8" s="865"/>
      <c r="O8" s="870" t="str">
        <f>xxDashboardBusA</f>
        <v>Goodwilll Hours Expense: $1.5M          Employee NPS: 68.9%          Client NPS: 64.3%</v>
      </c>
    </row>
    <row r="9" spans="1:26" s="874" customFormat="1" ht="15.75" customHeight="1"/>
    <row r="10" spans="1:26" s="874" customFormat="1" ht="6" customHeight="1">
      <c r="C10" s="875"/>
      <c r="D10" s="875"/>
      <c r="E10" s="875"/>
      <c r="F10" s="875"/>
      <c r="G10" s="875"/>
      <c r="H10" s="875"/>
      <c r="I10" s="875"/>
      <c r="J10" s="875"/>
      <c r="K10" s="875"/>
      <c r="L10" s="875"/>
      <c r="M10" s="875"/>
      <c r="N10" s="875"/>
      <c r="O10" s="875"/>
    </row>
    <row r="11" spans="1:26" s="874" customFormat="1" ht="12.75" customHeight="1">
      <c r="C11" s="883"/>
      <c r="D11" s="1523" t="s">
        <v>3637</v>
      </c>
      <c r="E11" s="1523"/>
      <c r="F11" s="1523"/>
      <c r="G11" s="1523"/>
      <c r="H11" s="876"/>
      <c r="I11" s="882"/>
      <c r="J11" s="882"/>
      <c r="K11" s="882"/>
      <c r="L11" s="882"/>
      <c r="M11" s="882"/>
      <c r="N11" s="882"/>
      <c r="O11" s="882"/>
      <c r="U11" s="886" t="s">
        <v>4896</v>
      </c>
    </row>
    <row r="12" spans="1:26" s="874" customFormat="1" ht="6" customHeight="1">
      <c r="C12" s="875"/>
      <c r="D12" s="1523"/>
      <c r="E12" s="1523"/>
      <c r="F12" s="1523"/>
      <c r="G12" s="1523"/>
      <c r="H12" s="875"/>
      <c r="I12" s="875"/>
      <c r="J12" s="875"/>
      <c r="K12" s="875"/>
      <c r="L12" s="875"/>
      <c r="M12" s="875"/>
      <c r="N12" s="875"/>
      <c r="O12" s="875"/>
    </row>
    <row r="13" spans="1:26" s="874" customFormat="1" ht="12" customHeight="1">
      <c r="C13" s="875"/>
      <c r="D13" s="884"/>
      <c r="E13" s="884"/>
      <c r="F13" s="884"/>
      <c r="G13" s="875"/>
      <c r="H13" s="875"/>
      <c r="I13" s="875"/>
      <c r="J13" s="875"/>
      <c r="K13" s="875"/>
      <c r="L13" s="875"/>
      <c r="M13" s="875"/>
      <c r="N13" s="875"/>
      <c r="O13" s="875"/>
    </row>
    <row r="14" spans="1:26" s="874" customFormat="1" ht="12.75" customHeight="1">
      <c r="C14" s="875"/>
      <c r="D14" s="883"/>
      <c r="E14" s="875"/>
      <c r="F14" s="875"/>
      <c r="G14" s="875"/>
      <c r="H14" s="878" t="s">
        <v>4703</v>
      </c>
      <c r="I14" s="881"/>
      <c r="J14" s="878" t="s">
        <v>4704</v>
      </c>
      <c r="K14" s="881"/>
      <c r="L14" s="878" t="s">
        <v>4705</v>
      </c>
      <c r="M14" s="875"/>
      <c r="N14" s="878" t="s">
        <v>4696</v>
      </c>
      <c r="O14" s="875"/>
    </row>
    <row r="15" spans="1:26" s="874" customFormat="1" ht="12.75" customHeight="1">
      <c r="C15" s="875"/>
      <c r="D15" s="884" t="s">
        <v>5168</v>
      </c>
      <c r="E15" s="875"/>
      <c r="F15" s="875"/>
      <c r="G15" s="875"/>
      <c r="H15" s="878"/>
      <c r="I15" s="881"/>
      <c r="J15" s="878"/>
      <c r="K15" s="881"/>
      <c r="L15" s="878"/>
      <c r="M15" s="875"/>
      <c r="N15" s="878"/>
      <c r="O15" s="875"/>
    </row>
    <row r="16" spans="1:26" s="874" customFormat="1" ht="6" customHeight="1">
      <c r="C16" s="875"/>
      <c r="D16" s="884"/>
      <c r="E16" s="884"/>
      <c r="F16" s="884"/>
      <c r="G16" s="875"/>
      <c r="H16" s="875"/>
      <c r="I16" s="875"/>
      <c r="J16" s="875"/>
      <c r="K16" s="875"/>
      <c r="L16" s="875"/>
      <c r="M16" s="875"/>
      <c r="N16" s="875"/>
      <c r="O16" s="875"/>
    </row>
    <row r="17" spans="3:15" s="874" customFormat="1" ht="12.75" customHeight="1">
      <c r="C17" s="875"/>
      <c r="D17" s="875" t="s">
        <v>1186</v>
      </c>
      <c r="E17" s="875"/>
      <c r="F17" s="875"/>
      <c r="G17" s="875"/>
      <c r="H17" s="1089">
        <v>20</v>
      </c>
      <c r="I17" s="881"/>
      <c r="J17" s="1090">
        <v>136</v>
      </c>
      <c r="K17" s="875"/>
      <c r="L17" s="1089">
        <v>204</v>
      </c>
      <c r="M17" s="875"/>
      <c r="N17" s="1091">
        <v>194</v>
      </c>
      <c r="O17" s="875"/>
    </row>
    <row r="18" spans="3:15" s="874" customFormat="1" ht="12.75" customHeight="1">
      <c r="C18" s="875"/>
      <c r="D18" s="875" t="s">
        <v>4924</v>
      </c>
      <c r="E18" s="875"/>
      <c r="F18" s="875"/>
      <c r="G18" s="875"/>
      <c r="H18" s="1229">
        <f>ROUNDUP(INDEX(xxMMProd5Seg4Units,xxYear+3),0)</f>
        <v>128</v>
      </c>
      <c r="I18" s="875"/>
      <c r="J18" s="1229">
        <f>ROUNDUP(INDEX(xxMMProd5Seg3Units,xxYear+3),0)</f>
        <v>850</v>
      </c>
      <c r="K18" s="875"/>
      <c r="L18" s="1229">
        <f>ROUNDUP(INDEX(xxMMProd5Seg2Units,xxYear+3),0)</f>
        <v>1275</v>
      </c>
      <c r="M18" s="875"/>
      <c r="N18" s="1229">
        <f>ROUNDUP(INDEX(xxMMProd5Seg5Units,xxYear+3),0)</f>
        <v>500</v>
      </c>
      <c r="O18" s="875"/>
    </row>
    <row r="19" spans="3:15" s="874" customFormat="1" ht="6" customHeight="1">
      <c r="C19" s="875"/>
      <c r="D19" s="884"/>
      <c r="E19" s="884"/>
      <c r="F19" s="884"/>
      <c r="G19" s="875"/>
      <c r="H19" s="875"/>
      <c r="I19" s="875"/>
      <c r="J19" s="875"/>
      <c r="K19" s="875"/>
      <c r="L19" s="875"/>
      <c r="M19" s="875"/>
      <c r="N19" s="875"/>
      <c r="O19" s="875"/>
    </row>
    <row r="20" spans="3:15" s="874" customFormat="1" ht="12.75" customHeight="1">
      <c r="C20" s="875"/>
      <c r="D20" s="875" t="s">
        <v>4897</v>
      </c>
      <c r="E20" s="875"/>
      <c r="F20" s="875"/>
      <c r="G20" s="875"/>
      <c r="H20" s="1091" t="s">
        <v>2295</v>
      </c>
      <c r="I20" s="875"/>
      <c r="J20" s="1091" t="s">
        <v>2295</v>
      </c>
      <c r="K20" s="875"/>
      <c r="L20" s="1091" t="s">
        <v>2295</v>
      </c>
      <c r="M20" s="875"/>
      <c r="N20" s="1091" t="s">
        <v>2295</v>
      </c>
      <c r="O20" s="875"/>
    </row>
    <row r="21" spans="3:15" s="874" customFormat="1" ht="6" customHeight="1">
      <c r="C21" s="875"/>
      <c r="D21" s="884"/>
      <c r="E21" s="884"/>
      <c r="F21" s="884"/>
      <c r="G21" s="875"/>
      <c r="H21" s="875"/>
      <c r="I21" s="875"/>
      <c r="J21" s="875"/>
      <c r="K21" s="875"/>
      <c r="L21" s="875"/>
      <c r="M21" s="875"/>
      <c r="N21" s="875"/>
      <c r="O21" s="875"/>
    </row>
    <row r="22" spans="3:15" s="874" customFormat="1" ht="12.75">
      <c r="C22" s="875"/>
      <c r="D22" s="899" t="s">
        <v>5231</v>
      </c>
      <c r="E22" s="884"/>
      <c r="F22" s="884"/>
      <c r="G22" s="875"/>
      <c r="H22" s="1230">
        <f>INDEX(obalBusAEmp4,xxIndexTeam)+INDEX(obalBusAEmp4Recruited,xxIndexTeam)</f>
        <v>93.75</v>
      </c>
      <c r="I22" s="875"/>
      <c r="J22" s="1230">
        <f>INDEX(obalBusAEmp3,xxIndexTeam)+INDEX(obalBusAEmp3Recruited,xxIndexTeam)</f>
        <v>312.5</v>
      </c>
      <c r="K22" s="875"/>
      <c r="L22" s="1230">
        <f>INDEX(obalBusAEmp2,xxIndexTeam)+INDEX(obalBusAEmp2Recruited,xxIndexTeam)</f>
        <v>500</v>
      </c>
      <c r="M22" s="875"/>
      <c r="N22" s="1230">
        <f>INDEX(obalEmp6,xxIndexTeam)+INDEX(obalEmp6Recruited,xxIndexTeam)</f>
        <v>126.25</v>
      </c>
      <c r="O22" s="875"/>
    </row>
    <row r="23" spans="3:15" s="874" customFormat="1" ht="6" customHeight="1">
      <c r="C23" s="875"/>
      <c r="D23" s="884"/>
      <c r="E23" s="884"/>
      <c r="F23" s="884"/>
      <c r="G23" s="875"/>
      <c r="H23" s="875"/>
      <c r="I23" s="875"/>
      <c r="J23" s="875"/>
      <c r="K23" s="875"/>
      <c r="L23" s="875"/>
      <c r="M23" s="875"/>
      <c r="N23" s="875"/>
      <c r="O23" s="875"/>
    </row>
    <row r="24" spans="3:15" s="874" customFormat="1" ht="12.75" customHeight="1">
      <c r="C24" s="875"/>
      <c r="D24" s="899" t="s">
        <v>4877</v>
      </c>
      <c r="E24" s="884"/>
      <c r="F24" s="884"/>
      <c r="G24" s="875"/>
      <c r="H24" s="1229">
        <f>ROUND(INDEX(obalBusAEmp4,xxIndexTeam)*IF(tlInputEmp4BusADismiss="Very Low",2%,IF(tlInputEmp4BusADismiss="Low",5%,IF(tlInputEmp4BusADismiss="Average",7%,IF(tlInputEmp4BusADismiss="High",10%,IF(tlInputEmp4BusADismiss="Very High",13%,0))))),0)</f>
        <v>7</v>
      </c>
      <c r="I24" s="875"/>
      <c r="J24" s="1229">
        <f>ROUND(INDEX(obalBusAEmp3,xxIndexTeam)*IF(tlInputEmp3BusADismiss="Very Low",2%,IF(tlInputEmp3BusADismiss="Low",5%,IF(tlInputEmp3BusADismiss="Average",7%,IF(tlInputEmp3BusADismiss="High",10%,IF(tlInputEmp3BusADismiss="Very High",13%,0))))),0)</f>
        <v>22</v>
      </c>
      <c r="K24" s="875"/>
      <c r="L24" s="1229">
        <f>ROUND(INDEX(obalBusAEmp2,xxIndexTeam)*IF(tlInputEmp2BusADismiss="Very Low",2%,IF(tlInputEmp2BusADismiss="Low",5%,IF(tlInputEmp2BusADismiss="Average",7%,IF(tlInputEmp2BusADismiss="High",10%,IF(tlInputEmp2BusADismiss="Very High",13%,0))))),0)</f>
        <v>35</v>
      </c>
      <c r="M24" s="875"/>
      <c r="N24" s="1229">
        <f>ROUND(INDEX(obalEmp6,xxIndexTeam)*IF(tlInputEntWFDismiss="Very Low",2%,IF(tlInputEntWFDismiss="Low",5%,IF(tlInputEntWFDismiss="Average",7%,IF(tlInputEntWFDismiss="High",10%,IF(tlInputEntWFDismiss="Very High",13%,0))))),0)</f>
        <v>9</v>
      </c>
      <c r="O24" s="875"/>
    </row>
    <row r="25" spans="3:15" s="874" customFormat="1" ht="6" customHeight="1">
      <c r="C25" s="875"/>
      <c r="D25" s="884"/>
      <c r="E25" s="884"/>
      <c r="F25" s="884"/>
      <c r="G25" s="875"/>
      <c r="H25" s="875"/>
      <c r="I25" s="875"/>
      <c r="J25" s="875"/>
      <c r="K25" s="875"/>
      <c r="L25" s="875"/>
      <c r="M25" s="875"/>
      <c r="N25" s="875"/>
      <c r="O25" s="875"/>
    </row>
    <row r="26" spans="3:15" s="874" customFormat="1" ht="12.75" customHeight="1">
      <c r="C26" s="875"/>
      <c r="D26" s="899" t="s">
        <v>4822</v>
      </c>
      <c r="E26" s="884"/>
      <c r="F26" s="884"/>
      <c r="G26" s="875"/>
      <c r="H26" s="1229">
        <f>INDEX(capBusAEmp4Att,xxIndexTeam)</f>
        <v>9</v>
      </c>
      <c r="I26" s="875"/>
      <c r="J26" s="1229">
        <f>INDEX(capBusAEmp3Att,xxIndexTeam)</f>
        <v>47</v>
      </c>
      <c r="K26" s="875"/>
      <c r="L26" s="1229">
        <f>INDEX(capBusAEmp2Att,xxIndexTeam)</f>
        <v>100</v>
      </c>
      <c r="M26" s="875"/>
      <c r="N26" s="1229">
        <f>INDEX(capEmp6Att,xxIndexTeam)</f>
        <v>16</v>
      </c>
      <c r="O26" s="875"/>
    </row>
    <row r="27" spans="3:15" s="874" customFormat="1" ht="6" customHeight="1">
      <c r="C27" s="875"/>
      <c r="D27" s="884"/>
      <c r="E27" s="884"/>
      <c r="F27" s="884"/>
      <c r="G27" s="875"/>
      <c r="H27" s="875"/>
      <c r="I27" s="875"/>
      <c r="J27" s="875"/>
      <c r="K27" s="875"/>
      <c r="L27" s="875"/>
      <c r="M27" s="875"/>
      <c r="N27" s="875"/>
      <c r="O27" s="875"/>
    </row>
    <row r="28" spans="3:15" s="874" customFormat="1" ht="12.75" customHeight="1">
      <c r="C28" s="875"/>
      <c r="D28" s="899" t="s">
        <v>5232</v>
      </c>
      <c r="E28" s="884"/>
      <c r="F28" s="884"/>
      <c r="G28" s="875"/>
      <c r="H28" s="1229">
        <f>INDEX(capBusAEmp4End,xxIndexTeam)</f>
        <v>78</v>
      </c>
      <c r="I28" s="875"/>
      <c r="J28" s="1229">
        <f>INDEX(capBusAEmp3End,xxIndexTeam)</f>
        <v>244</v>
      </c>
      <c r="K28" s="875"/>
      <c r="L28" s="1229">
        <f>INDEX(capBusAEmp2End,xxIndexTeam)</f>
        <v>365</v>
      </c>
      <c r="M28" s="875"/>
      <c r="N28" s="1229">
        <f>INDEX(capEmp6End,xxIndexTeam)</f>
        <v>102</v>
      </c>
      <c r="O28" s="875"/>
    </row>
    <row r="29" spans="3:15" s="874" customFormat="1" ht="12.75" customHeight="1">
      <c r="C29" s="875"/>
      <c r="D29" s="883"/>
      <c r="E29" s="875"/>
      <c r="F29" s="875"/>
      <c r="G29" s="875"/>
      <c r="H29" s="878"/>
      <c r="I29" s="881"/>
      <c r="J29" s="878"/>
      <c r="K29" s="881"/>
      <c r="L29" s="878"/>
      <c r="M29" s="875"/>
      <c r="N29" s="878"/>
      <c r="O29" s="875"/>
    </row>
    <row r="30" spans="3:15" s="874" customFormat="1" ht="12.75" customHeight="1">
      <c r="C30" s="875"/>
      <c r="D30" s="884" t="s">
        <v>5178</v>
      </c>
      <c r="E30" s="875"/>
      <c r="F30" s="875"/>
      <c r="G30" s="875"/>
      <c r="H30" s="878"/>
      <c r="I30" s="881"/>
      <c r="J30" s="878"/>
      <c r="K30" s="881"/>
      <c r="L30" s="878"/>
      <c r="M30" s="875"/>
      <c r="N30" s="878"/>
      <c r="O30" s="875"/>
    </row>
    <row r="31" spans="3:15" s="874" customFormat="1" ht="6" customHeight="1">
      <c r="C31" s="875"/>
      <c r="D31" s="884"/>
      <c r="E31" s="884"/>
      <c r="F31" s="884"/>
      <c r="G31" s="875"/>
      <c r="H31" s="875"/>
      <c r="I31" s="875"/>
      <c r="J31" s="875"/>
      <c r="K31" s="875"/>
      <c r="L31" s="875"/>
      <c r="M31" s="875"/>
      <c r="N31" s="875"/>
      <c r="O31" s="875"/>
    </row>
    <row r="32" spans="3:15" s="874" customFormat="1" ht="13.5" customHeight="1">
      <c r="C32" s="875"/>
      <c r="D32" s="875" t="s">
        <v>1186</v>
      </c>
      <c r="E32" s="884"/>
      <c r="F32" s="884"/>
      <c r="G32" s="875"/>
      <c r="H32" s="875"/>
      <c r="I32" s="875"/>
      <c r="J32" s="875"/>
      <c r="K32" s="875"/>
      <c r="L32" s="1091">
        <v>26</v>
      </c>
      <c r="M32" s="875"/>
      <c r="N32" s="875"/>
      <c r="O32" s="875"/>
    </row>
    <row r="33" spans="3:15" s="874" customFormat="1" ht="6" customHeight="1">
      <c r="C33" s="875"/>
      <c r="D33" s="884"/>
      <c r="E33" s="884"/>
      <c r="F33" s="884"/>
      <c r="G33" s="875"/>
      <c r="H33" s="875"/>
      <c r="I33" s="875"/>
      <c r="J33" s="875"/>
      <c r="K33" s="875"/>
      <c r="L33" s="875"/>
      <c r="M33" s="875"/>
      <c r="N33" s="875"/>
      <c r="O33" s="875"/>
    </row>
    <row r="34" spans="3:15" s="874" customFormat="1" ht="12.75">
      <c r="C34" s="875"/>
      <c r="D34" s="875" t="s">
        <v>4897</v>
      </c>
      <c r="E34" s="875"/>
      <c r="F34" s="875"/>
      <c r="G34" s="875"/>
      <c r="H34" s="875"/>
      <c r="I34" s="875"/>
      <c r="J34" s="875"/>
      <c r="K34" s="875"/>
      <c r="L34" s="1091" t="s">
        <v>2295</v>
      </c>
      <c r="M34" s="875"/>
      <c r="N34" s="875"/>
      <c r="O34" s="875"/>
    </row>
    <row r="35" spans="3:15" s="874" customFormat="1" ht="6" customHeight="1">
      <c r="C35" s="875"/>
      <c r="D35" s="884"/>
      <c r="E35" s="884"/>
      <c r="F35" s="884"/>
      <c r="G35" s="875"/>
      <c r="H35" s="875"/>
      <c r="I35" s="875"/>
      <c r="J35" s="875"/>
      <c r="K35" s="875"/>
      <c r="L35" s="875"/>
      <c r="M35" s="875"/>
      <c r="N35" s="875"/>
      <c r="O35" s="875"/>
    </row>
    <row r="36" spans="3:15" s="874" customFormat="1" ht="12.75">
      <c r="C36" s="875"/>
      <c r="D36" s="899" t="s">
        <v>5231</v>
      </c>
      <c r="E36" s="884"/>
      <c r="F36" s="884"/>
      <c r="G36" s="875"/>
      <c r="H36" s="875"/>
      <c r="I36" s="875"/>
      <c r="J36" s="875"/>
      <c r="K36" s="875"/>
      <c r="L36" s="1230">
        <f>INDEX(obalBusAEmp9,xxIndexTeam)</f>
        <v>437.5</v>
      </c>
      <c r="M36" s="875"/>
      <c r="N36" s="875"/>
      <c r="O36" s="875"/>
    </row>
    <row r="37" spans="3:15" s="874" customFormat="1" ht="6" customHeight="1">
      <c r="C37" s="875"/>
      <c r="D37" s="884"/>
      <c r="E37" s="884"/>
      <c r="F37" s="884"/>
      <c r="G37" s="875"/>
      <c r="H37" s="875"/>
      <c r="I37" s="875"/>
      <c r="J37" s="875"/>
      <c r="K37" s="875"/>
      <c r="L37" s="875"/>
      <c r="M37" s="875"/>
      <c r="N37" s="875"/>
      <c r="O37" s="875"/>
    </row>
    <row r="38" spans="3:15" s="874" customFormat="1" ht="12.75">
      <c r="C38" s="875"/>
      <c r="D38" s="899" t="s">
        <v>4877</v>
      </c>
      <c r="E38" s="884"/>
      <c r="F38" s="884"/>
      <c r="G38" s="875"/>
      <c r="H38" s="875"/>
      <c r="I38" s="875"/>
      <c r="J38" s="875"/>
      <c r="K38" s="875"/>
      <c r="L38" s="1229">
        <f>ROUND(INDEX(obalBusAEmp9,xxIndexTeam)*IF(tlInputEmp9BusADismiss="Very Low",2%,IF(tlInputEmp9BusADismiss="Low",5%,IF(tlInputEmp9BusADismiss="Average",7%,IF(tlInputEmp9BusADismiss="High",10%,IF(tlInputEmp9BusADismiss="Very High",13%,0))))),0)</f>
        <v>31</v>
      </c>
      <c r="M38" s="875"/>
      <c r="N38" s="875"/>
      <c r="O38" s="875"/>
    </row>
    <row r="39" spans="3:15" s="874" customFormat="1" ht="6" customHeight="1">
      <c r="C39" s="875"/>
      <c r="D39" s="884"/>
      <c r="E39" s="884"/>
      <c r="F39" s="884"/>
      <c r="G39" s="875"/>
      <c r="H39" s="875"/>
      <c r="I39" s="875"/>
      <c r="J39" s="875"/>
      <c r="K39" s="875"/>
      <c r="L39" s="875"/>
      <c r="M39" s="875"/>
      <c r="N39" s="875"/>
      <c r="O39" s="875"/>
    </row>
    <row r="40" spans="3:15" s="874" customFormat="1" ht="12.75" customHeight="1">
      <c r="C40" s="875"/>
      <c r="D40" s="899" t="s">
        <v>4822</v>
      </c>
      <c r="E40" s="884"/>
      <c r="F40" s="884"/>
      <c r="G40" s="875"/>
      <c r="H40" s="875"/>
      <c r="I40" s="875"/>
      <c r="J40" s="875"/>
      <c r="K40" s="875"/>
      <c r="L40" s="1229">
        <f>INDEX(capBusAEmp9Att,xxIndexTeam)</f>
        <v>79</v>
      </c>
      <c r="M40" s="875"/>
      <c r="N40" s="875"/>
      <c r="O40" s="875"/>
    </row>
    <row r="41" spans="3:15" s="874" customFormat="1" ht="6" customHeight="1">
      <c r="C41" s="875"/>
      <c r="D41" s="884"/>
      <c r="E41" s="884"/>
      <c r="F41" s="884"/>
      <c r="G41" s="875"/>
      <c r="H41" s="875"/>
      <c r="I41" s="875"/>
      <c r="J41" s="875"/>
      <c r="K41" s="875"/>
      <c r="L41" s="875"/>
      <c r="M41" s="875"/>
      <c r="N41" s="875"/>
      <c r="O41" s="875"/>
    </row>
    <row r="42" spans="3:15" s="874" customFormat="1" ht="12.75" customHeight="1">
      <c r="C42" s="875"/>
      <c r="D42" s="899" t="s">
        <v>5232</v>
      </c>
      <c r="E42" s="884"/>
      <c r="F42" s="884"/>
      <c r="G42" s="875"/>
      <c r="H42" s="875"/>
      <c r="I42" s="875"/>
      <c r="J42" s="875"/>
      <c r="K42" s="875"/>
      <c r="L42" s="1229">
        <f>INDEX(capBusAEmp9End,xxIndexTeam)</f>
        <v>328</v>
      </c>
      <c r="M42" s="875"/>
      <c r="N42" s="875"/>
      <c r="O42" s="875"/>
    </row>
    <row r="43" spans="3:15" s="874" customFormat="1" ht="6" customHeight="1">
      <c r="C43" s="875"/>
      <c r="D43" s="884"/>
      <c r="E43" s="884"/>
      <c r="F43" s="884"/>
      <c r="G43" s="875"/>
      <c r="H43" s="875"/>
      <c r="I43" s="875"/>
      <c r="J43" s="875"/>
      <c r="K43" s="875"/>
      <c r="L43" s="875"/>
      <c r="M43" s="875"/>
      <c r="N43" s="875"/>
      <c r="O43" s="875"/>
    </row>
    <row r="44" spans="3:15" s="874" customFormat="1" ht="12.75" customHeight="1"/>
    <row r="45" spans="3:15" s="874" customFormat="1" ht="14.25">
      <c r="C45" s="875"/>
      <c r="D45" s="875"/>
      <c r="E45" s="876"/>
      <c r="F45" s="876"/>
      <c r="G45" s="875"/>
      <c r="H45" s="876"/>
      <c r="I45" s="876"/>
      <c r="J45" s="876"/>
      <c r="K45" s="876"/>
      <c r="L45" s="876"/>
      <c r="M45" s="876"/>
      <c r="N45" s="876"/>
      <c r="O45" s="876"/>
    </row>
    <row r="46" spans="3:15" s="874" customFormat="1" ht="5.25" customHeight="1">
      <c r="C46" s="875"/>
      <c r="D46" s="1523" t="s">
        <v>1769</v>
      </c>
      <c r="E46" s="1523"/>
      <c r="F46" s="1523"/>
      <c r="G46" s="876"/>
      <c r="H46" s="876"/>
      <c r="I46" s="876"/>
      <c r="J46" s="876"/>
      <c r="K46" s="876"/>
      <c r="L46" s="876"/>
      <c r="M46" s="876"/>
      <c r="N46" s="876"/>
      <c r="O46" s="876"/>
    </row>
    <row r="47" spans="3:15" s="874" customFormat="1" ht="14.25">
      <c r="C47" s="875"/>
      <c r="D47" s="1523"/>
      <c r="E47" s="1523"/>
      <c r="F47" s="1523"/>
      <c r="G47" s="876"/>
      <c r="H47" s="876"/>
      <c r="I47" s="876"/>
      <c r="J47" s="876"/>
      <c r="K47" s="876"/>
      <c r="L47" s="876"/>
      <c r="M47" s="876"/>
      <c r="N47" s="875"/>
      <c r="O47" s="876"/>
    </row>
    <row r="48" spans="3:15" s="874" customFormat="1" ht="12" customHeight="1">
      <c r="C48" s="875"/>
      <c r="D48" s="916"/>
      <c r="E48" s="875"/>
      <c r="F48" s="875"/>
      <c r="G48" s="875"/>
      <c r="H48" s="878" t="s">
        <v>4703</v>
      </c>
      <c r="I48" s="881"/>
      <c r="J48" s="878" t="s">
        <v>4704</v>
      </c>
      <c r="K48" s="881"/>
      <c r="L48" s="878" t="s">
        <v>4705</v>
      </c>
      <c r="M48" s="875"/>
      <c r="N48" s="875"/>
      <c r="O48" s="876"/>
    </row>
    <row r="49" spans="3:21" s="874" customFormat="1" ht="12.75" customHeight="1">
      <c r="C49" s="875"/>
      <c r="D49" s="875"/>
      <c r="E49" s="875"/>
      <c r="F49" s="875"/>
      <c r="G49" s="875"/>
      <c r="H49" s="875"/>
      <c r="I49" s="875"/>
      <c r="J49" s="876"/>
      <c r="K49" s="876"/>
      <c r="L49" s="876"/>
      <c r="M49" s="876"/>
      <c r="N49" s="875"/>
      <c r="O49" s="876"/>
    </row>
    <row r="50" spans="3:21" s="874" customFormat="1" ht="12.75" customHeight="1">
      <c r="C50" s="875"/>
      <c r="D50" s="875" t="s">
        <v>4691</v>
      </c>
      <c r="E50" s="875"/>
      <c r="F50" s="875"/>
      <c r="G50" s="875"/>
      <c r="H50" s="1091" t="s">
        <v>2450</v>
      </c>
      <c r="I50" s="876"/>
      <c r="J50" s="1091" t="s">
        <v>2450</v>
      </c>
      <c r="K50" s="876"/>
      <c r="L50" s="1091" t="s">
        <v>2450</v>
      </c>
      <c r="M50" s="876"/>
      <c r="N50" s="875"/>
      <c r="O50" s="876"/>
    </row>
    <row r="51" spans="3:21" s="874" customFormat="1" ht="15" customHeight="1">
      <c r="C51" s="875"/>
      <c r="D51" s="875"/>
      <c r="E51" s="875"/>
      <c r="F51" s="875"/>
      <c r="G51" s="875"/>
      <c r="H51" s="875"/>
      <c r="I51" s="875"/>
      <c r="J51" s="875"/>
      <c r="K51" s="875"/>
      <c r="L51" s="875"/>
      <c r="M51" s="875"/>
      <c r="N51" s="875"/>
      <c r="O51" s="875"/>
    </row>
    <row r="52" spans="3:21" s="874" customFormat="1" ht="12.75" customHeight="1"/>
    <row r="53" spans="3:21" s="874" customFormat="1" ht="14.25">
      <c r="C53" s="875"/>
      <c r="D53" s="875"/>
      <c r="E53" s="876"/>
      <c r="F53" s="876"/>
      <c r="G53" s="875"/>
      <c r="H53" s="876"/>
      <c r="I53" s="876"/>
      <c r="J53" s="876"/>
      <c r="K53" s="876"/>
      <c r="L53" s="876"/>
      <c r="M53" s="876"/>
      <c r="N53" s="876"/>
      <c r="O53" s="876"/>
      <c r="U53" s="886" t="s">
        <v>4707</v>
      </c>
    </row>
    <row r="54" spans="3:21" s="874" customFormat="1" ht="12.75" customHeight="1">
      <c r="C54" s="875"/>
      <c r="D54" s="1523" t="s">
        <v>4821</v>
      </c>
      <c r="E54" s="1523"/>
      <c r="F54" s="1523"/>
      <c r="G54" s="876"/>
      <c r="H54" s="876"/>
      <c r="I54" s="876"/>
      <c r="J54" s="876"/>
      <c r="K54" s="876"/>
      <c r="L54" s="876"/>
      <c r="M54" s="876"/>
      <c r="N54" s="876"/>
      <c r="O54" s="876"/>
    </row>
    <row r="55" spans="3:21" s="874" customFormat="1" ht="6" customHeight="1">
      <c r="C55" s="875"/>
      <c r="D55" s="1523"/>
      <c r="E55" s="1523"/>
      <c r="F55" s="1523"/>
      <c r="G55" s="876"/>
      <c r="H55" s="876"/>
      <c r="I55" s="876"/>
      <c r="J55" s="876"/>
      <c r="K55" s="876"/>
      <c r="L55" s="876"/>
      <c r="M55" s="876"/>
      <c r="N55" s="876"/>
      <c r="O55" s="876"/>
    </row>
    <row r="56" spans="3:21" s="874" customFormat="1" ht="12.75" customHeight="1">
      <c r="C56" s="875"/>
      <c r="D56" s="916"/>
      <c r="E56" s="875"/>
      <c r="F56" s="875"/>
      <c r="G56" s="875"/>
      <c r="H56" s="878" t="s">
        <v>4703</v>
      </c>
      <c r="I56" s="881"/>
      <c r="J56" s="878" t="s">
        <v>4704</v>
      </c>
      <c r="K56" s="881"/>
      <c r="L56" s="878" t="s">
        <v>4705</v>
      </c>
      <c r="M56" s="875"/>
      <c r="N56" s="878" t="s">
        <v>4696</v>
      </c>
      <c r="O56" s="876"/>
    </row>
    <row r="57" spans="3:21" s="874" customFormat="1" ht="12.75" customHeight="1">
      <c r="C57" s="875"/>
      <c r="D57" s="875"/>
      <c r="E57" s="875"/>
      <c r="F57" s="875"/>
      <c r="G57" s="875"/>
      <c r="H57" s="875"/>
      <c r="I57" s="875"/>
      <c r="J57" s="876"/>
      <c r="K57" s="876"/>
      <c r="L57" s="876"/>
      <c r="M57" s="876"/>
      <c r="N57" s="876"/>
      <c r="O57" s="876"/>
    </row>
    <row r="58" spans="3:21" s="874" customFormat="1" ht="12.75" customHeight="1">
      <c r="C58" s="875"/>
      <c r="D58" s="875" t="s">
        <v>4692</v>
      </c>
      <c r="E58" s="875"/>
      <c r="F58" s="875"/>
      <c r="G58" s="875"/>
      <c r="H58" s="1091">
        <v>80</v>
      </c>
      <c r="I58" s="875"/>
      <c r="J58" s="1091">
        <v>120</v>
      </c>
      <c r="K58" s="875"/>
      <c r="L58" s="1091">
        <v>120</v>
      </c>
      <c r="M58" s="875"/>
      <c r="N58" s="1091">
        <v>120</v>
      </c>
      <c r="O58" s="875"/>
    </row>
    <row r="59" spans="3:21" s="874" customFormat="1" ht="6" customHeight="1">
      <c r="C59" s="875"/>
      <c r="D59" s="875"/>
      <c r="E59" s="875"/>
      <c r="F59" s="875"/>
      <c r="G59" s="875"/>
      <c r="H59" s="875"/>
      <c r="I59" s="875"/>
      <c r="J59" s="875"/>
      <c r="K59" s="875"/>
      <c r="L59" s="875"/>
      <c r="M59" s="875"/>
      <c r="N59" s="875"/>
      <c r="O59" s="875"/>
    </row>
    <row r="60" spans="3:21" s="874" customFormat="1" ht="12.75" customHeight="1">
      <c r="C60" s="875"/>
      <c r="D60" s="917" t="s">
        <v>4678</v>
      </c>
      <c r="E60" s="875"/>
      <c r="F60" s="875"/>
      <c r="G60" s="875"/>
      <c r="H60" s="1229">
        <f>INDEX(obalEmp4GeneralTrainingHrsCompleted,xxIndexTeam)</f>
        <v>80</v>
      </c>
      <c r="I60" s="875"/>
      <c r="J60" s="1229">
        <f>INDEX(obalEmp3GeneralTrainingHrsCompleted,xxIndexTeam)</f>
        <v>120</v>
      </c>
      <c r="K60" s="875"/>
      <c r="L60" s="1229">
        <f>INDEX(obalEmp2GeneralTrainingHrsCompleted,xxIndexTeam)</f>
        <v>120</v>
      </c>
      <c r="M60" s="875"/>
      <c r="N60" s="1229">
        <f>INDEX(obalEmp6GeneralTrainingHrsCompleted,xxIndexTeam)</f>
        <v>120</v>
      </c>
      <c r="O60" s="875"/>
    </row>
    <row r="61" spans="3:21" s="874" customFormat="1" ht="12.75" customHeight="1">
      <c r="C61" s="875"/>
      <c r="D61" s="875"/>
      <c r="E61" s="875"/>
      <c r="F61" s="875"/>
      <c r="G61" s="875"/>
      <c r="H61" s="875"/>
      <c r="I61" s="875"/>
      <c r="J61" s="875"/>
      <c r="K61" s="875"/>
      <c r="L61" s="875"/>
      <c r="M61" s="875"/>
      <c r="N61" s="875"/>
      <c r="O61" s="875"/>
    </row>
    <row r="62" spans="3:21" s="874" customFormat="1" ht="12.75" customHeight="1">
      <c r="C62" s="875"/>
      <c r="D62" s="875" t="s">
        <v>4878</v>
      </c>
      <c r="E62" s="875"/>
      <c r="F62" s="875"/>
      <c r="G62" s="875"/>
      <c r="H62" s="1088">
        <v>4250</v>
      </c>
      <c r="I62" s="875"/>
      <c r="J62" s="1088">
        <v>4250</v>
      </c>
      <c r="K62" s="875"/>
      <c r="L62" s="1088">
        <v>4250</v>
      </c>
      <c r="M62" s="875"/>
      <c r="N62" s="1088">
        <v>1500</v>
      </c>
      <c r="O62" s="875"/>
    </row>
    <row r="63" spans="3:21" s="874" customFormat="1" ht="6" customHeight="1">
      <c r="C63" s="875"/>
      <c r="D63" s="875"/>
      <c r="E63" s="875"/>
      <c r="F63" s="875"/>
      <c r="G63" s="875"/>
      <c r="H63" s="875"/>
      <c r="I63" s="875"/>
      <c r="J63" s="875"/>
      <c r="K63" s="875"/>
      <c r="L63" s="875"/>
      <c r="M63" s="875"/>
      <c r="N63" s="875"/>
      <c r="O63" s="875"/>
    </row>
    <row r="64" spans="3:21" s="874" customFormat="1" ht="12.75" customHeight="1">
      <c r="C64" s="875"/>
      <c r="D64" s="917" t="s">
        <v>4678</v>
      </c>
      <c r="E64" s="875"/>
      <c r="F64" s="875"/>
      <c r="G64" s="875"/>
      <c r="H64" s="1231">
        <f>INDEX(obalEmp4GeneralTrainingBudget,xxIndexTeam)</f>
        <v>4250</v>
      </c>
      <c r="I64" s="875"/>
      <c r="J64" s="1231">
        <f>INDEX(obalEmp3GeneralTrainingBudget,xxIndexTeam)</f>
        <v>4250</v>
      </c>
      <c r="K64" s="875"/>
      <c r="L64" s="1231">
        <f>INDEX(obalEmp2GeneralTrainingBudget,xxIndexTeam)</f>
        <v>4250</v>
      </c>
      <c r="M64" s="875"/>
      <c r="N64" s="1231">
        <f>INDEX(obalEmp6GeneralTrainingBudget,xxIndexTeam)</f>
        <v>1500</v>
      </c>
      <c r="O64" s="875"/>
    </row>
    <row r="65" spans="3:15" s="874" customFormat="1" ht="6" customHeight="1">
      <c r="C65" s="875"/>
      <c r="D65" s="875"/>
      <c r="E65" s="875"/>
      <c r="F65" s="875"/>
      <c r="G65" s="875"/>
      <c r="H65" s="875"/>
      <c r="I65" s="875"/>
      <c r="J65" s="875"/>
      <c r="K65" s="875"/>
      <c r="L65" s="875"/>
      <c r="M65" s="875"/>
      <c r="N65" s="875"/>
      <c r="O65" s="875"/>
    </row>
    <row r="66" spans="3:15" s="874" customFormat="1" ht="12.75" customHeight="1"/>
    <row r="67" spans="3:15" s="874" customFormat="1" ht="6" customHeight="1">
      <c r="C67" s="875"/>
      <c r="D67" s="875"/>
      <c r="E67" s="876"/>
      <c r="F67" s="876"/>
      <c r="G67" s="875"/>
      <c r="H67" s="876"/>
      <c r="I67" s="876"/>
      <c r="J67" s="876"/>
      <c r="K67" s="876"/>
      <c r="L67" s="876"/>
      <c r="M67" s="876"/>
      <c r="N67" s="876"/>
      <c r="O67" s="876"/>
    </row>
    <row r="68" spans="3:15" s="874" customFormat="1" ht="12.75" customHeight="1">
      <c r="C68" s="875"/>
      <c r="D68" s="1523" t="s">
        <v>4778</v>
      </c>
      <c r="E68" s="1523"/>
      <c r="F68" s="1523"/>
      <c r="G68" s="1523"/>
      <c r="H68" s="1523"/>
      <c r="I68" s="876"/>
      <c r="J68" s="876"/>
      <c r="K68" s="876"/>
      <c r="L68" s="876"/>
      <c r="M68" s="876"/>
      <c r="N68" s="876"/>
      <c r="O68" s="876"/>
    </row>
    <row r="69" spans="3:15" s="874" customFormat="1" ht="6" customHeight="1">
      <c r="C69" s="875"/>
      <c r="D69" s="1523"/>
      <c r="E69" s="1523"/>
      <c r="F69" s="1523"/>
      <c r="G69" s="1523"/>
      <c r="H69" s="1523"/>
      <c r="I69" s="876"/>
      <c r="J69" s="876"/>
      <c r="K69" s="876"/>
      <c r="L69" s="876"/>
      <c r="M69" s="876"/>
      <c r="N69" s="876"/>
      <c r="O69" s="876"/>
    </row>
    <row r="70" spans="3:15" s="874" customFormat="1" ht="12.75" customHeight="1">
      <c r="C70" s="875"/>
      <c r="D70" s="875"/>
      <c r="E70" s="875"/>
      <c r="F70" s="875"/>
      <c r="G70" s="875"/>
      <c r="H70" s="875"/>
      <c r="I70" s="875"/>
      <c r="J70" s="876"/>
      <c r="K70" s="876"/>
      <c r="L70" s="876"/>
      <c r="M70" s="876"/>
      <c r="N70" s="876"/>
      <c r="O70" s="876"/>
    </row>
    <row r="71" spans="3:15" s="874" customFormat="1" ht="12.75" customHeight="1">
      <c r="C71" s="875"/>
      <c r="D71" s="875" t="s">
        <v>4927</v>
      </c>
      <c r="E71" s="875"/>
      <c r="F71" s="875"/>
      <c r="G71" s="875"/>
      <c r="H71" s="1091">
        <v>3</v>
      </c>
      <c r="I71" s="875"/>
      <c r="J71" s="875" t="s">
        <v>4774</v>
      </c>
      <c r="K71" s="875"/>
      <c r="L71" s="875"/>
      <c r="M71" s="875"/>
      <c r="N71" s="1091">
        <v>3</v>
      </c>
      <c r="O71" s="875"/>
    </row>
    <row r="72" spans="3:15" s="874" customFormat="1" ht="6" customHeight="1">
      <c r="C72" s="875"/>
      <c r="D72" s="875"/>
      <c r="E72" s="875"/>
      <c r="F72" s="875"/>
      <c r="G72" s="875"/>
      <c r="H72" s="875"/>
      <c r="I72" s="875"/>
      <c r="J72" s="875"/>
      <c r="K72" s="875"/>
      <c r="L72" s="875"/>
      <c r="M72" s="875"/>
      <c r="N72" s="875"/>
      <c r="O72" s="875"/>
    </row>
    <row r="73" spans="3:15" s="874" customFormat="1" ht="12.75" customHeight="1">
      <c r="C73" s="875"/>
      <c r="D73" s="917" t="s">
        <v>4783</v>
      </c>
      <c r="E73" s="875"/>
      <c r="F73" s="875"/>
      <c r="G73" s="875"/>
      <c r="H73" s="1229">
        <f>INDEX(cbalIndustryEminence,xxIndexTeam)</f>
        <v>4</v>
      </c>
      <c r="I73" s="875"/>
      <c r="J73" s="917" t="s">
        <v>4783</v>
      </c>
      <c r="K73" s="875"/>
      <c r="L73" s="875"/>
      <c r="M73" s="875"/>
      <c r="N73" s="1229">
        <f>INDEX(cbalInternalAssets,xxIndexTeam)</f>
        <v>7</v>
      </c>
      <c r="O73" s="875"/>
    </row>
    <row r="74" spans="3:15" s="874" customFormat="1" ht="12.75" customHeight="1">
      <c r="C74" s="875"/>
      <c r="D74" s="875"/>
      <c r="E74" s="875"/>
      <c r="F74" s="875"/>
      <c r="G74" s="875"/>
      <c r="H74" s="875"/>
      <c r="I74" s="875"/>
      <c r="J74" s="875"/>
      <c r="K74" s="875"/>
      <c r="L74" s="875"/>
      <c r="M74" s="875"/>
      <c r="N74" s="875"/>
      <c r="O74" s="875"/>
    </row>
    <row r="75" spans="3:15" s="874" customFormat="1" ht="12.75" customHeight="1"/>
    <row r="76" spans="3:15" s="874" customFormat="1" ht="12.75" customHeight="1"/>
    <row r="77" spans="3:15" s="874" customFormat="1" ht="12.75" customHeight="1"/>
    <row r="78" spans="3:15" s="874" customFormat="1" ht="12.75" customHeight="1"/>
    <row r="79" spans="3:15" s="874" customFormat="1" ht="12.75" customHeight="1"/>
    <row r="80" spans="3:15" s="874" customFormat="1" ht="12.75" customHeight="1"/>
    <row r="81" s="874" customFormat="1" ht="12.75" customHeight="1"/>
    <row r="82" s="874" customFormat="1" ht="12.75" customHeight="1"/>
    <row r="83" s="874" customFormat="1" ht="12.75" customHeight="1"/>
    <row r="84" s="874" customFormat="1" ht="12.75" customHeight="1"/>
    <row r="85" s="874" customFormat="1" ht="12.75" customHeight="1"/>
    <row r="86" s="874" customFormat="1" ht="12.75" customHeight="1"/>
    <row r="87" s="874" customFormat="1" ht="12.75" customHeight="1"/>
    <row r="88" s="874" customFormat="1" ht="12.75" customHeight="1"/>
    <row r="89" s="874" customFormat="1" ht="12.75" customHeight="1"/>
    <row r="90" s="874" customFormat="1" ht="12.75" customHeight="1"/>
    <row r="91" s="874" customFormat="1" ht="12.75" customHeight="1"/>
    <row r="92" s="874" customFormat="1" ht="12.75" customHeight="1"/>
    <row r="93" s="874" customFormat="1" ht="12.75" customHeight="1"/>
    <row r="94" s="874" customFormat="1" ht="12.75" customHeight="1"/>
    <row r="95" s="874" customFormat="1" ht="12.75" customHeight="1"/>
    <row r="96" s="874" customFormat="1" ht="12.75" customHeight="1"/>
    <row r="97" s="874" customFormat="1" ht="12.75" customHeight="1"/>
    <row r="98" s="874" customFormat="1" ht="12.75" customHeight="1"/>
    <row r="99" s="874" customFormat="1" ht="12.75" customHeight="1"/>
    <row r="100" s="874" customFormat="1" ht="12.75" customHeight="1"/>
    <row r="101" s="874" customFormat="1" ht="12.75" customHeight="1"/>
    <row r="102" s="874" customFormat="1" ht="12.75" customHeight="1"/>
    <row r="103" s="874" customFormat="1" ht="12.75" customHeight="1"/>
    <row r="104" s="874" customFormat="1" ht="12.75" customHeight="1"/>
    <row r="105" s="874" customFormat="1" ht="12.75" customHeight="1"/>
    <row r="106" s="874" customFormat="1" ht="12.75" customHeight="1"/>
    <row r="107" s="874" customFormat="1" ht="12.75" customHeight="1"/>
    <row r="108" s="874" customFormat="1" ht="12.75" customHeight="1"/>
    <row r="109" s="874" customFormat="1" ht="12.75" customHeight="1"/>
    <row r="110" s="874" customFormat="1" ht="12.75" customHeight="1"/>
    <row r="111" s="874" customFormat="1" ht="12.75" customHeight="1"/>
    <row r="112" s="874" customFormat="1" ht="12.75" customHeight="1"/>
    <row r="113" s="874" customFormat="1" ht="12.75" customHeight="1"/>
    <row r="114" s="874" customFormat="1" ht="12.75" customHeight="1"/>
    <row r="115" s="874" customFormat="1" ht="12.75" customHeight="1"/>
    <row r="116" s="874" customFormat="1" ht="12.75" customHeight="1"/>
    <row r="117" s="874" customFormat="1" ht="12.75" customHeight="1"/>
    <row r="118" s="874" customFormat="1" ht="12.75" customHeight="1"/>
    <row r="119" s="874" customFormat="1" ht="12.75" customHeight="1"/>
    <row r="120" s="874" customFormat="1" ht="12.75" customHeight="1"/>
    <row r="121" s="874" customFormat="1" ht="12.75" customHeight="1"/>
    <row r="122" s="874" customFormat="1" ht="12.75" customHeight="1"/>
    <row r="123" s="874" customFormat="1" ht="12.75" customHeight="1"/>
    <row r="124" s="874" customFormat="1" ht="12.75" customHeight="1"/>
    <row r="125" s="874" customFormat="1" ht="12.75" customHeight="1"/>
    <row r="126" s="874" customFormat="1" ht="12.75" customHeight="1"/>
    <row r="127" s="874" customFormat="1" ht="12.75" customHeight="1"/>
    <row r="128" s="874" customFormat="1" ht="12.75" customHeight="1"/>
    <row r="129" s="874" customFormat="1" ht="12.75" customHeight="1"/>
    <row r="130" s="874" customFormat="1" ht="12.75" customHeight="1"/>
    <row r="131" s="874" customFormat="1" ht="12.75" customHeight="1"/>
    <row r="132" s="874" customFormat="1" ht="12.75" customHeight="1"/>
    <row r="133" s="874" customFormat="1" ht="12.75" customHeight="1"/>
    <row r="134" s="874" customFormat="1" ht="12.75" customHeight="1"/>
    <row r="135" s="874" customFormat="1" ht="12.75" customHeight="1"/>
    <row r="136" s="874" customFormat="1" ht="12.75" customHeight="1"/>
    <row r="137" s="874" customFormat="1" ht="12.75" customHeight="1"/>
    <row r="138" s="874" customFormat="1" ht="12.75" customHeight="1"/>
    <row r="139" s="874" customFormat="1" ht="12.75" customHeight="1"/>
    <row r="140" s="874" customFormat="1" ht="12.75" customHeight="1"/>
    <row r="141" s="874" customFormat="1" ht="12.75" customHeight="1"/>
    <row r="142" s="874" customFormat="1" ht="12.75" customHeight="1"/>
    <row r="143" s="874" customFormat="1" ht="12.75" customHeight="1"/>
    <row r="144" s="874" customFormat="1" ht="12.75" customHeight="1"/>
    <row r="145" s="874" customFormat="1" ht="12.75" customHeight="1"/>
    <row r="146" s="874" customFormat="1" ht="12.75" customHeight="1"/>
    <row r="147" s="874" customFormat="1" ht="12.75" customHeight="1"/>
    <row r="148" s="874" customFormat="1" ht="12.75" customHeight="1"/>
    <row r="149" s="874" customFormat="1" ht="12.75" customHeight="1"/>
    <row r="150" s="874" customFormat="1" ht="12.75" customHeight="1"/>
    <row r="151" s="874" customFormat="1" ht="12.75" customHeight="1"/>
    <row r="152" s="874" customFormat="1" ht="12.75" customHeight="1"/>
    <row r="153" s="874" customFormat="1" ht="12.75" customHeight="1"/>
    <row r="154" s="874" customFormat="1" ht="12.75" customHeight="1"/>
    <row r="155" s="874" customFormat="1" ht="12.75" customHeight="1"/>
    <row r="156" s="874" customFormat="1" ht="12.75" customHeight="1"/>
    <row r="157" s="874" customFormat="1" ht="12.75" customHeight="1"/>
    <row r="158" s="874" customFormat="1" ht="12.75" customHeight="1"/>
    <row r="159" s="874" customFormat="1" ht="12.75" customHeight="1"/>
    <row r="160" s="874" customFormat="1" ht="12.75" customHeight="1"/>
    <row r="161" spans="16:22" s="874" customFormat="1" ht="12.75" customHeight="1"/>
    <row r="162" spans="16:22" s="874" customFormat="1" ht="12.75" customHeight="1"/>
    <row r="163" spans="16:22" s="874" customFormat="1" ht="12.75" customHeight="1"/>
    <row r="164" spans="16:22" s="874" customFormat="1" ht="12.75" customHeight="1"/>
    <row r="165" spans="16:22" s="874" customFormat="1" ht="12.75" customHeight="1"/>
    <row r="166" spans="16:22" s="874" customFormat="1" ht="12.75" customHeight="1"/>
    <row r="167" spans="16:22" s="874" customFormat="1" ht="12.75" customHeight="1"/>
    <row r="168" spans="16:22" s="874" customFormat="1" ht="12.75" customHeight="1"/>
    <row r="169" spans="16:22" s="874" customFormat="1" ht="12.75" customHeight="1"/>
    <row r="170" spans="16:22" s="874" customFormat="1" ht="12.75" customHeight="1"/>
    <row r="171" spans="16:22" s="874" customFormat="1" ht="12.75" customHeight="1"/>
    <row r="172" spans="16:22" s="874" customFormat="1" ht="12.75" customHeight="1"/>
    <row r="173" spans="16:22" s="874" customFormat="1" ht="12.75" customHeight="1"/>
    <row r="174" spans="16:22" s="874" customFormat="1" ht="12.75" customHeight="1"/>
    <row r="175" spans="16:22" s="874" customFormat="1" ht="12.75" customHeight="1"/>
    <row r="176" spans="16:22" ht="12.75">
      <c r="P176" s="874"/>
      <c r="Q176" s="874"/>
      <c r="R176" s="874"/>
      <c r="S176" s="874"/>
      <c r="T176" s="874"/>
      <c r="U176" s="874"/>
      <c r="V176" s="874"/>
    </row>
    <row r="177" spans="2:39" ht="6" customHeight="1">
      <c r="B177" s="178"/>
      <c r="C177" s="253"/>
      <c r="D177" s="252"/>
      <c r="E177" s="252"/>
      <c r="F177" s="310"/>
      <c r="G177" s="272"/>
      <c r="H177" s="272"/>
      <c r="I177" s="272"/>
      <c r="J177" s="310"/>
      <c r="K177" s="252"/>
      <c r="L177" s="310"/>
      <c r="M177" s="272"/>
      <c r="N177" s="310"/>
      <c r="O177" s="252"/>
      <c r="P177" s="874"/>
      <c r="Q177" s="874"/>
      <c r="R177" s="874"/>
      <c r="S177" s="874"/>
      <c r="T177" s="874"/>
      <c r="U177" s="874"/>
      <c r="V177" s="874"/>
      <c r="AA177" s="102">
        <v>5</v>
      </c>
    </row>
    <row r="178" spans="2:39" ht="18">
      <c r="B178" s="178"/>
      <c r="C178" s="253"/>
      <c r="D178" s="557" t="s">
        <v>541</v>
      </c>
      <c r="E178" s="557"/>
      <c r="F178" s="257"/>
      <c r="G178" s="257"/>
      <c r="H178" s="252"/>
      <c r="I178" s="252"/>
      <c r="J178" s="252"/>
      <c r="K178" s="252"/>
      <c r="L178" s="252"/>
      <c r="M178" s="252"/>
      <c r="N178" s="252"/>
      <c r="O178" s="252"/>
      <c r="P178" s="874"/>
      <c r="Q178" s="874"/>
      <c r="R178" s="874"/>
      <c r="S178" s="874"/>
      <c r="T178" s="874"/>
      <c r="U178" s="874"/>
      <c r="V178" s="874"/>
    </row>
    <row r="179" spans="2:39" ht="15.75">
      <c r="B179" s="178"/>
      <c r="C179" s="253"/>
      <c r="D179" s="258"/>
      <c r="E179" s="258"/>
      <c r="F179" s="252"/>
      <c r="G179" s="252"/>
      <c r="H179" s="252"/>
      <c r="I179" s="252"/>
      <c r="J179" s="252"/>
      <c r="K179" s="252"/>
      <c r="L179" s="252"/>
      <c r="M179" s="252"/>
      <c r="N179" s="255" t="s">
        <v>3382</v>
      </c>
      <c r="O179" s="252"/>
      <c r="P179" s="874"/>
      <c r="Q179" s="874"/>
      <c r="R179" s="874"/>
      <c r="S179" s="874"/>
      <c r="T179" s="874"/>
      <c r="U179" s="874"/>
      <c r="V179" s="874"/>
    </row>
    <row r="180" spans="2:39" ht="3" customHeight="1" thickBot="1">
      <c r="B180" s="178"/>
      <c r="C180" s="253"/>
      <c r="D180" s="252"/>
      <c r="E180" s="252"/>
      <c r="F180" s="252"/>
      <c r="G180" s="252"/>
      <c r="H180" s="252"/>
      <c r="I180" s="252"/>
      <c r="J180" s="252"/>
      <c r="K180" s="252"/>
      <c r="L180" s="252"/>
      <c r="M180" s="252"/>
      <c r="N180" s="252"/>
      <c r="O180" s="252"/>
      <c r="P180" s="874"/>
      <c r="Q180" s="874"/>
    </row>
    <row r="181" spans="2:39" ht="13.5" thickBot="1">
      <c r="B181" s="178"/>
      <c r="C181" s="253"/>
      <c r="D181" s="257" t="s">
        <v>1147</v>
      </c>
      <c r="E181" s="257"/>
      <c r="G181" s="252"/>
      <c r="H181" s="252"/>
      <c r="I181" s="252"/>
      <c r="J181" s="257" t="s">
        <v>518</v>
      </c>
      <c r="K181" s="257"/>
      <c r="M181" s="252"/>
      <c r="N181" s="279">
        <f>(tlInputProd1Adv*1000)/INDEX(finPNLTotalRev,xxIndexTeam)</f>
        <v>3.7404150918295284E-2</v>
      </c>
      <c r="O181" s="252"/>
      <c r="P181" s="874"/>
      <c r="Q181" s="874"/>
    </row>
    <row r="182" spans="2:39" ht="13.5" thickBot="1">
      <c r="B182" s="178"/>
      <c r="C182" s="253"/>
      <c r="D182" s="257"/>
      <c r="E182" s="257"/>
      <c r="F182" s="257"/>
      <c r="G182" s="257"/>
      <c r="H182" s="257"/>
      <c r="I182" s="257"/>
      <c r="J182" s="257"/>
      <c r="K182" s="257"/>
      <c r="L182" s="257"/>
      <c r="M182" s="257"/>
      <c r="N182" s="601"/>
      <c r="O182" s="252"/>
      <c r="P182" s="874"/>
      <c r="Q182" s="874"/>
    </row>
    <row r="183" spans="2:39" ht="13.5" thickBot="1">
      <c r="B183" s="178"/>
      <c r="C183" s="253"/>
      <c r="D183" s="257" t="s">
        <v>2262</v>
      </c>
      <c r="E183" s="257"/>
      <c r="F183" s="368">
        <v>825</v>
      </c>
      <c r="G183" s="252" t="s">
        <v>3672</v>
      </c>
      <c r="H183" s="257"/>
      <c r="I183" s="257"/>
      <c r="J183" s="257" t="s">
        <v>2263</v>
      </c>
      <c r="K183" s="696"/>
      <c r="M183" s="252" t="s">
        <v>3672</v>
      </c>
      <c r="N183" s="601"/>
      <c r="O183" s="252"/>
      <c r="P183" s="874"/>
      <c r="Q183" s="874"/>
    </row>
    <row r="184" spans="2:39" ht="12.75">
      <c r="B184" s="178"/>
      <c r="C184" s="253"/>
      <c r="D184" s="257"/>
      <c r="E184" s="257"/>
      <c r="F184" s="257"/>
      <c r="G184" s="257"/>
      <c r="H184" s="257"/>
      <c r="I184" s="257"/>
      <c r="J184" s="257"/>
      <c r="K184" s="257"/>
      <c r="L184" s="257"/>
      <c r="M184" s="257"/>
      <c r="N184" s="601"/>
      <c r="O184" s="252"/>
      <c r="P184" s="874"/>
      <c r="Q184" s="874"/>
    </row>
    <row r="185" spans="2:39" ht="13.5" thickBot="1">
      <c r="B185" s="178"/>
      <c r="C185" s="598"/>
      <c r="D185" s="599"/>
      <c r="E185" s="599"/>
      <c r="F185" s="599"/>
      <c r="G185" s="599"/>
      <c r="H185" s="600"/>
      <c r="I185" s="600"/>
      <c r="J185" s="600"/>
      <c r="K185" s="600"/>
      <c r="L185" s="600"/>
      <c r="M185" s="600"/>
      <c r="N185" s="600"/>
      <c r="O185" s="600"/>
      <c r="P185" s="874"/>
      <c r="Q185" s="874"/>
    </row>
    <row r="186" spans="2:39" ht="9" customHeight="1" thickTop="1">
      <c r="B186" s="178"/>
      <c r="C186" s="253"/>
      <c r="D186" s="252"/>
      <c r="E186" s="252"/>
      <c r="F186" s="257"/>
      <c r="G186" s="272"/>
      <c r="H186" s="257"/>
      <c r="I186" s="272"/>
      <c r="J186" s="272"/>
      <c r="K186" s="272"/>
      <c r="L186" s="310"/>
      <c r="M186" s="272"/>
      <c r="N186" s="310"/>
      <c r="O186" s="252"/>
      <c r="P186" s="874"/>
      <c r="Q186" s="874"/>
    </row>
    <row r="187" spans="2:39" ht="15" customHeight="1">
      <c r="B187" s="178"/>
      <c r="C187" s="253"/>
      <c r="D187" s="252"/>
      <c r="E187" s="252"/>
      <c r="F187" s="257"/>
      <c r="G187" s="272"/>
      <c r="H187" s="257"/>
      <c r="I187" s="272"/>
      <c r="J187" s="272"/>
      <c r="K187" s="272"/>
      <c r="L187" s="310"/>
      <c r="M187" s="272"/>
      <c r="N187" s="310"/>
      <c r="O187" s="252"/>
      <c r="P187" s="874"/>
      <c r="Q187" s="874"/>
      <c r="AJ187" s="1330"/>
      <c r="AK187" s="1330" t="s">
        <v>4196</v>
      </c>
      <c r="AL187" s="1330" t="s">
        <v>13</v>
      </c>
      <c r="AM187" s="1330"/>
    </row>
    <row r="188" spans="2:39" ht="15" customHeight="1">
      <c r="B188" s="178"/>
      <c r="C188" s="253"/>
      <c r="D188" s="252"/>
      <c r="E188" s="252"/>
      <c r="F188" s="257"/>
      <c r="G188" s="272"/>
      <c r="H188" s="257"/>
      <c r="I188" s="272"/>
      <c r="J188" s="272"/>
      <c r="K188" s="272"/>
      <c r="L188" s="310"/>
      <c r="M188" s="272"/>
      <c r="N188" s="310"/>
      <c r="O188" s="252"/>
      <c r="P188" s="874"/>
      <c r="Q188" s="874"/>
      <c r="AJ188" s="1330" t="s">
        <v>3407</v>
      </c>
      <c r="AK188" s="1471">
        <v>200528.38790016761</v>
      </c>
      <c r="AL188" s="1471"/>
      <c r="AM188" s="1330"/>
    </row>
    <row r="189" spans="2:39" ht="15" customHeight="1">
      <c r="B189" s="178"/>
      <c r="C189" s="253"/>
      <c r="D189" s="252"/>
      <c r="E189" s="252"/>
      <c r="F189" s="257"/>
      <c r="G189" s="272"/>
      <c r="H189" s="257"/>
      <c r="I189" s="272"/>
      <c r="J189" s="272"/>
      <c r="K189" s="272"/>
      <c r="L189" s="310"/>
      <c r="M189" s="272"/>
      <c r="N189" s="310"/>
      <c r="O189" s="252"/>
      <c r="P189" s="874"/>
      <c r="Q189" s="874"/>
      <c r="AJ189" s="1330" t="s">
        <v>4500</v>
      </c>
      <c r="AK189" s="1471">
        <v>94031.388325443928</v>
      </c>
      <c r="AL189" s="1471">
        <v>563306.07299999997</v>
      </c>
      <c r="AM189" s="1330"/>
    </row>
    <row r="190" spans="2:39" ht="15" customHeight="1">
      <c r="B190" s="178"/>
      <c r="C190" s="253"/>
      <c r="D190" s="252"/>
      <c r="E190" s="252"/>
      <c r="F190" s="257"/>
      <c r="G190" s="272"/>
      <c r="H190" s="257"/>
      <c r="I190" s="272"/>
      <c r="J190" s="272"/>
      <c r="K190" s="272"/>
      <c r="L190" s="310"/>
      <c r="M190" s="272"/>
      <c r="N190" s="310"/>
      <c r="O190" s="252"/>
      <c r="P190" s="874"/>
      <c r="Q190" s="874"/>
    </row>
    <row r="191" spans="2:39" ht="15" customHeight="1">
      <c r="B191" s="178"/>
      <c r="C191" s="253"/>
      <c r="D191" s="252"/>
      <c r="E191" s="252"/>
      <c r="F191" s="257"/>
      <c r="G191" s="272"/>
      <c r="H191" s="257"/>
      <c r="I191" s="272"/>
      <c r="J191" s="272"/>
      <c r="K191" s="272"/>
      <c r="L191" s="310"/>
      <c r="M191" s="272"/>
      <c r="N191" s="310"/>
      <c r="O191" s="252"/>
      <c r="P191" s="874"/>
      <c r="Q191" s="874"/>
    </row>
    <row r="192" spans="2:39" ht="15" customHeight="1">
      <c r="B192" s="178"/>
      <c r="C192" s="253"/>
      <c r="D192" s="252"/>
      <c r="E192" s="252"/>
      <c r="F192" s="257"/>
      <c r="G192" s="272"/>
      <c r="H192" s="257"/>
      <c r="I192" s="272"/>
      <c r="J192" s="272"/>
      <c r="K192" s="272"/>
      <c r="L192" s="310"/>
      <c r="M192" s="272"/>
      <c r="N192" s="310"/>
      <c r="O192" s="252"/>
      <c r="P192" s="874"/>
      <c r="Q192" s="874"/>
    </row>
    <row r="193" spans="2:17" ht="15" customHeight="1">
      <c r="B193" s="178"/>
      <c r="C193" s="253"/>
      <c r="D193" s="252"/>
      <c r="E193" s="252"/>
      <c r="F193" s="257"/>
      <c r="G193" s="272"/>
      <c r="H193" s="257"/>
      <c r="I193" s="272"/>
      <c r="J193" s="272"/>
      <c r="K193" s="272"/>
      <c r="L193" s="310"/>
      <c r="M193" s="272"/>
      <c r="N193" s="310"/>
      <c r="O193" s="252"/>
      <c r="P193" s="874"/>
      <c r="Q193" s="874"/>
    </row>
    <row r="194" spans="2:17" ht="15" customHeight="1">
      <c r="B194" s="178"/>
      <c r="C194" s="253"/>
      <c r="D194" s="252"/>
      <c r="E194" s="252"/>
      <c r="F194" s="257"/>
      <c r="G194" s="272"/>
      <c r="H194" s="257"/>
      <c r="I194" s="272"/>
      <c r="J194" s="272"/>
      <c r="K194" s="272"/>
      <c r="L194" s="310"/>
      <c r="M194" s="272"/>
      <c r="N194" s="310"/>
      <c r="O194" s="252"/>
      <c r="P194" s="874"/>
      <c r="Q194" s="874"/>
    </row>
    <row r="195" spans="2:17" ht="15" customHeight="1">
      <c r="B195" s="178"/>
      <c r="C195" s="253"/>
      <c r="D195" s="252"/>
      <c r="E195" s="252"/>
      <c r="F195" s="257"/>
      <c r="G195" s="272"/>
      <c r="H195" s="257"/>
      <c r="I195" s="272"/>
      <c r="J195" s="272"/>
      <c r="K195" s="272"/>
      <c r="L195" s="310"/>
      <c r="M195" s="272"/>
      <c r="N195" s="310"/>
      <c r="O195" s="252"/>
      <c r="P195" s="874"/>
      <c r="Q195" s="874"/>
    </row>
    <row r="196" spans="2:17" ht="15" customHeight="1">
      <c r="B196" s="178"/>
      <c r="C196" s="253"/>
      <c r="D196" s="252"/>
      <c r="E196" s="252"/>
      <c r="F196" s="257"/>
      <c r="G196" s="272"/>
      <c r="H196" s="257"/>
      <c r="I196" s="272"/>
      <c r="J196" s="272"/>
      <c r="K196" s="272"/>
      <c r="L196" s="310"/>
      <c r="M196" s="272"/>
      <c r="N196" s="310"/>
      <c r="O196" s="252"/>
      <c r="P196" s="874"/>
      <c r="Q196" s="874"/>
    </row>
    <row r="197" spans="2:17" ht="15" customHeight="1">
      <c r="B197" s="178"/>
      <c r="C197" s="253"/>
      <c r="D197" s="252"/>
      <c r="E197" s="252"/>
      <c r="F197" s="257"/>
      <c r="G197" s="272"/>
      <c r="H197" s="257"/>
      <c r="I197" s="272"/>
      <c r="J197" s="272"/>
      <c r="K197" s="272"/>
      <c r="L197" s="310"/>
      <c r="M197" s="272"/>
      <c r="N197" s="310"/>
      <c r="O197" s="252"/>
      <c r="P197" s="874"/>
      <c r="Q197" s="874"/>
    </row>
    <row r="198" spans="2:17" ht="9" customHeight="1" thickBot="1">
      <c r="B198" s="178"/>
      <c r="C198" s="253"/>
      <c r="D198" s="252"/>
      <c r="E198" s="252"/>
      <c r="F198" s="257"/>
      <c r="G198" s="272"/>
      <c r="H198" s="257"/>
      <c r="I198" s="272"/>
      <c r="J198" s="272"/>
      <c r="K198" s="272"/>
      <c r="L198" s="310"/>
      <c r="M198" s="272"/>
      <c r="N198" s="310"/>
      <c r="O198" s="252"/>
      <c r="P198" s="874"/>
      <c r="Q198" s="874"/>
    </row>
    <row r="199" spans="2:17" ht="16.5" thickBot="1">
      <c r="B199" s="178"/>
      <c r="C199" s="253"/>
      <c r="D199" s="252"/>
      <c r="E199" s="252"/>
      <c r="F199" s="257"/>
      <c r="G199" s="272"/>
      <c r="H199" s="257"/>
      <c r="I199" s="272"/>
      <c r="J199" s="257" t="s">
        <v>3643</v>
      </c>
      <c r="K199" s="272"/>
      <c r="L199" s="276">
        <f>INDEX(capBusATotalForecastPctStaffed,xxIndexTeam)</f>
        <v>0.56603283301096352</v>
      </c>
      <c r="M199" s="272"/>
      <c r="N199" s="310"/>
      <c r="O199" s="252"/>
      <c r="P199" s="874"/>
      <c r="Q199" s="874"/>
    </row>
    <row r="200" spans="2:17" ht="12.75">
      <c r="B200" s="178"/>
      <c r="C200" s="253"/>
      <c r="D200" s="252"/>
      <c r="E200" s="252"/>
      <c r="F200" s="257"/>
      <c r="G200" s="272"/>
      <c r="H200" s="257"/>
      <c r="I200" s="272"/>
      <c r="J200" s="257"/>
      <c r="K200" s="272"/>
      <c r="L200" s="310"/>
      <c r="M200" s="310"/>
      <c r="N200" s="310"/>
      <c r="O200" s="252"/>
      <c r="P200" s="874"/>
      <c r="Q200" s="874"/>
    </row>
    <row r="201" spans="2:17" ht="12.75">
      <c r="B201" s="178"/>
      <c r="C201" s="253"/>
      <c r="D201" s="632"/>
      <c r="E201" s="633"/>
      <c r="F201" s="634" t="s">
        <v>3145</v>
      </c>
      <c r="G201" s="635"/>
      <c r="H201" s="634" t="s">
        <v>2269</v>
      </c>
      <c r="I201" s="635"/>
      <c r="J201" s="634" t="s">
        <v>2268</v>
      </c>
      <c r="K201" s="635"/>
      <c r="L201" s="636"/>
      <c r="M201" s="636"/>
      <c r="N201" s="636"/>
      <c r="O201" s="637"/>
      <c r="P201" s="874"/>
      <c r="Q201" s="874"/>
    </row>
    <row r="202" spans="2:17" ht="12.75">
      <c r="B202" s="178"/>
      <c r="C202" s="253"/>
      <c r="D202" s="638"/>
      <c r="E202" s="639"/>
      <c r="F202" s="640" t="s">
        <v>2906</v>
      </c>
      <c r="G202" s="641"/>
      <c r="H202" s="640" t="s">
        <v>2906</v>
      </c>
      <c r="I202" s="641"/>
      <c r="J202" s="640" t="s">
        <v>2906</v>
      </c>
      <c r="K202" s="641"/>
      <c r="L202" s="642"/>
      <c r="M202" s="642"/>
      <c r="N202" s="642"/>
      <c r="O202" s="643"/>
      <c r="P202" s="874"/>
      <c r="Q202" s="874"/>
    </row>
    <row r="203" spans="2:17" ht="12.75">
      <c r="B203" s="178"/>
      <c r="C203" s="253"/>
      <c r="D203" s="644" t="s">
        <v>2975</v>
      </c>
      <c r="E203" s="641"/>
      <c r="F203" s="645"/>
      <c r="G203" s="641"/>
      <c r="H203" s="645"/>
      <c r="I203" s="641"/>
      <c r="J203" s="645"/>
      <c r="K203" s="641"/>
      <c r="L203" s="642" t="s">
        <v>2492</v>
      </c>
      <c r="M203" s="642"/>
      <c r="N203" s="642" t="s">
        <v>2493</v>
      </c>
      <c r="O203" s="643"/>
      <c r="P203" s="874"/>
      <c r="Q203" s="874"/>
    </row>
    <row r="204" spans="2:17" ht="12.75">
      <c r="B204" s="178"/>
      <c r="C204" s="253"/>
      <c r="D204" s="644" t="s">
        <v>2976</v>
      </c>
      <c r="E204" s="641"/>
      <c r="F204" s="646"/>
      <c r="G204" s="641"/>
      <c r="H204" s="646"/>
      <c r="I204" s="641"/>
      <c r="J204" s="646"/>
      <c r="K204" s="641"/>
      <c r="L204" s="647">
        <f>decScenarioTestCount</f>
        <v>0</v>
      </c>
      <c r="M204" s="642"/>
      <c r="N204" s="647">
        <f>3-L204</f>
        <v>3</v>
      </c>
      <c r="O204" s="643"/>
      <c r="P204" s="874"/>
      <c r="Q204" s="874"/>
    </row>
    <row r="205" spans="2:17" ht="12.75">
      <c r="B205" s="178"/>
      <c r="C205" s="253"/>
      <c r="D205" s="648"/>
      <c r="E205" s="649"/>
      <c r="F205" s="650"/>
      <c r="G205" s="651"/>
      <c r="H205" s="650"/>
      <c r="I205" s="651"/>
      <c r="J205" s="650"/>
      <c r="K205" s="651"/>
      <c r="L205" s="652"/>
      <c r="M205" s="652"/>
      <c r="N205" s="652"/>
      <c r="O205" s="653"/>
      <c r="P205" s="874"/>
      <c r="Q205" s="874"/>
    </row>
    <row r="206" spans="2:17" ht="6" customHeight="1">
      <c r="B206" s="178"/>
      <c r="C206" s="253"/>
      <c r="D206" s="252"/>
      <c r="E206" s="252"/>
      <c r="F206" s="257"/>
      <c r="G206" s="272"/>
      <c r="H206" s="257"/>
      <c r="I206" s="272"/>
      <c r="J206" s="257"/>
      <c r="K206" s="272"/>
      <c r="L206" s="310"/>
      <c r="M206" s="310"/>
      <c r="N206" s="310"/>
      <c r="O206" s="252"/>
      <c r="P206" s="874"/>
      <c r="Q206" s="874"/>
    </row>
    <row r="207" spans="2:17" ht="12.75">
      <c r="B207" s="178"/>
      <c r="C207" s="253"/>
      <c r="D207" s="619"/>
      <c r="E207" s="620"/>
      <c r="F207" s="634" t="s">
        <v>3145</v>
      </c>
      <c r="G207" s="635"/>
      <c r="H207" s="634" t="s">
        <v>2269</v>
      </c>
      <c r="I207" s="635"/>
      <c r="J207" s="634" t="s">
        <v>2268</v>
      </c>
      <c r="K207" s="661"/>
      <c r="L207" s="659"/>
      <c r="M207" s="659"/>
      <c r="N207" s="659"/>
      <c r="O207" s="621"/>
      <c r="P207" s="874"/>
      <c r="Q207" s="874"/>
    </row>
    <row r="208" spans="2:17" ht="12.75">
      <c r="B208" s="178"/>
      <c r="C208" s="253"/>
      <c r="D208" s="644" t="s">
        <v>2905</v>
      </c>
      <c r="E208" s="622"/>
      <c r="F208" s="640" t="s">
        <v>2907</v>
      </c>
      <c r="G208" s="641"/>
      <c r="H208" s="640" t="s">
        <v>2907</v>
      </c>
      <c r="I208" s="641"/>
      <c r="J208" s="640" t="s">
        <v>2907</v>
      </c>
      <c r="K208" s="660"/>
      <c r="L208" s="662"/>
      <c r="M208" s="662"/>
      <c r="N208" s="662"/>
      <c r="O208" s="623"/>
      <c r="P208" s="874"/>
      <c r="Q208" s="874"/>
    </row>
    <row r="209" spans="2:27" ht="12.75">
      <c r="B209" s="178"/>
      <c r="C209" s="253"/>
      <c r="D209" s="644"/>
      <c r="E209" s="622"/>
      <c r="F209" s="646">
        <f>$X$232</f>
        <v>0.22510344827586204</v>
      </c>
      <c r="G209" s="641"/>
      <c r="H209" s="646">
        <f>$X$233</f>
        <v>-0.12765957446808507</v>
      </c>
      <c r="I209" s="641"/>
      <c r="J209" s="646">
        <f>$X$234</f>
        <v>-0.25280000000000002</v>
      </c>
      <c r="K209" s="660"/>
      <c r="L209" s="662"/>
      <c r="M209" s="662"/>
      <c r="N209" s="662"/>
      <c r="O209" s="623"/>
      <c r="P209" s="874"/>
      <c r="Q209" s="874"/>
    </row>
    <row r="210" spans="2:27" ht="6" customHeight="1">
      <c r="B210" s="178"/>
      <c r="C210" s="253"/>
      <c r="D210" s="616"/>
      <c r="E210" s="624"/>
      <c r="F210" s="663"/>
      <c r="G210" s="664"/>
      <c r="H210" s="663"/>
      <c r="I210" s="664"/>
      <c r="J210" s="663"/>
      <c r="K210" s="664"/>
      <c r="L210" s="665"/>
      <c r="M210" s="665"/>
      <c r="N210" s="665"/>
      <c r="O210" s="625"/>
      <c r="P210" s="874"/>
      <c r="Q210" s="874"/>
    </row>
    <row r="211" spans="2:27" ht="12.75" customHeight="1">
      <c r="B211" s="178"/>
      <c r="C211" s="253"/>
      <c r="D211" s="252"/>
      <c r="E211" s="252"/>
      <c r="F211" s="252"/>
      <c r="G211" s="252"/>
      <c r="H211" s="252"/>
      <c r="I211" s="252"/>
      <c r="J211" s="252"/>
      <c r="K211" s="252"/>
      <c r="L211" s="252"/>
      <c r="M211" s="252"/>
      <c r="N211" s="252"/>
      <c r="O211" s="252"/>
      <c r="P211" s="874"/>
      <c r="Q211" s="874"/>
    </row>
    <row r="212" spans="2:27" ht="18">
      <c r="B212" s="178"/>
      <c r="C212" s="253"/>
      <c r="D212" s="557" t="s">
        <v>3637</v>
      </c>
      <c r="E212" s="557"/>
      <c r="F212" s="252"/>
      <c r="G212" s="252"/>
      <c r="H212" s="252"/>
      <c r="I212" s="252"/>
      <c r="J212" s="252"/>
      <c r="K212" s="252"/>
      <c r="L212" s="252"/>
      <c r="M212" s="252"/>
      <c r="N212" s="252"/>
      <c r="O212" s="252"/>
      <c r="P212" s="874"/>
      <c r="Q212" s="874"/>
    </row>
    <row r="213" spans="2:27" ht="3" customHeight="1">
      <c r="B213" s="178"/>
      <c r="C213" s="253"/>
      <c r="D213" s="258"/>
      <c r="E213" s="258"/>
      <c r="F213" s="252"/>
      <c r="G213" s="252"/>
      <c r="H213" s="252"/>
      <c r="I213" s="252"/>
      <c r="J213" s="252"/>
      <c r="K213" s="252"/>
      <c r="L213" s="252"/>
      <c r="M213" s="252"/>
      <c r="N213" s="252"/>
      <c r="O213" s="252"/>
      <c r="P213" s="874"/>
      <c r="Q213" s="874"/>
    </row>
    <row r="214" spans="2:27" ht="15">
      <c r="B214" s="178"/>
      <c r="C214" s="253"/>
      <c r="D214" s="453" t="s">
        <v>4334</v>
      </c>
      <c r="E214" s="453"/>
      <c r="F214" s="252"/>
      <c r="G214" s="252"/>
      <c r="H214" s="252" t="s">
        <v>400</v>
      </c>
      <c r="I214" s="252"/>
      <c r="J214" s="255" t="s">
        <v>1240</v>
      </c>
      <c r="K214" s="252"/>
      <c r="L214" s="252"/>
      <c r="M214" s="252"/>
      <c r="N214" s="252"/>
      <c r="O214" s="252"/>
      <c r="P214" s="874"/>
      <c r="Q214" s="874"/>
    </row>
    <row r="215" spans="2:27" ht="15">
      <c r="B215" s="178"/>
      <c r="C215" s="253"/>
      <c r="D215" s="579" t="s">
        <v>489</v>
      </c>
      <c r="E215" s="579"/>
      <c r="F215" s="255" t="s">
        <v>4642</v>
      </c>
      <c r="G215" s="252"/>
      <c r="H215" s="255" t="s">
        <v>939</v>
      </c>
      <c r="I215" s="252"/>
      <c r="J215" s="255" t="s">
        <v>702</v>
      </c>
      <c r="K215" s="252"/>
      <c r="L215" s="252"/>
      <c r="M215" s="252"/>
      <c r="N215" s="255"/>
      <c r="O215" s="257"/>
      <c r="P215" s="874"/>
      <c r="Q215" s="874"/>
    </row>
    <row r="216" spans="2:27" ht="3" customHeight="1">
      <c r="B216" s="178"/>
      <c r="C216" s="253"/>
      <c r="D216" s="252"/>
      <c r="E216" s="252"/>
      <c r="F216" s="255"/>
      <c r="G216" s="252"/>
      <c r="H216" s="255"/>
      <c r="I216" s="252"/>
      <c r="J216" s="255"/>
      <c r="K216" s="252"/>
      <c r="L216" s="252"/>
      <c r="M216" s="252"/>
      <c r="N216" s="252"/>
      <c r="O216" s="252"/>
      <c r="P216" s="874"/>
      <c r="Q216" s="874"/>
    </row>
    <row r="217" spans="2:27" ht="3" customHeight="1" thickBot="1">
      <c r="B217" s="178"/>
      <c r="C217" s="253"/>
      <c r="D217" s="252"/>
      <c r="E217" s="252"/>
      <c r="F217" s="255"/>
      <c r="G217" s="255"/>
      <c r="H217" s="255"/>
      <c r="I217" s="255"/>
      <c r="J217" s="255"/>
      <c r="K217" s="255"/>
      <c r="L217" s="252"/>
      <c r="M217" s="252"/>
      <c r="N217" s="252"/>
      <c r="O217" s="252"/>
      <c r="P217" s="874"/>
      <c r="Q217" s="874"/>
    </row>
    <row r="218" spans="2:27" ht="13.5" thickBot="1">
      <c r="B218" s="178"/>
      <c r="C218" s="253"/>
      <c r="D218" s="535" t="s">
        <v>1180</v>
      </c>
      <c r="E218" s="535"/>
      <c r="F218" s="260">
        <f>INDEX(capBusAEmp4Att,xxIndexTeam)</f>
        <v>9</v>
      </c>
      <c r="G218" s="261"/>
      <c r="H218" s="260">
        <f>INDEX(capBusAEmp3Att,xxIndexTeam)</f>
        <v>47</v>
      </c>
      <c r="I218" s="261"/>
      <c r="J218" s="260">
        <f>INDEX(capBusAEmp2Att,xxIndexTeam)</f>
        <v>100</v>
      </c>
      <c r="K218" s="261"/>
      <c r="L218" s="252"/>
      <c r="M218" s="252"/>
      <c r="N218" s="610"/>
      <c r="O218" s="610"/>
      <c r="P218" s="874"/>
      <c r="Q218" s="874"/>
    </row>
    <row r="219" spans="2:27" ht="3" customHeight="1" thickBot="1">
      <c r="B219" s="178"/>
      <c r="C219" s="253"/>
      <c r="D219" s="252"/>
      <c r="E219" s="252"/>
      <c r="F219" s="261"/>
      <c r="G219" s="261"/>
      <c r="H219" s="261"/>
      <c r="I219" s="261"/>
      <c r="J219" s="261"/>
      <c r="K219" s="261"/>
      <c r="L219" s="252"/>
      <c r="M219" s="252"/>
      <c r="N219" s="610"/>
      <c r="O219" s="610"/>
      <c r="P219" s="874"/>
      <c r="Q219" s="874"/>
    </row>
    <row r="220" spans="2:27" ht="13.5" thickBot="1">
      <c r="B220" s="178"/>
      <c r="C220" s="253"/>
      <c r="D220" s="535" t="s">
        <v>2534</v>
      </c>
      <c r="E220" s="535"/>
      <c r="F220" s="260">
        <f>INDEX(capBusAEmp4End,xxIndexTeam)</f>
        <v>78</v>
      </c>
      <c r="G220" s="261"/>
      <c r="H220" s="260">
        <f>INDEX(capBusAEmp3End,xxIndexTeam)</f>
        <v>244</v>
      </c>
      <c r="I220" s="261"/>
      <c r="J220" s="260">
        <f>INDEX(capBusAEmp2End,xxIndexTeam)</f>
        <v>365</v>
      </c>
      <c r="K220" s="261"/>
      <c r="L220" s="252"/>
      <c r="M220" s="252"/>
      <c r="N220" s="610"/>
      <c r="O220" s="610"/>
      <c r="P220" s="874"/>
      <c r="Q220" s="874"/>
    </row>
    <row r="221" spans="2:27" ht="3" customHeight="1">
      <c r="B221" s="178"/>
      <c r="C221" s="253"/>
      <c r="D221" s="535"/>
      <c r="E221" s="535"/>
      <c r="F221" s="261"/>
      <c r="G221" s="261"/>
      <c r="H221" s="261"/>
      <c r="I221" s="261"/>
      <c r="J221" s="261"/>
      <c r="K221" s="261"/>
      <c r="L221" s="255"/>
      <c r="M221" s="255"/>
      <c r="N221" s="610"/>
      <c r="O221" s="610"/>
      <c r="P221" s="874"/>
      <c r="Q221" s="874"/>
    </row>
    <row r="222" spans="2:27" ht="12.75">
      <c r="B222" s="178"/>
      <c r="C222" s="253"/>
      <c r="D222" s="257" t="s">
        <v>2869</v>
      </c>
      <c r="E222" s="257"/>
      <c r="G222" s="261"/>
      <c r="I222" s="261"/>
      <c r="K222" s="261"/>
      <c r="L222" s="252"/>
      <c r="M222" s="252"/>
      <c r="N222" s="610"/>
      <c r="O222" s="610"/>
      <c r="P222" s="874"/>
      <c r="Q222" s="874"/>
      <c r="W222" s="102" t="s">
        <v>301</v>
      </c>
      <c r="X222" s="102" t="s">
        <v>2918</v>
      </c>
      <c r="Y222" s="102" t="s">
        <v>2919</v>
      </c>
      <c r="Z222" s="102" t="s">
        <v>2920</v>
      </c>
      <c r="AA222" s="102" t="s">
        <v>1338</v>
      </c>
    </row>
    <row r="223" spans="2:27" ht="12" customHeight="1">
      <c r="B223" s="178"/>
      <c r="C223" s="253"/>
      <c r="D223" s="252"/>
      <c r="E223" s="252"/>
      <c r="F223" s="631"/>
      <c r="G223" s="628"/>
      <c r="H223" s="631"/>
      <c r="I223" s="628"/>
      <c r="J223" s="631"/>
      <c r="K223" s="628"/>
      <c r="L223" s="631"/>
      <c r="M223" s="252"/>
      <c r="N223" s="252"/>
      <c r="O223" s="252"/>
      <c r="P223" s="874"/>
      <c r="Q223" s="874"/>
      <c r="W223" s="607">
        <f>SUM(J220,tlInputEmp2BusAHire)</f>
        <v>569</v>
      </c>
      <c r="X223" s="607">
        <f>SUM(L229,tlInputEmp1BusAHire)</f>
        <v>234</v>
      </c>
      <c r="Y223" s="607">
        <f>SUM(F229,tlInputEmp7BusAHire)</f>
        <v>61</v>
      </c>
      <c r="Z223" s="607">
        <f>SUM(H229,tlInputEmp8BusAHire)</f>
        <v>171</v>
      </c>
      <c r="AA223" s="607">
        <f>SUM(J229,tlInputEmp9BusAHire)</f>
        <v>354</v>
      </c>
    </row>
    <row r="224" spans="2:27" ht="15">
      <c r="B224" s="178"/>
      <c r="C224" s="253"/>
      <c r="D224" s="579" t="s">
        <v>173</v>
      </c>
      <c r="E224" s="579"/>
      <c r="F224" s="255" t="s">
        <v>4642</v>
      </c>
      <c r="G224" s="252"/>
      <c r="H224" s="255" t="s">
        <v>939</v>
      </c>
      <c r="I224" s="252"/>
      <c r="J224" s="255" t="s">
        <v>702</v>
      </c>
      <c r="K224" s="252"/>
      <c r="L224" s="255" t="s">
        <v>2022</v>
      </c>
      <c r="M224" s="252"/>
      <c r="N224" s="611"/>
      <c r="O224" s="257"/>
      <c r="P224" s="874"/>
      <c r="Q224" s="874"/>
    </row>
    <row r="225" spans="2:24" ht="3" customHeight="1">
      <c r="B225" s="178"/>
      <c r="C225" s="253"/>
      <c r="D225" s="252"/>
      <c r="E225" s="252"/>
      <c r="F225" s="255"/>
      <c r="G225" s="252"/>
      <c r="H225" s="255"/>
      <c r="I225" s="252"/>
      <c r="J225" s="255"/>
      <c r="K225" s="252"/>
      <c r="L225" s="255"/>
      <c r="M225" s="252"/>
      <c r="N225" s="252"/>
      <c r="O225" s="252"/>
      <c r="P225" s="874"/>
      <c r="Q225" s="874"/>
    </row>
    <row r="226" spans="2:24" ht="3" customHeight="1" thickBot="1">
      <c r="B226" s="178"/>
      <c r="C226" s="253"/>
      <c r="D226" s="252"/>
      <c r="E226" s="252"/>
      <c r="F226" s="255"/>
      <c r="G226" s="255"/>
      <c r="H226" s="255"/>
      <c r="I226" s="255"/>
      <c r="J226" s="255"/>
      <c r="K226" s="255"/>
      <c r="L226" s="255"/>
      <c r="M226" s="252"/>
      <c r="N226" s="252"/>
      <c r="O226" s="252"/>
      <c r="P226" s="874"/>
      <c r="Q226" s="874"/>
      <c r="U226" s="102" t="s">
        <v>299</v>
      </c>
      <c r="V226" s="102" t="s">
        <v>300</v>
      </c>
    </row>
    <row r="227" spans="2:24" ht="13.5" thickBot="1">
      <c r="B227" s="178"/>
      <c r="C227" s="253"/>
      <c r="D227" s="535" t="s">
        <v>1180</v>
      </c>
      <c r="E227" s="535"/>
      <c r="F227" s="260">
        <f>INDEX(capBusAEmp7Att,xxIndexTeam)</f>
        <v>6</v>
      </c>
      <c r="G227" s="261"/>
      <c r="H227" s="260">
        <f>INDEX(capBusAEmp8Att,xxIndexTeam)</f>
        <v>31</v>
      </c>
      <c r="I227" s="261"/>
      <c r="J227" s="260">
        <f>INDEX(capBusAEmp9Att,xxIndexTeam)</f>
        <v>79</v>
      </c>
      <c r="K227" s="261"/>
      <c r="L227" s="260">
        <f>INDEX(capBusAEmp1Att,xxIndexTeam)</f>
        <v>79</v>
      </c>
      <c r="M227" s="252"/>
      <c r="N227" s="610"/>
      <c r="O227" s="610"/>
      <c r="P227" s="874"/>
      <c r="Q227" s="874"/>
      <c r="U227" s="607">
        <f>SUM(F220,tlInputEmp4BusAHire)</f>
        <v>98</v>
      </c>
      <c r="V227" s="607">
        <f>SUM(H220,tlInputEmp3BusAHire)</f>
        <v>380</v>
      </c>
    </row>
    <row r="228" spans="2:24" ht="3" customHeight="1" thickBot="1">
      <c r="B228" s="178"/>
      <c r="C228" s="253"/>
      <c r="D228" s="252"/>
      <c r="E228" s="252"/>
      <c r="F228" s="261"/>
      <c r="G228" s="261"/>
      <c r="H228" s="261"/>
      <c r="I228" s="261"/>
      <c r="J228" s="261"/>
      <c r="K228" s="261"/>
      <c r="L228" s="261"/>
      <c r="M228" s="252"/>
      <c r="N228" s="610"/>
      <c r="O228" s="610"/>
      <c r="P228" s="874"/>
      <c r="Q228" s="874"/>
    </row>
    <row r="229" spans="2:24" ht="13.5" thickBot="1">
      <c r="B229" s="178"/>
      <c r="C229" s="253"/>
      <c r="D229" s="535" t="s">
        <v>2534</v>
      </c>
      <c r="E229" s="535"/>
      <c r="F229" s="260">
        <f>INDEX(capBusAEmp7End,xxIndexTeam)</f>
        <v>61</v>
      </c>
      <c r="G229" s="261"/>
      <c r="H229" s="260">
        <f>INDEX(capBusAEmp8End,xxIndexTeam)</f>
        <v>171</v>
      </c>
      <c r="I229" s="261"/>
      <c r="J229" s="260">
        <f>INDEX(capBusAEmp9End,xxIndexTeam)</f>
        <v>328</v>
      </c>
      <c r="K229" s="261"/>
      <c r="L229" s="260">
        <f>INDEX(capBusAEmp1End,xxIndexTeam)</f>
        <v>234</v>
      </c>
      <c r="M229" s="252"/>
      <c r="N229" s="610"/>
      <c r="O229" s="610"/>
      <c r="P229" s="874"/>
      <c r="Q229" s="874"/>
    </row>
    <row r="230" spans="2:24" ht="3" customHeight="1">
      <c r="B230" s="178"/>
      <c r="C230" s="253"/>
      <c r="D230" s="535"/>
      <c r="E230" s="535"/>
      <c r="F230" s="261"/>
      <c r="G230" s="261"/>
      <c r="H230" s="261"/>
      <c r="I230" s="261"/>
      <c r="J230" s="261"/>
      <c r="K230" s="261"/>
      <c r="L230" s="261"/>
      <c r="M230" s="255"/>
      <c r="N230" s="610"/>
      <c r="O230" s="610"/>
      <c r="P230" s="874"/>
      <c r="Q230" s="874"/>
    </row>
    <row r="231" spans="2:24" ht="12.75">
      <c r="B231" s="178"/>
      <c r="C231" s="253"/>
      <c r="D231" s="257" t="s">
        <v>2869</v>
      </c>
      <c r="E231" s="257"/>
      <c r="G231" s="261"/>
      <c r="I231" s="261"/>
      <c r="K231" s="261"/>
      <c r="M231" s="252"/>
      <c r="N231" s="610"/>
      <c r="O231" s="610"/>
      <c r="P231" s="874"/>
      <c r="Q231" s="874"/>
      <c r="W231" s="389" t="s">
        <v>13</v>
      </c>
      <c r="X231" s="389" t="s">
        <v>1543</v>
      </c>
    </row>
    <row r="232" spans="2:24" ht="12.75">
      <c r="B232" s="178"/>
      <c r="C232" s="253"/>
      <c r="D232" s="252"/>
      <c r="E232" s="252"/>
      <c r="F232" s="631"/>
      <c r="G232" s="628"/>
      <c r="H232" s="631"/>
      <c r="I232" s="628"/>
      <c r="J232" s="631"/>
      <c r="K232" s="262"/>
      <c r="L232" s="262"/>
      <c r="M232" s="252"/>
      <c r="N232" s="252"/>
      <c r="O232" s="252"/>
      <c r="P232" s="874"/>
      <c r="Q232" s="874"/>
      <c r="W232" s="607">
        <f>INDEX(capBusAEmp4Att,xxIndexTeam)+INDEX(capBusAEmp3Att,xxIndexTeam)+INDEX(capBusAEmp2Att,xxIndexTeam)</f>
        <v>156</v>
      </c>
      <c r="X232" s="609">
        <f>((V236-W232+SUM(tlInputEmp4BusAHire,tlInputEmp3BusAHire,tlInputEmp2BusAHire))/V236)-1</f>
        <v>0.22510344827586204</v>
      </c>
    </row>
    <row r="233" spans="2:24" ht="12.75">
      <c r="B233" s="178"/>
      <c r="C233" s="253"/>
      <c r="D233" s="252"/>
      <c r="E233" s="252"/>
      <c r="F233" s="262"/>
      <c r="G233" s="262"/>
      <c r="H233" s="262" t="s">
        <v>400</v>
      </c>
      <c r="I233" s="262"/>
      <c r="J233" s="261" t="s">
        <v>1240</v>
      </c>
      <c r="K233" s="262"/>
      <c r="L233" s="262"/>
      <c r="M233" s="252"/>
      <c r="N233" s="252"/>
      <c r="O233" s="252"/>
      <c r="P233" s="874"/>
      <c r="Q233" s="874"/>
      <c r="W233" s="607">
        <f>INDEX(capBusAEmp7Att,xxIndexTeam)+INDEX(capBusAEmp8Att,xxIndexTeam)+INDEX(capBusAEmp9Att,xxIndexTeam)</f>
        <v>116</v>
      </c>
      <c r="X233" s="609">
        <f>((V237-W233+SUM(tlInputEmp7BusAHire,tlInputEmp8BusAHire,tlInputEmp9BusAHire))/V237)-1</f>
        <v>-0.12765957446808507</v>
      </c>
    </row>
    <row r="234" spans="2:24" ht="15">
      <c r="B234" s="178"/>
      <c r="C234" s="253"/>
      <c r="D234" s="579" t="s">
        <v>4436</v>
      </c>
      <c r="E234" s="579"/>
      <c r="F234" s="261" t="s">
        <v>4642</v>
      </c>
      <c r="G234" s="262"/>
      <c r="H234" s="261" t="s">
        <v>939</v>
      </c>
      <c r="I234" s="262"/>
      <c r="J234" s="261" t="s">
        <v>702</v>
      </c>
      <c r="K234" s="262"/>
      <c r="L234" s="261" t="s">
        <v>2022</v>
      </c>
      <c r="M234" s="252"/>
      <c r="N234" s="252"/>
      <c r="O234" s="252"/>
      <c r="P234" s="874"/>
      <c r="Q234" s="874"/>
      <c r="W234" s="607">
        <f>INDEX(capBusAEmp1Att,xxIndexTeam)</f>
        <v>79</v>
      </c>
      <c r="X234" s="609">
        <f>((V238-W234+tlInputEmp1BusAHire)/V238)-1</f>
        <v>-0.25280000000000002</v>
      </c>
    </row>
    <row r="235" spans="2:24" ht="3" customHeight="1" thickBot="1">
      <c r="B235" s="178"/>
      <c r="C235" s="253"/>
      <c r="D235" s="252"/>
      <c r="E235" s="252"/>
      <c r="F235" s="261"/>
      <c r="G235" s="262"/>
      <c r="H235" s="261"/>
      <c r="I235" s="262"/>
      <c r="J235" s="261"/>
      <c r="K235" s="262"/>
      <c r="L235" s="261"/>
      <c r="M235" s="252"/>
      <c r="N235" s="252"/>
      <c r="O235" s="252"/>
      <c r="P235" s="874"/>
      <c r="Q235" s="874"/>
      <c r="V235" s="389" t="s">
        <v>4196</v>
      </c>
    </row>
    <row r="236" spans="2:24" ht="13.5" thickBot="1">
      <c r="B236" s="178"/>
      <c r="C236" s="253"/>
      <c r="D236" s="535" t="s">
        <v>1180</v>
      </c>
      <c r="E236" s="535"/>
      <c r="F236" s="260">
        <f>INDEX(capBusBEmp4Att,xxIndexTeam)</f>
        <v>2</v>
      </c>
      <c r="G236" s="261"/>
      <c r="H236" s="260">
        <f>INDEX(capBusBEmp3Att,xxIndexTeam)</f>
        <v>4</v>
      </c>
      <c r="I236" s="261"/>
      <c r="J236" s="260">
        <f>INDEX(capBusBEmp2Att,xxIndexTeam)</f>
        <v>5</v>
      </c>
      <c r="K236" s="261"/>
      <c r="L236" s="260">
        <f>INDEX(capBusBEmp1Att,xxIndexTeam)</f>
        <v>4</v>
      </c>
      <c r="M236" s="252"/>
      <c r="N236" s="252"/>
      <c r="O236" s="252"/>
      <c r="P236" s="874"/>
      <c r="Q236" s="874"/>
      <c r="T236" s="102" t="s">
        <v>3715</v>
      </c>
      <c r="U236" s="102" t="s">
        <v>3861</v>
      </c>
      <c r="V236" s="607">
        <f>INDEX(obalBusAEmp4,xxIndexTeam)+INDEX(obalBusAEmp3,xxIndexTeam)+INDEX(obalBusAEmp2,xxIndexTeam)</f>
        <v>906.25</v>
      </c>
    </row>
    <row r="237" spans="2:24" ht="3" customHeight="1" thickBot="1">
      <c r="B237" s="178"/>
      <c r="C237" s="253"/>
      <c r="D237" s="252"/>
      <c r="E237" s="252"/>
      <c r="F237" s="261"/>
      <c r="G237" s="262"/>
      <c r="H237" s="261"/>
      <c r="I237" s="262"/>
      <c r="J237" s="261"/>
      <c r="K237" s="262"/>
      <c r="L237" s="261"/>
      <c r="M237" s="252"/>
      <c r="N237" s="252"/>
      <c r="O237" s="252"/>
      <c r="P237" s="874"/>
      <c r="Q237" s="874"/>
      <c r="T237" s="102" t="s">
        <v>1406</v>
      </c>
      <c r="U237" s="102" t="s">
        <v>1542</v>
      </c>
      <c r="V237" s="607">
        <f>INDEX(obalBusAEmp7,xxIndexTeam)+INDEX(obalBusAEmp8,xxIndexTeam)+INDEX(obalBusAEmp9,xxIndexTeam)</f>
        <v>705</v>
      </c>
    </row>
    <row r="238" spans="2:24" ht="13.5" thickBot="1">
      <c r="B238" s="178"/>
      <c r="C238" s="253"/>
      <c r="D238" s="535" t="s">
        <v>2534</v>
      </c>
      <c r="E238" s="535"/>
      <c r="F238" s="260">
        <f>INDEX(capBusBEmp4End,xxIndexTeam)</f>
        <v>11</v>
      </c>
      <c r="G238" s="261"/>
      <c r="H238" s="260">
        <f>INDEX(capBusBEmp3End,xxIndexTeam)</f>
        <v>18</v>
      </c>
      <c r="I238" s="261"/>
      <c r="J238" s="260">
        <f>INDEX(capBusBEmp2End,xxIndexTeam)</f>
        <v>18</v>
      </c>
      <c r="K238" s="261"/>
      <c r="L238" s="260">
        <f>INDEX(capBusBEmp1End,xxIndexTeam)</f>
        <v>9</v>
      </c>
      <c r="M238" s="252"/>
      <c r="N238" s="252"/>
      <c r="O238" s="252"/>
      <c r="P238" s="874"/>
      <c r="Q238" s="874"/>
      <c r="T238" s="102">
        <v>1</v>
      </c>
      <c r="U238" s="102" t="s">
        <v>2022</v>
      </c>
      <c r="V238" s="607">
        <f>INDEX(obalBusAEmp1,xxIndexTeam)</f>
        <v>312.5</v>
      </c>
    </row>
    <row r="239" spans="2:24" ht="3" customHeight="1" thickBot="1">
      <c r="B239" s="178"/>
      <c r="C239" s="253"/>
      <c r="D239" s="535"/>
      <c r="E239" s="535"/>
      <c r="F239" s="261"/>
      <c r="G239" s="261"/>
      <c r="H239" s="261"/>
      <c r="I239" s="261"/>
      <c r="J239" s="261"/>
      <c r="K239" s="261"/>
      <c r="L239" s="261"/>
      <c r="M239" s="255"/>
      <c r="N239" s="252"/>
      <c r="O239" s="252"/>
      <c r="P239" s="874"/>
      <c r="Q239" s="874"/>
    </row>
    <row r="240" spans="2:24" ht="13.5" thickBot="1">
      <c r="B240" s="178"/>
      <c r="C240" s="253"/>
      <c r="D240" s="257" t="s">
        <v>2869</v>
      </c>
      <c r="E240" s="257"/>
      <c r="F240" s="278">
        <v>0</v>
      </c>
      <c r="G240" s="261"/>
      <c r="H240" s="278">
        <v>0</v>
      </c>
      <c r="I240" s="261"/>
      <c r="J240" s="278">
        <v>0</v>
      </c>
      <c r="K240" s="261"/>
      <c r="L240" s="278">
        <v>0</v>
      </c>
      <c r="M240" s="252"/>
      <c r="N240" s="252"/>
      <c r="O240" s="252"/>
      <c r="P240" s="874"/>
      <c r="Q240" s="874"/>
    </row>
    <row r="241" spans="2:58" ht="13.5" thickBot="1">
      <c r="B241" s="178"/>
      <c r="C241" s="253"/>
      <c r="D241" s="252"/>
      <c r="E241" s="252"/>
      <c r="F241" s="255"/>
      <c r="G241" s="252"/>
      <c r="H241" s="255"/>
      <c r="I241" s="252"/>
      <c r="J241" s="255"/>
      <c r="K241" s="252"/>
      <c r="L241" s="255"/>
      <c r="M241" s="252"/>
      <c r="N241" s="252"/>
      <c r="O241" s="252"/>
      <c r="P241" s="874"/>
      <c r="Q241" s="874"/>
    </row>
    <row r="242" spans="2:58" ht="13.5" thickBot="1">
      <c r="B242" s="178"/>
      <c r="C242" s="253"/>
      <c r="D242" s="257" t="s">
        <v>1181</v>
      </c>
      <c r="E242" s="257"/>
      <c r="F242" s="277">
        <f>tlInputEmp4BusAHire+tlInputEmp4BusBHire+tlInputEmp7BusAHire</f>
        <v>20</v>
      </c>
      <c r="G242" s="255"/>
      <c r="H242" s="277">
        <f>tlInputEmp3BusAHire+tlInputEmp3BusBHire+tlInputEmp8BusAHire</f>
        <v>136</v>
      </c>
      <c r="I242" s="255"/>
      <c r="J242" s="277">
        <f>tlInputEmp2BusAHire+tlInputEmp2BusBHire+tlInputEmp9BusAHire</f>
        <v>230</v>
      </c>
      <c r="K242" s="255"/>
      <c r="L242" s="277">
        <f>tlInputEmp1BusAHire+tlInputEmp1BusBHire</f>
        <v>0</v>
      </c>
      <c r="M242" s="256"/>
      <c r="N242" s="252"/>
      <c r="O242" s="252"/>
      <c r="P242" s="874"/>
      <c r="Q242" s="874"/>
    </row>
    <row r="243" spans="2:58" ht="13.5" thickBot="1">
      <c r="B243" s="178"/>
      <c r="C243" s="253"/>
      <c r="D243" s="257"/>
      <c r="E243" s="257"/>
      <c r="F243" s="252"/>
      <c r="G243" s="252"/>
      <c r="H243" s="252"/>
      <c r="I243" s="252"/>
      <c r="J243" s="252"/>
      <c r="K243" s="252"/>
      <c r="L243" s="252"/>
      <c r="M243" s="252"/>
      <c r="N243" s="252"/>
      <c r="O243" s="252"/>
      <c r="P243" s="874"/>
      <c r="Q243" s="874"/>
    </row>
    <row r="244" spans="2:58" ht="14.25">
      <c r="B244" s="178"/>
      <c r="C244" s="253"/>
      <c r="D244" s="431" t="s">
        <v>4335</v>
      </c>
      <c r="E244" s="606"/>
      <c r="F244" s="429"/>
      <c r="G244" s="315"/>
      <c r="H244" s="454"/>
      <c r="I244" s="454"/>
      <c r="J244" s="454" t="s">
        <v>853</v>
      </c>
      <c r="K244" s="455"/>
      <c r="L244" s="455"/>
      <c r="M244" s="366"/>
      <c r="N244" s="252"/>
      <c r="O244" s="252"/>
      <c r="P244" s="874"/>
      <c r="Q244" s="874"/>
    </row>
    <row r="245" spans="2:58" ht="13.5" thickBot="1">
      <c r="B245" s="178"/>
      <c r="C245" s="253"/>
      <c r="D245" s="268"/>
      <c r="E245" s="252"/>
      <c r="F245" s="252"/>
      <c r="G245" s="252"/>
      <c r="H245" s="255" t="s">
        <v>928</v>
      </c>
      <c r="I245" s="257"/>
      <c r="J245" s="255" t="s">
        <v>3626</v>
      </c>
      <c r="K245" s="252"/>
      <c r="L245" s="255" t="s">
        <v>1084</v>
      </c>
      <c r="M245" s="316"/>
      <c r="N245" s="252"/>
      <c r="O245" s="252"/>
      <c r="P245" s="874"/>
      <c r="Q245" s="874"/>
    </row>
    <row r="246" spans="2:58" ht="13.5" customHeight="1" thickBot="1">
      <c r="B246" s="178"/>
      <c r="C246" s="253"/>
      <c r="D246" s="370"/>
      <c r="E246" s="257" t="s">
        <v>1083</v>
      </c>
      <c r="G246" s="252"/>
      <c r="I246" s="257"/>
      <c r="J246" s="277">
        <f>INDEX(capEmp6Att,xxIndexTeam)</f>
        <v>16</v>
      </c>
      <c r="K246" s="252"/>
      <c r="L246" s="277">
        <f>INDEX(capEmp6End,xxIndexTeam)</f>
        <v>102</v>
      </c>
      <c r="M246" s="316"/>
      <c r="N246" s="252"/>
      <c r="O246" s="252"/>
      <c r="P246" s="874"/>
      <c r="Q246" s="874"/>
    </row>
    <row r="247" spans="2:58" ht="7.5" customHeight="1" thickBot="1">
      <c r="B247" s="178"/>
      <c r="C247" s="253"/>
      <c r="D247" s="370"/>
      <c r="E247" s="257"/>
      <c r="F247" s="257"/>
      <c r="G247" s="252"/>
      <c r="H247" s="252"/>
      <c r="I247" s="257"/>
      <c r="J247" s="252"/>
      <c r="K247" s="252"/>
      <c r="L247" s="252"/>
      <c r="M247" s="316"/>
      <c r="N247" s="252"/>
      <c r="O247" s="252"/>
      <c r="P247" s="874"/>
      <c r="Q247" s="874"/>
    </row>
    <row r="248" spans="2:58" ht="13.5" customHeight="1" thickBot="1">
      <c r="B248" s="178"/>
      <c r="C248" s="253"/>
      <c r="D248" s="370"/>
      <c r="E248" s="257" t="s">
        <v>1247</v>
      </c>
      <c r="F248" s="544">
        <f>INDEX(capEmp6ForecastUtil,xxIndexTeam)</f>
        <v>2237.2046462482544</v>
      </c>
      <c r="G248" s="252"/>
      <c r="H248" s="252"/>
      <c r="I248" s="257"/>
      <c r="J248" s="252"/>
      <c r="K248" s="252"/>
      <c r="L248" s="252"/>
      <c r="M248" s="316"/>
      <c r="N248" s="252"/>
      <c r="O248" s="252"/>
      <c r="P248" s="874"/>
      <c r="Q248" s="874"/>
    </row>
    <row r="249" spans="2:58" ht="10.5" customHeight="1" thickBot="1">
      <c r="B249" s="178"/>
      <c r="C249" s="253"/>
      <c r="D249" s="371"/>
      <c r="E249" s="430"/>
      <c r="F249" s="430"/>
      <c r="G249" s="317"/>
      <c r="H249" s="317"/>
      <c r="I249" s="430"/>
      <c r="J249" s="317"/>
      <c r="K249" s="317"/>
      <c r="L249" s="317"/>
      <c r="M249" s="318"/>
      <c r="N249" s="252"/>
      <c r="O249" s="252"/>
      <c r="P249" s="874"/>
      <c r="Q249" s="874"/>
    </row>
    <row r="250" spans="2:58" ht="15" customHeight="1">
      <c r="B250" s="178"/>
      <c r="C250" s="253"/>
      <c r="D250" s="257"/>
      <c r="E250" s="257"/>
      <c r="F250" s="257"/>
      <c r="G250" s="252"/>
      <c r="H250" s="257" t="s">
        <v>4266</v>
      </c>
      <c r="I250" s="257"/>
      <c r="J250" s="252"/>
      <c r="K250" s="252"/>
      <c r="L250" s="252"/>
      <c r="M250" s="252"/>
      <c r="N250" s="252"/>
      <c r="O250" s="252"/>
      <c r="P250" s="874"/>
      <c r="Q250" s="874"/>
    </row>
    <row r="251" spans="2:58" ht="12.75">
      <c r="B251" s="178"/>
      <c r="C251" s="253"/>
      <c r="D251" s="257"/>
      <c r="E251" s="257"/>
      <c r="F251" s="257"/>
      <c r="G251" s="257"/>
      <c r="H251" s="252"/>
      <c r="I251" s="252"/>
      <c r="J251" s="252"/>
      <c r="K251" s="252"/>
      <c r="L251" s="252"/>
      <c r="M251" s="252"/>
      <c r="N251" s="252"/>
      <c r="O251" s="252"/>
      <c r="P251" s="874"/>
      <c r="Q251" s="874"/>
    </row>
    <row r="252" spans="2:58" ht="18">
      <c r="B252" s="178"/>
      <c r="C252" s="253"/>
      <c r="D252" s="557" t="s">
        <v>1769</v>
      </c>
      <c r="E252" s="557"/>
      <c r="F252" s="252"/>
      <c r="G252" s="252"/>
      <c r="H252" s="252" t="s">
        <v>400</v>
      </c>
      <c r="I252" s="252"/>
      <c r="J252" s="255" t="s">
        <v>1240</v>
      </c>
      <c r="K252" s="252"/>
      <c r="L252" s="252"/>
      <c r="M252" s="252"/>
      <c r="N252" s="252"/>
      <c r="O252" s="252"/>
      <c r="P252" s="874"/>
      <c r="Q252" s="874"/>
      <c r="AZ252" s="252"/>
      <c r="BA252" s="252"/>
      <c r="BB252" s="252" t="s">
        <v>400</v>
      </c>
      <c r="BC252" s="252"/>
      <c r="BD252" s="255" t="s">
        <v>1240</v>
      </c>
      <c r="BE252" s="252"/>
      <c r="BF252" s="252"/>
    </row>
    <row r="253" spans="2:58" ht="15">
      <c r="B253" s="178"/>
      <c r="C253" s="253"/>
      <c r="D253" s="453"/>
      <c r="E253" s="453"/>
      <c r="F253" s="255" t="s">
        <v>4642</v>
      </c>
      <c r="G253" s="252"/>
      <c r="H253" s="255" t="s">
        <v>939</v>
      </c>
      <c r="I253" s="252"/>
      <c r="J253" s="255" t="s">
        <v>702</v>
      </c>
      <c r="K253" s="252"/>
      <c r="L253" s="255" t="s">
        <v>2022</v>
      </c>
      <c r="M253" s="252"/>
      <c r="N253" s="252"/>
      <c r="O253" s="252"/>
      <c r="P253" s="874"/>
      <c r="Q253" s="874"/>
      <c r="AZ253" s="255" t="s">
        <v>4642</v>
      </c>
      <c r="BA253" s="252"/>
      <c r="BB253" s="255" t="s">
        <v>939</v>
      </c>
      <c r="BC253" s="252"/>
      <c r="BD253" s="255" t="s">
        <v>702</v>
      </c>
      <c r="BE253" s="252"/>
      <c r="BF253" s="255" t="s">
        <v>2022</v>
      </c>
    </row>
    <row r="254" spans="2:58" ht="3" customHeight="1" thickBot="1">
      <c r="B254" s="178"/>
      <c r="C254" s="253"/>
      <c r="D254" s="252"/>
      <c r="E254" s="252"/>
      <c r="F254" s="255"/>
      <c r="G254" s="252"/>
      <c r="H254" s="255"/>
      <c r="I254" s="252"/>
      <c r="J254" s="255"/>
      <c r="K254" s="252"/>
      <c r="L254" s="255"/>
      <c r="M254" s="252"/>
      <c r="N254" s="252"/>
      <c r="O254" s="252"/>
      <c r="P254" s="874"/>
      <c r="Q254" s="874"/>
      <c r="AZ254" s="255"/>
      <c r="BA254" s="252"/>
      <c r="BB254" s="255"/>
      <c r="BC254" s="252"/>
      <c r="BD254" s="255"/>
      <c r="BE254" s="252"/>
      <c r="BF254" s="255"/>
    </row>
    <row r="255" spans="2:58" ht="13.5" thickBot="1">
      <c r="B255" s="178"/>
      <c r="C255" s="253"/>
      <c r="D255" s="257" t="s">
        <v>4333</v>
      </c>
      <c r="E255" s="257"/>
      <c r="M255" s="252"/>
      <c r="N255" s="252"/>
      <c r="O255" s="252"/>
      <c r="P255" s="874"/>
      <c r="Q255" s="874"/>
      <c r="AZ255" s="428">
        <f>IF(H50="Best in Class",109%,IF(H50="Above Market",106%,IF(H50="At Market",103%,IF(H50="No Change",100%,97%))))</f>
        <v>1.03</v>
      </c>
      <c r="BA255" s="418"/>
      <c r="BB255" s="428">
        <f>IF(J50="Best in Class",150%,IF(J50="Above Market",125%,IF(J50="At Market",105%,IF(J50="No Change",100%,97%))))</f>
        <v>1.05</v>
      </c>
      <c r="BC255" s="418"/>
      <c r="BD255" s="428">
        <f>IF(L50="Best in Class",150%,IF(L50="Above Market",125%,IF(L50="At Market",105%,IF(L50="No Change",100%,97%))))</f>
        <v>1.05</v>
      </c>
      <c r="BE255" s="418"/>
      <c r="BF255" s="428">
        <f>IF(J301="Best in Class",150%,IF(J301="Above Market",125%,IF(J301="At Market",105%,IF(J301="No Change",100%,97%))))</f>
        <v>1.05</v>
      </c>
    </row>
    <row r="256" spans="2:58" ht="18.75" customHeight="1">
      <c r="B256" s="178"/>
      <c r="C256" s="253"/>
      <c r="D256" s="257"/>
      <c r="E256" s="257"/>
      <c r="F256" s="257"/>
      <c r="G256" s="257"/>
      <c r="H256" s="252"/>
      <c r="I256" s="252"/>
      <c r="J256" s="252"/>
      <c r="K256" s="252"/>
      <c r="L256" s="252"/>
      <c r="M256" s="252"/>
      <c r="N256" s="252"/>
      <c r="O256" s="252"/>
      <c r="P256" s="874"/>
      <c r="Q256" s="874"/>
    </row>
    <row r="257" spans="2:17" ht="13.5" thickBot="1">
      <c r="B257" s="178"/>
      <c r="C257" s="533"/>
      <c r="D257" s="558"/>
      <c r="E257" s="558"/>
      <c r="F257" s="558"/>
      <c r="G257" s="534"/>
      <c r="H257" s="534"/>
      <c r="I257" s="558"/>
      <c r="J257" s="534"/>
      <c r="K257" s="534"/>
      <c r="L257" s="534"/>
      <c r="M257" s="534"/>
      <c r="N257" s="534"/>
      <c r="O257" s="534"/>
      <c r="P257" s="874"/>
      <c r="Q257" s="874"/>
    </row>
    <row r="258" spans="2:17" ht="18">
      <c r="B258" s="178"/>
      <c r="C258" s="253"/>
      <c r="D258" s="557" t="s">
        <v>2718</v>
      </c>
      <c r="E258" s="557"/>
      <c r="F258" s="254"/>
      <c r="G258" s="254"/>
      <c r="H258" s="259" t="s">
        <v>4175</v>
      </c>
      <c r="I258" s="254"/>
      <c r="J258" s="254"/>
      <c r="K258" s="254"/>
      <c r="L258" s="252"/>
      <c r="M258" s="252"/>
      <c r="N258" s="252"/>
      <c r="O258" s="252"/>
      <c r="P258" s="874"/>
      <c r="Q258" s="874"/>
    </row>
    <row r="259" spans="2:17" ht="12.75">
      <c r="B259" s="178"/>
      <c r="C259" s="253"/>
      <c r="D259" s="365"/>
      <c r="E259" s="365"/>
      <c r="F259" s="255" t="s">
        <v>4642</v>
      </c>
      <c r="G259" s="252"/>
      <c r="H259" s="255" t="s">
        <v>400</v>
      </c>
      <c r="I259" s="252"/>
      <c r="J259" s="255" t="s">
        <v>1240</v>
      </c>
      <c r="K259" s="252"/>
      <c r="L259" s="255"/>
      <c r="M259" s="252"/>
      <c r="N259" s="255"/>
      <c r="O259" s="252"/>
      <c r="P259" s="874"/>
      <c r="Q259" s="874"/>
    </row>
    <row r="260" spans="2:17" ht="12.75">
      <c r="B260" s="178"/>
      <c r="C260" s="253"/>
      <c r="D260" s="365"/>
      <c r="E260" s="365"/>
      <c r="F260" s="255"/>
      <c r="G260" s="252"/>
      <c r="H260" s="255" t="s">
        <v>939</v>
      </c>
      <c r="I260" s="252"/>
      <c r="J260" s="255" t="s">
        <v>702</v>
      </c>
      <c r="K260" s="252"/>
      <c r="L260" s="255" t="s">
        <v>2022</v>
      </c>
      <c r="M260" s="252"/>
      <c r="N260" s="255" t="s">
        <v>4267</v>
      </c>
      <c r="O260" s="252"/>
      <c r="P260" s="874"/>
      <c r="Q260" s="874"/>
    </row>
    <row r="261" spans="2:17" ht="4.5" customHeight="1">
      <c r="B261" s="178"/>
      <c r="C261" s="253"/>
      <c r="D261" s="252"/>
      <c r="E261" s="252"/>
      <c r="F261" s="255"/>
      <c r="G261" s="252"/>
      <c r="H261" s="255"/>
      <c r="I261" s="252"/>
      <c r="J261" s="255"/>
      <c r="K261" s="252"/>
      <c r="L261" s="255"/>
      <c r="M261" s="255"/>
      <c r="N261" s="255"/>
      <c r="O261" s="252"/>
      <c r="P261" s="874"/>
      <c r="Q261" s="874"/>
    </row>
    <row r="262" spans="2:17" ht="12.75">
      <c r="B262" s="178"/>
      <c r="C262" s="253"/>
      <c r="D262" s="257" t="s">
        <v>2011</v>
      </c>
      <c r="E262" s="257"/>
      <c r="O262" s="252"/>
      <c r="P262" s="874"/>
      <c r="Q262" s="874"/>
    </row>
    <row r="263" spans="2:17" ht="3" customHeight="1">
      <c r="B263" s="178"/>
      <c r="C263" s="253"/>
      <c r="D263" s="252"/>
      <c r="E263" s="252"/>
      <c r="F263" s="255"/>
      <c r="G263" s="252"/>
      <c r="H263" s="255"/>
      <c r="I263" s="252"/>
      <c r="J263" s="255"/>
      <c r="K263" s="252"/>
      <c r="L263" s="255"/>
      <c r="M263" s="255"/>
      <c r="N263" s="255"/>
      <c r="O263" s="252"/>
      <c r="P263" s="874"/>
      <c r="Q263" s="874"/>
    </row>
    <row r="264" spans="2:17" ht="12.75">
      <c r="B264" s="178"/>
      <c r="C264" s="253"/>
      <c r="D264" s="257" t="s">
        <v>377</v>
      </c>
      <c r="E264" s="257"/>
      <c r="O264" s="252"/>
      <c r="P264" s="874"/>
      <c r="Q264" s="874"/>
    </row>
    <row r="265" spans="2:17" ht="12.75">
      <c r="B265" s="178"/>
      <c r="C265" s="253"/>
      <c r="D265" s="252"/>
      <c r="E265" s="252"/>
      <c r="F265" s="255"/>
      <c r="G265" s="252"/>
      <c r="H265" s="255"/>
      <c r="I265" s="252"/>
      <c r="J265" s="255"/>
      <c r="K265" s="252"/>
      <c r="L265" s="255"/>
      <c r="M265" s="255"/>
      <c r="N265" s="255"/>
      <c r="O265" s="252"/>
      <c r="P265" s="874"/>
      <c r="Q265" s="874"/>
    </row>
    <row r="266" spans="2:17" ht="12.75">
      <c r="B266" s="178"/>
      <c r="C266" s="253"/>
      <c r="D266" s="257" t="s">
        <v>2200</v>
      </c>
      <c r="E266" s="257"/>
      <c r="O266" s="252"/>
      <c r="P266" s="874"/>
      <c r="Q266" s="874"/>
    </row>
    <row r="267" spans="2:17" ht="12.75">
      <c r="B267" s="178"/>
      <c r="C267" s="253"/>
      <c r="D267" s="252"/>
      <c r="E267" s="252"/>
      <c r="O267" s="252"/>
      <c r="P267" s="874"/>
      <c r="Q267" s="874"/>
    </row>
    <row r="268" spans="2:17" ht="12.75">
      <c r="B268" s="178"/>
      <c r="C268" s="253"/>
      <c r="D268" s="257" t="s">
        <v>378</v>
      </c>
      <c r="E268" s="257"/>
      <c r="O268" s="252"/>
      <c r="P268" s="874"/>
      <c r="Q268" s="874"/>
    </row>
    <row r="269" spans="2:17" ht="4.5" customHeight="1">
      <c r="B269" s="178"/>
      <c r="C269" s="253"/>
      <c r="D269" s="257"/>
      <c r="E269" s="257"/>
      <c r="F269" s="255"/>
      <c r="G269" s="255"/>
      <c r="H269" s="255"/>
      <c r="I269" s="255"/>
      <c r="J269" s="255"/>
      <c r="K269" s="255"/>
      <c r="L269" s="255"/>
      <c r="M269" s="255"/>
      <c r="N269" s="255"/>
      <c r="O269" s="252"/>
      <c r="P269" s="874"/>
      <c r="Q269" s="874"/>
    </row>
    <row r="270" spans="2:17" ht="13.5" customHeight="1">
      <c r="B270" s="178"/>
      <c r="C270" s="253"/>
      <c r="D270" s="257"/>
      <c r="E270" s="257"/>
      <c r="F270" s="255"/>
      <c r="G270" s="255"/>
      <c r="H270" s="255"/>
      <c r="I270" s="255"/>
      <c r="J270" s="255"/>
      <c r="K270" s="255"/>
      <c r="L270" s="255"/>
      <c r="M270" s="252"/>
      <c r="N270" s="252"/>
      <c r="O270" s="252"/>
      <c r="P270" s="874"/>
      <c r="Q270" s="874"/>
    </row>
    <row r="271" spans="2:17" ht="13.5" thickBot="1">
      <c r="B271" s="178"/>
      <c r="C271" s="533"/>
      <c r="D271" s="558"/>
      <c r="E271" s="558"/>
      <c r="F271" s="558"/>
      <c r="G271" s="558"/>
      <c r="H271" s="534"/>
      <c r="I271" s="534"/>
      <c r="J271" s="534"/>
      <c r="K271" s="534"/>
      <c r="L271" s="534"/>
      <c r="M271" s="534"/>
      <c r="N271" s="534"/>
      <c r="O271" s="534"/>
      <c r="P271" s="874"/>
      <c r="Q271" s="874"/>
    </row>
    <row r="272" spans="2:17" ht="12.75">
      <c r="B272" s="178"/>
      <c r="C272" s="178"/>
      <c r="D272" s="178"/>
      <c r="E272" s="178"/>
      <c r="F272" s="178"/>
      <c r="G272" s="178"/>
      <c r="H272" s="178"/>
      <c r="I272" s="178"/>
      <c r="J272" s="178"/>
      <c r="K272" s="178"/>
      <c r="L272" s="178"/>
      <c r="M272" s="178"/>
      <c r="N272" s="178"/>
      <c r="O272" s="178"/>
      <c r="P272" s="874"/>
      <c r="Q272" s="874"/>
    </row>
    <row r="273" spans="2:34" ht="12.75">
      <c r="B273" s="178"/>
      <c r="C273" s="178"/>
      <c r="D273" s="178"/>
      <c r="E273" s="178"/>
      <c r="F273" s="178"/>
      <c r="G273" s="178"/>
      <c r="H273" s="178"/>
      <c r="I273" s="178"/>
      <c r="J273" s="178"/>
      <c r="K273" s="178"/>
      <c r="L273" s="178"/>
      <c r="M273" s="178"/>
      <c r="N273" s="178"/>
      <c r="O273" s="178"/>
      <c r="P273" s="874"/>
      <c r="Q273" s="874"/>
    </row>
    <row r="274" spans="2:34" ht="12.75">
      <c r="B274" s="178"/>
      <c r="C274" s="178"/>
      <c r="D274" s="178"/>
      <c r="E274" s="178"/>
      <c r="F274" s="178"/>
      <c r="G274" s="178"/>
      <c r="H274" s="178"/>
      <c r="I274" s="178"/>
      <c r="J274" s="178"/>
      <c r="K274" s="178"/>
      <c r="L274" s="178"/>
      <c r="M274" s="178"/>
      <c r="N274" s="178"/>
      <c r="O274" s="178"/>
      <c r="P274" s="874"/>
      <c r="Q274" s="874"/>
    </row>
    <row r="275" spans="2:34" s="263" customFormat="1" ht="6" customHeight="1">
      <c r="B275" s="307"/>
      <c r="C275" s="308"/>
      <c r="D275" s="308"/>
      <c r="E275" s="291"/>
      <c r="F275" s="291"/>
      <c r="G275" s="291"/>
      <c r="H275" s="291"/>
      <c r="I275" s="291"/>
      <c r="J275" s="291"/>
      <c r="K275" s="291"/>
      <c r="L275" s="291"/>
      <c r="M275" s="291"/>
      <c r="N275" s="291"/>
      <c r="O275" s="291"/>
      <c r="P275" s="874"/>
      <c r="Q275" s="874"/>
      <c r="R275" s="102"/>
      <c r="S275" s="102"/>
      <c r="T275" s="102"/>
      <c r="U275" s="102"/>
      <c r="V275" s="102"/>
      <c r="W275" s="309"/>
      <c r="AD275" s="284"/>
    </row>
    <row r="276" spans="2:34" s="285" customFormat="1" ht="13.5" thickBot="1">
      <c r="B276" s="286"/>
      <c r="C276" s="288"/>
      <c r="D276" s="472"/>
      <c r="E276" s="288"/>
      <c r="F276" s="288"/>
      <c r="G276" s="288"/>
      <c r="H276" s="288"/>
      <c r="I276" s="288"/>
      <c r="J276" s="288"/>
      <c r="K276" s="288"/>
      <c r="L276" s="288"/>
      <c r="M276" s="288"/>
      <c r="N276" s="288"/>
      <c r="O276" s="288"/>
      <c r="P276" s="874"/>
      <c r="Q276" s="874"/>
      <c r="R276" s="102"/>
      <c r="S276" s="102"/>
      <c r="T276" s="102"/>
      <c r="U276" s="102"/>
      <c r="V276" s="102"/>
      <c r="W276" s="289"/>
      <c r="Y276" s="284"/>
    </row>
    <row r="277" spans="2:34" s="285" customFormat="1" ht="15">
      <c r="B277" s="286"/>
      <c r="C277" s="712" t="s">
        <v>3747</v>
      </c>
      <c r="D277" s="713"/>
      <c r="E277" s="710"/>
      <c r="F277" s="711"/>
      <c r="G277" s="711"/>
      <c r="H277" s="711"/>
      <c r="I277" s="711"/>
      <c r="J277" s="710"/>
      <c r="K277" s="710"/>
      <c r="L277" s="711"/>
      <c r="M277" s="711"/>
      <c r="N277" s="711"/>
      <c r="O277" s="711"/>
      <c r="P277" s="874"/>
      <c r="Q277" s="874"/>
      <c r="R277" s="102"/>
      <c r="S277" s="102"/>
      <c r="T277" s="102"/>
      <c r="U277" s="102"/>
      <c r="V277" s="102"/>
      <c r="W277" s="289"/>
      <c r="Y277" s="284"/>
    </row>
    <row r="278" spans="2:34" s="285" customFormat="1" ht="15">
      <c r="B278" s="286"/>
      <c r="C278" s="580"/>
      <c r="D278" s="472"/>
      <c r="E278" s="288"/>
      <c r="F278" s="290"/>
      <c r="G278" s="290"/>
      <c r="H278" s="290"/>
      <c r="I278" s="290"/>
      <c r="J278" s="288"/>
      <c r="K278" s="288"/>
      <c r="L278" s="290"/>
      <c r="M278" s="290"/>
      <c r="N278" s="290"/>
      <c r="O278" s="290"/>
      <c r="P278" s="874"/>
      <c r="Q278" s="874"/>
      <c r="R278" s="102"/>
      <c r="S278" s="102"/>
      <c r="T278" s="102"/>
      <c r="U278" s="102"/>
      <c r="V278" s="102"/>
      <c r="W278" s="289"/>
      <c r="Y278" s="284"/>
    </row>
    <row r="279" spans="2:34" s="285" customFormat="1" ht="39.950000000000003" customHeight="1">
      <c r="B279" s="286"/>
      <c r="C279" s="716"/>
      <c r="D279" s="290"/>
      <c r="E279" s="288"/>
      <c r="F279" s="333" t="s">
        <v>2834</v>
      </c>
      <c r="G279" s="717"/>
      <c r="H279" s="717" t="s">
        <v>4642</v>
      </c>
      <c r="I279" s="717"/>
      <c r="J279" s="288"/>
      <c r="K279" s="288"/>
      <c r="L279" s="717" t="s">
        <v>3748</v>
      </c>
      <c r="M279" s="717"/>
      <c r="N279" s="717" t="s">
        <v>3749</v>
      </c>
      <c r="O279" s="717"/>
      <c r="P279" s="874"/>
      <c r="Q279" s="874"/>
      <c r="R279" s="291"/>
      <c r="S279" s="291"/>
      <c r="T279" s="291"/>
      <c r="U279" s="291"/>
      <c r="V279" s="291"/>
      <c r="W279" s="289"/>
      <c r="Y279" s="284"/>
      <c r="AE279" s="285" t="s">
        <v>3760</v>
      </c>
      <c r="AF279" s="285" t="s">
        <v>1325</v>
      </c>
      <c r="AG279" s="285" t="s">
        <v>4197</v>
      </c>
      <c r="AH279" s="285" t="s">
        <v>4198</v>
      </c>
    </row>
    <row r="280" spans="2:34" s="285" customFormat="1" ht="13.5" thickBot="1">
      <c r="B280" s="286"/>
      <c r="C280" s="716"/>
      <c r="D280" s="290"/>
      <c r="E280" s="288"/>
      <c r="F280" s="333" t="s">
        <v>1598</v>
      </c>
      <c r="G280" s="367"/>
      <c r="I280" s="367"/>
      <c r="J280" s="288"/>
      <c r="K280" s="288"/>
      <c r="M280" s="367"/>
      <c r="O280" s="367"/>
      <c r="P280" s="874"/>
      <c r="Q280" s="874"/>
      <c r="R280" s="288"/>
      <c r="S280" s="288"/>
      <c r="T280" s="288"/>
      <c r="U280" s="288"/>
      <c r="V280" s="288"/>
      <c r="W280" s="289"/>
      <c r="Y280" s="284"/>
    </row>
    <row r="281" spans="2:34" s="285" customFormat="1" ht="13.5" thickBot="1">
      <c r="B281" s="286"/>
      <c r="C281" s="716"/>
      <c r="D281" s="290"/>
      <c r="E281" s="288"/>
      <c r="F281" s="290"/>
      <c r="G281" s="290"/>
      <c r="H281" s="290"/>
      <c r="I281" s="290"/>
      <c r="J281" s="288"/>
      <c r="K281" s="288"/>
      <c r="L281" s="290"/>
      <c r="M281" s="290"/>
      <c r="N281" s="290"/>
      <c r="O281" s="290"/>
      <c r="P281" s="874"/>
      <c r="Q281" s="874"/>
      <c r="R281" s="711"/>
      <c r="S281" s="714"/>
      <c r="T281" s="288"/>
      <c r="U281" s="288"/>
      <c r="V281" s="288"/>
      <c r="W281" s="289"/>
      <c r="Y281" s="284"/>
    </row>
    <row r="282" spans="2:34" s="285" customFormat="1" ht="13.5" thickBot="1">
      <c r="B282" s="286"/>
      <c r="C282" s="716"/>
      <c r="D282" s="290"/>
      <c r="E282" s="288"/>
      <c r="F282" s="333" t="s">
        <v>2967</v>
      </c>
      <c r="G282" s="545"/>
      <c r="H282" s="381">
        <f>INDEX(paramEmp4AttRate,xxIndexTeam)</f>
        <v>8.9941499999999994E-2</v>
      </c>
      <c r="I282" s="474"/>
      <c r="J282" s="288"/>
      <c r="K282" s="288"/>
      <c r="L282" s="381">
        <f>INDEX(paramEmp3AttRate,xxIndexTeam)</f>
        <v>0.14990249999999999</v>
      </c>
      <c r="M282" s="474"/>
      <c r="N282" s="381">
        <f>INDEX(paramEmp2AttRate,xxIndexTeam)</f>
        <v>0.19986999999999999</v>
      </c>
      <c r="O282" s="474"/>
      <c r="P282" s="874"/>
      <c r="Q282" s="874"/>
      <c r="R282" s="290"/>
      <c r="S282" s="715"/>
      <c r="T282" s="288"/>
      <c r="U282" s="288"/>
      <c r="V282" s="288"/>
      <c r="W282" s="289"/>
      <c r="Y282" s="284"/>
    </row>
    <row r="283" spans="2:34" s="285" customFormat="1" ht="3" customHeight="1" thickBot="1">
      <c r="B283" s="286"/>
      <c r="C283" s="716"/>
      <c r="D283" s="290"/>
      <c r="E283" s="288"/>
      <c r="F283" s="290"/>
      <c r="G283" s="290"/>
      <c r="H283" s="290"/>
      <c r="I283" s="290"/>
      <c r="J283" s="288"/>
      <c r="K283" s="288"/>
      <c r="L283" s="290"/>
      <c r="M283" s="290"/>
      <c r="N283" s="290"/>
      <c r="O283" s="290"/>
      <c r="P283" s="874"/>
      <c r="Q283" s="874"/>
      <c r="R283" s="288"/>
      <c r="S283" s="715"/>
      <c r="T283" s="288"/>
      <c r="U283" s="288"/>
      <c r="V283" s="288"/>
      <c r="W283" s="289"/>
      <c r="Y283" s="284"/>
    </row>
    <row r="284" spans="2:34" s="285" customFormat="1" ht="13.5" thickBot="1">
      <c r="B284" s="286"/>
      <c r="C284" s="716"/>
      <c r="D284" s="290"/>
      <c r="E284" s="288"/>
      <c r="F284" s="333" t="s">
        <v>1246</v>
      </c>
      <c r="G284" s="718"/>
      <c r="H284" s="475">
        <f>INDEX(cbalBusAEmp4,xxIndexTeam)</f>
        <v>78</v>
      </c>
      <c r="I284" s="290"/>
      <c r="J284" s="288"/>
      <c r="K284" s="288"/>
      <c r="L284" s="475">
        <f>INDEX(cbalBusAEmp3,xxIndexTeam)</f>
        <v>244</v>
      </c>
      <c r="M284" s="290"/>
      <c r="N284" s="475">
        <f>INDEX(cbalBusAEmp2,xxIndexTeam)</f>
        <v>365</v>
      </c>
      <c r="O284" s="290"/>
      <c r="P284" s="874"/>
      <c r="Q284" s="874"/>
      <c r="R284" s="288"/>
      <c r="S284" s="715"/>
      <c r="T284" s="288"/>
      <c r="U284" s="288"/>
      <c r="V284" s="288"/>
      <c r="W284" s="289"/>
      <c r="Y284" s="284"/>
    </row>
    <row r="285" spans="2:34" s="285" customFormat="1" ht="7.5" customHeight="1" thickBot="1">
      <c r="B285" s="286"/>
      <c r="C285" s="719"/>
      <c r="D285" s="720"/>
      <c r="E285" s="721"/>
      <c r="F285" s="721"/>
      <c r="G285" s="721"/>
      <c r="H285" s="721"/>
      <c r="I285" s="721"/>
      <c r="J285" s="721"/>
      <c r="K285" s="721"/>
      <c r="L285" s="721"/>
      <c r="M285" s="721"/>
      <c r="N285" s="721"/>
      <c r="O285" s="721"/>
      <c r="P285" s="874"/>
      <c r="Q285" s="874"/>
      <c r="R285" s="288"/>
      <c r="S285" s="715"/>
      <c r="T285" s="288"/>
      <c r="U285" s="288"/>
      <c r="V285" s="288"/>
      <c r="W285" s="289"/>
      <c r="Y285" s="284"/>
    </row>
    <row r="286" spans="2:34" s="285" customFormat="1" ht="7.5" customHeight="1" thickBot="1">
      <c r="B286" s="286"/>
      <c r="C286" s="723"/>
      <c r="D286" s="724"/>
      <c r="E286" s="723"/>
      <c r="F286" s="723"/>
      <c r="G286" s="723"/>
      <c r="H286" s="723"/>
      <c r="I286" s="723"/>
      <c r="J286" s="723"/>
      <c r="K286" s="723"/>
      <c r="L286" s="723"/>
      <c r="M286" s="723"/>
      <c r="N286" s="723"/>
      <c r="O286" s="723"/>
      <c r="P286" s="874"/>
      <c r="Q286" s="874"/>
      <c r="R286" s="288"/>
      <c r="S286" s="715"/>
      <c r="T286" s="288"/>
      <c r="U286" s="288"/>
      <c r="V286" s="288"/>
      <c r="W286" s="289"/>
      <c r="Y286" s="284"/>
    </row>
    <row r="287" spans="2:34" s="285" customFormat="1" ht="15">
      <c r="B287" s="286"/>
      <c r="C287" s="712" t="s">
        <v>3746</v>
      </c>
      <c r="D287" s="713"/>
      <c r="E287" s="710"/>
      <c r="F287" s="711"/>
      <c r="G287" s="711"/>
      <c r="H287" s="711"/>
      <c r="I287" s="711"/>
      <c r="J287" s="710"/>
      <c r="K287" s="710"/>
      <c r="L287" s="711"/>
      <c r="M287" s="711"/>
      <c r="N287" s="711"/>
      <c r="O287" s="711"/>
      <c r="P287" s="874"/>
      <c r="Q287" s="874"/>
      <c r="R287" s="288"/>
      <c r="S287" s="715"/>
      <c r="T287" s="288"/>
      <c r="U287" s="288"/>
      <c r="V287" s="288"/>
      <c r="W287" s="289"/>
      <c r="Y287" s="284"/>
    </row>
    <row r="288" spans="2:34" s="285" customFormat="1" ht="15">
      <c r="B288" s="286"/>
      <c r="C288" s="580"/>
      <c r="D288" s="472"/>
      <c r="E288" s="288"/>
      <c r="F288" s="290"/>
      <c r="G288" s="290"/>
      <c r="H288" s="290"/>
      <c r="I288" s="290"/>
      <c r="J288" s="288"/>
      <c r="K288" s="288"/>
      <c r="L288" s="290"/>
      <c r="M288" s="290"/>
      <c r="N288" s="290"/>
      <c r="O288" s="290"/>
      <c r="P288" s="874"/>
      <c r="Q288" s="874"/>
      <c r="R288" s="288"/>
      <c r="S288" s="715"/>
      <c r="T288" s="288"/>
      <c r="U288" s="288"/>
      <c r="V288" s="288"/>
      <c r="W288" s="289"/>
      <c r="Y288" s="284"/>
    </row>
    <row r="289" spans="2:34" s="285" customFormat="1" ht="39" thickBot="1">
      <c r="B289" s="286"/>
      <c r="C289" s="716"/>
      <c r="D289" s="290"/>
      <c r="E289" s="288"/>
      <c r="F289" s="288"/>
      <c r="G289" s="333" t="s">
        <v>2834</v>
      </c>
      <c r="H289" s="717" t="s">
        <v>4642</v>
      </c>
      <c r="I289" s="717"/>
      <c r="J289" s="288"/>
      <c r="K289" s="288"/>
      <c r="L289" s="717" t="s">
        <v>3748</v>
      </c>
      <c r="M289" s="717"/>
      <c r="N289" s="717" t="s">
        <v>3749</v>
      </c>
      <c r="O289" s="717"/>
      <c r="P289" s="874"/>
      <c r="Q289" s="874"/>
      <c r="R289" s="721"/>
      <c r="S289" s="722"/>
      <c r="T289" s="288"/>
      <c r="U289" s="288"/>
      <c r="V289" s="288"/>
      <c r="W289" s="289"/>
      <c r="Y289" s="284"/>
      <c r="AE289" s="285" t="s">
        <v>3760</v>
      </c>
      <c r="AF289" s="285" t="s">
        <v>1325</v>
      </c>
      <c r="AG289" s="285" t="s">
        <v>4197</v>
      </c>
      <c r="AH289" s="285" t="s">
        <v>4198</v>
      </c>
    </row>
    <row r="290" spans="2:34" s="285" customFormat="1" ht="13.5" thickBot="1">
      <c r="B290" s="286"/>
      <c r="C290" s="716"/>
      <c r="D290" s="290"/>
      <c r="E290" s="288"/>
      <c r="F290" s="288"/>
      <c r="G290" s="333" t="s">
        <v>1598</v>
      </c>
      <c r="I290" s="367"/>
      <c r="J290" s="288"/>
      <c r="K290" s="288"/>
      <c r="M290" s="367"/>
      <c r="O290" s="367"/>
      <c r="P290" s="874"/>
      <c r="Q290" s="874"/>
      <c r="R290" s="723"/>
      <c r="S290" s="723"/>
      <c r="T290" s="288"/>
      <c r="U290" s="288"/>
      <c r="V290" s="288"/>
      <c r="W290" s="289"/>
      <c r="Y290" s="284"/>
    </row>
    <row r="291" spans="2:34" s="285" customFormat="1" ht="13.5" thickBot="1">
      <c r="B291" s="286"/>
      <c r="C291" s="716"/>
      <c r="D291" s="290"/>
      <c r="E291" s="288"/>
      <c r="F291" s="288"/>
      <c r="G291" s="290"/>
      <c r="H291" s="290"/>
      <c r="I291" s="290"/>
      <c r="J291" s="288"/>
      <c r="K291" s="288"/>
      <c r="L291" s="290"/>
      <c r="M291" s="290"/>
      <c r="N291" s="290"/>
      <c r="O291" s="290"/>
      <c r="P291" s="874"/>
      <c r="Q291" s="874"/>
      <c r="R291" s="711"/>
      <c r="S291" s="714"/>
      <c r="T291" s="288"/>
      <c r="U291" s="288"/>
      <c r="V291" s="288"/>
      <c r="W291" s="289"/>
      <c r="Y291" s="284"/>
    </row>
    <row r="292" spans="2:34" s="285" customFormat="1" ht="13.5" thickBot="1">
      <c r="B292" s="286"/>
      <c r="C292" s="716"/>
      <c r="D292" s="290"/>
      <c r="E292" s="288"/>
      <c r="F292" s="288"/>
      <c r="G292" s="333" t="s">
        <v>2967</v>
      </c>
      <c r="H292" s="381">
        <f>INDEX(paramEmp7AttRate,xxIndexTeam)</f>
        <v>0.09</v>
      </c>
      <c r="I292" s="474"/>
      <c r="J292" s="288"/>
      <c r="K292" s="288"/>
      <c r="L292" s="381">
        <f>INDEX(paramEmp8AttRate,xxIndexTeam)</f>
        <v>0.15</v>
      </c>
      <c r="M292" s="474"/>
      <c r="N292" s="381">
        <f>INDEX(paramEmp9AttRate,xxIndexTeam)</f>
        <v>0.18</v>
      </c>
      <c r="O292" s="474"/>
      <c r="P292" s="874"/>
      <c r="Q292" s="874"/>
      <c r="R292" s="290"/>
      <c r="S292" s="715"/>
      <c r="T292" s="288"/>
      <c r="U292" s="288"/>
      <c r="V292" s="288"/>
      <c r="W292" s="289"/>
      <c r="Y292" s="284"/>
    </row>
    <row r="293" spans="2:34" s="285" customFormat="1" ht="3" customHeight="1" thickBot="1">
      <c r="B293" s="286"/>
      <c r="C293" s="716"/>
      <c r="D293" s="290"/>
      <c r="E293" s="288"/>
      <c r="F293" s="288"/>
      <c r="G293" s="290"/>
      <c r="H293" s="290"/>
      <c r="I293" s="290"/>
      <c r="J293" s="288"/>
      <c r="K293" s="288"/>
      <c r="L293" s="290"/>
      <c r="M293" s="290"/>
      <c r="N293" s="290"/>
      <c r="O293" s="290"/>
      <c r="P293" s="874"/>
      <c r="Q293" s="874"/>
      <c r="R293" s="717" t="s">
        <v>2022</v>
      </c>
      <c r="S293" s="715"/>
      <c r="T293" s="288"/>
      <c r="U293" s="288"/>
      <c r="V293" s="288"/>
      <c r="W293" s="289"/>
      <c r="Y293" s="284"/>
    </row>
    <row r="294" spans="2:34" s="285" customFormat="1" ht="13.5" thickBot="1">
      <c r="B294" s="286"/>
      <c r="C294" s="716"/>
      <c r="D294" s="290"/>
      <c r="E294" s="288"/>
      <c r="F294" s="288"/>
      <c r="G294" s="333" t="s">
        <v>1246</v>
      </c>
      <c r="H294" s="475">
        <f>INDEX(cbalBusAEmp7,xxIndexTeam)</f>
        <v>61</v>
      </c>
      <c r="I294" s="290"/>
      <c r="J294" s="288"/>
      <c r="K294" s="288"/>
      <c r="L294" s="475">
        <f>INDEX(cbalBusAEmp8,xxIndexTeam)</f>
        <v>171</v>
      </c>
      <c r="M294" s="290"/>
      <c r="N294" s="475">
        <f>INDEX(cbalBusAEmp9,xxIndexTeam)</f>
        <v>328</v>
      </c>
      <c r="O294" s="290"/>
      <c r="P294" s="874"/>
      <c r="Q294" s="874"/>
      <c r="S294" s="715"/>
      <c r="T294" s="288"/>
      <c r="U294" s="288"/>
      <c r="V294" s="288"/>
      <c r="W294" s="289"/>
      <c r="Y294" s="284"/>
    </row>
    <row r="295" spans="2:34" s="285" customFormat="1" ht="7.5" customHeight="1" thickBot="1">
      <c r="B295" s="286"/>
      <c r="C295" s="719"/>
      <c r="D295" s="720"/>
      <c r="E295" s="721"/>
      <c r="F295" s="721"/>
      <c r="G295" s="721"/>
      <c r="H295" s="721"/>
      <c r="I295" s="721"/>
      <c r="J295" s="721"/>
      <c r="K295" s="721"/>
      <c r="L295" s="721"/>
      <c r="M295" s="721"/>
      <c r="N295" s="721"/>
      <c r="O295" s="721"/>
      <c r="P295" s="874"/>
      <c r="Q295" s="874"/>
      <c r="R295" s="290"/>
      <c r="S295" s="715"/>
      <c r="T295" s="288"/>
      <c r="U295" s="288"/>
      <c r="V295" s="288"/>
      <c r="W295" s="289"/>
      <c r="Y295" s="284"/>
    </row>
    <row r="296" spans="2:34" s="285" customFormat="1" ht="13.5" thickBot="1">
      <c r="B296" s="307"/>
      <c r="C296" s="308"/>
      <c r="D296" s="308"/>
      <c r="E296" s="308"/>
      <c r="F296" s="308"/>
      <c r="G296" s="308"/>
      <c r="H296" s="308"/>
      <c r="I296" s="308"/>
      <c r="J296" s="308"/>
      <c r="K296" s="308"/>
      <c r="L296" s="308"/>
      <c r="M296" s="308"/>
      <c r="N296" s="308"/>
      <c r="O296" s="308"/>
      <c r="P296" s="874"/>
      <c r="Q296" s="874"/>
      <c r="R296" s="381">
        <f>INDEX(paramEmp1AttRate,xxIndexTeam)</f>
        <v>0.24983749999999999</v>
      </c>
      <c r="S296" s="715"/>
      <c r="T296" s="288"/>
      <c r="U296" s="288"/>
      <c r="V296" s="288"/>
      <c r="W296" s="309"/>
      <c r="Y296" s="284"/>
    </row>
    <row r="297" spans="2:34" ht="13.5" thickBot="1">
      <c r="B297" s="178"/>
      <c r="C297" s="178"/>
      <c r="D297" s="178"/>
      <c r="E297" s="178"/>
      <c r="F297" s="178"/>
      <c r="G297" s="178"/>
      <c r="H297" s="178"/>
      <c r="I297" s="178"/>
      <c r="J297" s="178"/>
      <c r="K297" s="178"/>
      <c r="L297" s="178"/>
      <c r="M297" s="178"/>
      <c r="N297" s="178"/>
      <c r="O297" s="178"/>
      <c r="P297" s="874"/>
      <c r="Q297" s="874"/>
      <c r="R297" s="290"/>
      <c r="S297" s="715"/>
      <c r="T297" s="288"/>
      <c r="U297" s="288"/>
      <c r="V297" s="288"/>
    </row>
    <row r="298" spans="2:34" s="874" customFormat="1" ht="12.75" customHeight="1" thickBot="1">
      <c r="R298" s="475">
        <f>INDEX(cbalBusAEmp1,xxIndexTeam)</f>
        <v>234</v>
      </c>
      <c r="S298" s="715"/>
      <c r="T298" s="288"/>
      <c r="U298" s="288"/>
      <c r="V298" s="288"/>
    </row>
    <row r="299" spans="2:34" s="874" customFormat="1" ht="12.75" customHeight="1" thickBot="1">
      <c r="D299" s="913">
        <v>0</v>
      </c>
      <c r="E299" s="875"/>
      <c r="F299" s="913">
        <v>0</v>
      </c>
      <c r="H299" s="913">
        <v>0</v>
      </c>
      <c r="J299" s="878" t="s">
        <v>2022</v>
      </c>
      <c r="L299" s="878" t="s">
        <v>2022</v>
      </c>
      <c r="R299" s="721"/>
      <c r="S299" s="722"/>
      <c r="T299" s="288"/>
      <c r="U299" s="288"/>
      <c r="V299" s="288"/>
    </row>
    <row r="300" spans="2:34" s="874" customFormat="1" ht="12.75" customHeight="1">
      <c r="D300" s="875"/>
      <c r="E300" s="875"/>
      <c r="F300" s="875"/>
      <c r="H300" s="875"/>
      <c r="J300" s="876"/>
      <c r="L300" s="876"/>
      <c r="R300" s="308"/>
      <c r="S300" s="308"/>
      <c r="T300" s="308"/>
      <c r="U300" s="308"/>
      <c r="V300" s="308"/>
    </row>
    <row r="301" spans="2:34" s="874" customFormat="1" ht="12.75" customHeight="1">
      <c r="D301" s="913">
        <v>0</v>
      </c>
      <c r="E301" s="875"/>
      <c r="F301" s="913">
        <v>0</v>
      </c>
      <c r="H301" s="913">
        <v>0</v>
      </c>
      <c r="J301" s="913" t="s">
        <v>2450</v>
      </c>
      <c r="L301" s="913">
        <v>120</v>
      </c>
      <c r="R301" s="102"/>
      <c r="S301" s="102"/>
      <c r="T301" s="102"/>
      <c r="U301" s="102"/>
      <c r="V301" s="102"/>
    </row>
    <row r="302" spans="2:34" s="874" customFormat="1" ht="12.75" customHeight="1">
      <c r="D302" s="875"/>
      <c r="E302" s="875"/>
      <c r="F302" s="875"/>
      <c r="H302" s="875"/>
      <c r="L302" s="875"/>
    </row>
    <row r="303" spans="2:34" s="874" customFormat="1" ht="12.75" customHeight="1">
      <c r="D303" s="901">
        <f>INDEX(capBusAEmp7Att,xxIndexTeam)</f>
        <v>6</v>
      </c>
      <c r="E303" s="875"/>
      <c r="F303" s="901">
        <f>INDEX(capBusAEmp8Att,xxIndexTeam)</f>
        <v>31</v>
      </c>
      <c r="H303" s="901">
        <f>INDEX(capBusAEmp1Att,xxIndexTeam)</f>
        <v>79</v>
      </c>
      <c r="L303" s="901">
        <f>INDEX(DataPageTrainingTargetEmp1,xxYear+3)</f>
        <v>120</v>
      </c>
    </row>
    <row r="304" spans="2:34" s="874" customFormat="1" ht="12.75" customHeight="1">
      <c r="D304" s="875"/>
      <c r="E304" s="875"/>
      <c r="F304" s="875"/>
      <c r="H304" s="875"/>
      <c r="L304" s="875"/>
    </row>
    <row r="305" spans="4:12" s="874" customFormat="1" ht="12.75" customHeight="1">
      <c r="D305" s="901">
        <f>INDEX(capBusAEmp7End,xxIndexTeam)</f>
        <v>61</v>
      </c>
      <c r="E305" s="875"/>
      <c r="F305" s="901">
        <f>INDEX(capBusAEmp8End,xxIndexTeam)</f>
        <v>171</v>
      </c>
      <c r="H305" s="901">
        <f>INDEX(capBusAEmp1End,xxIndexTeam)</f>
        <v>234</v>
      </c>
      <c r="L305" s="897">
        <v>1000</v>
      </c>
    </row>
    <row r="306" spans="4:12" s="874" customFormat="1" ht="12.75" customHeight="1">
      <c r="L306" s="875"/>
    </row>
    <row r="307" spans="4:12" s="874" customFormat="1" ht="12.75" customHeight="1">
      <c r="L307" s="896">
        <f>INDEX(DataPageTrainingBudgetTargetEmp1,xxYear+3)</f>
        <v>1000</v>
      </c>
    </row>
    <row r="308" spans="4:12" s="874" customFormat="1" ht="12.75" customHeight="1"/>
    <row r="309" spans="4:12" s="874" customFormat="1" ht="12.75" customHeight="1"/>
    <row r="310" spans="4:12" s="874" customFormat="1" ht="12.75" customHeight="1"/>
    <row r="311" spans="4:12" s="874" customFormat="1" ht="12.75" customHeight="1"/>
    <row r="312" spans="4:12" s="874" customFormat="1" ht="12.75" customHeight="1"/>
    <row r="313" spans="4:12" s="874" customFormat="1" ht="12.75" customHeight="1"/>
    <row r="314" spans="4:12" s="874" customFormat="1" ht="12.75" customHeight="1"/>
    <row r="315" spans="4:12" s="874" customFormat="1" ht="12.75" customHeight="1"/>
    <row r="316" spans="4:12" s="874" customFormat="1" ht="12.75" customHeight="1"/>
    <row r="317" spans="4:12" s="874" customFormat="1" ht="12.75" customHeight="1"/>
    <row r="318" spans="4:12" s="874" customFormat="1" ht="12.75" customHeight="1"/>
    <row r="319" spans="4:12" s="874" customFormat="1" ht="12.75" customHeight="1"/>
    <row r="320" spans="4:12" s="874" customFormat="1" ht="12.75" customHeight="1"/>
    <row r="321" s="874" customFormat="1" ht="12.75" customHeight="1"/>
    <row r="322" s="874" customFormat="1" ht="12.75" customHeight="1"/>
    <row r="323" s="874" customFormat="1" ht="12.75" customHeight="1"/>
    <row r="324" s="874" customFormat="1" ht="12.75" customHeight="1"/>
    <row r="325" s="874" customFormat="1" ht="12.75" customHeight="1"/>
    <row r="326" s="874" customFormat="1" ht="12.75" customHeight="1"/>
    <row r="327" s="874" customFormat="1" ht="12.75" customHeight="1"/>
    <row r="328" s="874" customFormat="1" ht="12.75" customHeight="1"/>
    <row r="329" s="874" customFormat="1" ht="12.75" customHeight="1"/>
    <row r="330" s="874" customFormat="1" ht="12.75" customHeight="1"/>
    <row r="331" s="874" customFormat="1" ht="12.75" customHeight="1"/>
    <row r="332" s="874" customFormat="1" ht="12.75" customHeight="1"/>
    <row r="333" s="874" customFormat="1" ht="12.75" customHeight="1"/>
    <row r="334" s="874" customFormat="1" ht="12.75" customHeight="1"/>
    <row r="335" s="874" customFormat="1" ht="12.75" customHeight="1"/>
    <row r="336" s="874" customFormat="1" ht="12.75" customHeight="1"/>
    <row r="337" s="874" customFormat="1" ht="12.75" customHeight="1"/>
    <row r="338" s="874" customFormat="1" ht="12.75" customHeight="1"/>
    <row r="339" s="874" customFormat="1" ht="12.75" customHeight="1"/>
    <row r="340" s="874" customFormat="1" ht="12.75" customHeight="1"/>
    <row r="341" s="874" customFormat="1" ht="12.75" customHeight="1"/>
    <row r="342" s="874" customFormat="1" ht="12.75" customHeight="1"/>
    <row r="343" s="874" customFormat="1" ht="12.75" customHeight="1"/>
    <row r="344" s="874" customFormat="1" ht="12.75" customHeight="1"/>
    <row r="345" s="874" customFormat="1" ht="12.75" customHeight="1"/>
    <row r="346" s="874" customFormat="1" ht="12.75" customHeight="1"/>
    <row r="347" s="874" customFormat="1" ht="12.75" customHeight="1"/>
    <row r="348" s="874" customFormat="1" ht="12.75" customHeight="1"/>
    <row r="349" s="874" customFormat="1" ht="12.75" customHeight="1"/>
    <row r="350" s="874" customFormat="1" ht="12.75" customHeight="1"/>
    <row r="351" s="874" customFormat="1" ht="12.75" customHeight="1"/>
    <row r="352" s="874" customFormat="1" ht="12.75" customHeight="1"/>
    <row r="353" s="874" customFormat="1" ht="12.75" customHeight="1"/>
    <row r="354" s="874" customFormat="1" ht="12.75" customHeight="1"/>
    <row r="355" s="874" customFormat="1" ht="12.75" customHeight="1"/>
    <row r="356" s="874" customFormat="1" ht="12.75" customHeight="1"/>
    <row r="357" s="874" customFormat="1" ht="12.75" customHeight="1"/>
    <row r="358" s="874" customFormat="1" ht="12.75" customHeight="1"/>
    <row r="359" s="874" customFormat="1" ht="12.75" customHeight="1"/>
    <row r="360" s="874" customFormat="1" ht="12.75" customHeight="1"/>
    <row r="361" s="874" customFormat="1" ht="12.75" customHeight="1"/>
    <row r="362" s="874" customFormat="1" ht="12.75" customHeight="1"/>
    <row r="363" s="874" customFormat="1" ht="12.75" customHeight="1"/>
    <row r="364" s="874" customFormat="1" ht="12.75" customHeight="1"/>
    <row r="365" s="874" customFormat="1" ht="12.75" customHeight="1"/>
    <row r="366" s="874" customFormat="1" ht="12.75" customHeight="1"/>
    <row r="367" s="874" customFormat="1" ht="12.75" customHeight="1"/>
    <row r="368" s="874" customFormat="1" ht="12.75" customHeight="1"/>
    <row r="369" s="874" customFormat="1" ht="12.75" customHeight="1"/>
    <row r="370" s="874" customFormat="1" ht="12.75" customHeight="1"/>
    <row r="371" s="874" customFormat="1" ht="12.75" customHeight="1"/>
    <row r="372" s="874" customFormat="1" ht="12.75" customHeight="1"/>
    <row r="373" s="874" customFormat="1" ht="12.75" customHeight="1"/>
    <row r="374" s="874" customFormat="1" ht="12.75" customHeight="1"/>
    <row r="375" s="874" customFormat="1" ht="12.75" customHeight="1"/>
    <row r="376" s="874" customFormat="1" ht="12.75" customHeight="1"/>
    <row r="377" s="874" customFormat="1" ht="12.75" customHeight="1"/>
    <row r="378" s="874" customFormat="1" ht="12.75" customHeight="1"/>
    <row r="379" s="874" customFormat="1" ht="12.75" customHeight="1"/>
    <row r="380" s="874" customFormat="1" ht="12.75" customHeight="1"/>
    <row r="381" s="874" customFormat="1" ht="12.75" customHeight="1"/>
    <row r="382" s="874" customFormat="1" ht="12.75" customHeight="1"/>
    <row r="383" s="874" customFormat="1" ht="12.75" customHeight="1"/>
    <row r="384" s="874" customFormat="1" ht="12.75" customHeight="1"/>
    <row r="385" s="874" customFormat="1" ht="12.75" customHeight="1"/>
    <row r="386" s="874" customFormat="1" ht="12.75" customHeight="1"/>
    <row r="387" s="874" customFormat="1" ht="12.75" customHeight="1"/>
    <row r="388" s="874" customFormat="1" ht="12.75" customHeight="1"/>
    <row r="389" s="874" customFormat="1" ht="12.75" customHeight="1"/>
    <row r="390" s="874" customFormat="1" ht="12.75" customHeight="1"/>
    <row r="391" s="874" customFormat="1" ht="12.75" customHeight="1"/>
    <row r="392" s="874" customFormat="1" ht="12.75" customHeight="1"/>
    <row r="393" s="874" customFormat="1" ht="12.75" customHeight="1"/>
    <row r="394" s="874" customFormat="1" ht="12.75" customHeight="1"/>
    <row r="395" s="874" customFormat="1" ht="12.75" customHeight="1"/>
    <row r="396" s="874" customFormat="1" ht="12.75" customHeight="1"/>
    <row r="397" s="874" customFormat="1" ht="12.75" customHeight="1"/>
    <row r="398" s="874" customFormat="1" ht="12.75" customHeight="1"/>
    <row r="399" s="874" customFormat="1" ht="12.75" customHeight="1"/>
    <row r="400" s="874" customFormat="1" ht="12.75" customHeight="1"/>
    <row r="401" s="874" customFormat="1" ht="12.75" customHeight="1"/>
    <row r="402" s="874" customFormat="1" ht="12.75" customHeight="1"/>
    <row r="403" s="874" customFormat="1" ht="12.75" customHeight="1"/>
    <row r="404" s="874" customFormat="1" ht="12.75" customHeight="1"/>
    <row r="405" s="874" customFormat="1" ht="12.75" customHeight="1"/>
    <row r="406" s="874" customFormat="1" ht="12.75" customHeight="1"/>
    <row r="407" s="874" customFormat="1" ht="12.75" customHeight="1"/>
    <row r="408" s="874" customFormat="1" ht="12.75" customHeight="1"/>
    <row r="409" s="874" customFormat="1" ht="12.75" customHeight="1"/>
    <row r="410" s="874" customFormat="1" ht="12.75" customHeight="1"/>
    <row r="411" s="874" customFormat="1" ht="12.75" customHeight="1"/>
    <row r="412" s="874" customFormat="1" ht="12.75" customHeight="1"/>
    <row r="413" s="874" customFormat="1" ht="12.75" customHeight="1"/>
    <row r="414" s="874" customFormat="1" ht="12.75" customHeight="1"/>
    <row r="415" s="874" customFormat="1" ht="12.75" customHeight="1"/>
    <row r="416" s="874" customFormat="1" ht="12.75" customHeight="1"/>
    <row r="417" s="874" customFormat="1" ht="12.75" customHeight="1"/>
    <row r="418" s="874" customFormat="1" ht="12.75" customHeight="1"/>
    <row r="419" s="874" customFormat="1" ht="12.75" customHeight="1"/>
    <row r="420" s="874" customFormat="1" ht="12.75" customHeight="1"/>
    <row r="421" s="874" customFormat="1" ht="12.75" customHeight="1"/>
    <row r="422" s="874" customFormat="1" ht="12.75" customHeight="1"/>
    <row r="423" s="874" customFormat="1" ht="12.75" customHeight="1"/>
    <row r="424" s="874" customFormat="1" ht="12.75" customHeight="1"/>
    <row r="425" s="874" customFormat="1" ht="12.75" customHeight="1"/>
    <row r="426" s="874" customFormat="1" ht="12.75" customHeight="1"/>
    <row r="427" s="874" customFormat="1" ht="12.75" customHeight="1"/>
    <row r="428" s="874" customFormat="1" ht="12.75" customHeight="1"/>
    <row r="429" s="874" customFormat="1" ht="12.75" customHeight="1"/>
    <row r="430" s="874" customFormat="1" ht="12.75" customHeight="1"/>
    <row r="431" s="874" customFormat="1" ht="12.75" customHeight="1"/>
    <row r="432" s="874" customFormat="1" ht="12.75" customHeight="1"/>
    <row r="433" s="874" customFormat="1" ht="12.75" customHeight="1"/>
    <row r="434" s="874" customFormat="1" ht="12.75" customHeight="1"/>
    <row r="435" s="874" customFormat="1" ht="12.75" customHeight="1"/>
    <row r="436" s="874" customFormat="1" ht="12.75" customHeight="1"/>
    <row r="437" s="874" customFormat="1" ht="12.75" customHeight="1"/>
    <row r="438" s="874" customFormat="1" ht="12.75" customHeight="1"/>
    <row r="439" s="874" customFormat="1" ht="12.75" customHeight="1"/>
    <row r="440" s="874" customFormat="1" ht="12.75" customHeight="1"/>
    <row r="441" s="874" customFormat="1" ht="12.75" customHeight="1"/>
    <row r="442" s="874" customFormat="1" ht="12.75" customHeight="1"/>
    <row r="443" s="874" customFormat="1" ht="12.75" customHeight="1"/>
    <row r="444" s="874" customFormat="1" ht="12.75" customHeight="1"/>
    <row r="445" s="874" customFormat="1" ht="12.75" customHeight="1"/>
  </sheetData>
  <mergeCells count="5">
    <mergeCell ref="D46:F47"/>
    <mergeCell ref="D54:F55"/>
    <mergeCell ref="D11:G12"/>
    <mergeCell ref="D68:H69"/>
    <mergeCell ref="A5:A6"/>
  </mergeCells>
  <phoneticPr fontId="0" type="noConversion"/>
  <conditionalFormatting sqref="F248">
    <cfRule type="cellIs" dxfId="114" priority="5" stopIfTrue="1" operator="greaterThan">
      <formula>1</formula>
    </cfRule>
    <cfRule type="cellIs" dxfId="113" priority="6" stopIfTrue="1" operator="lessThanOrEqual">
      <formula>1</formula>
    </cfRule>
  </conditionalFormatting>
  <conditionalFormatting sqref="L199">
    <cfRule type="cellIs" dxfId="112" priority="7" stopIfTrue="1" operator="lessThan">
      <formula>0.985</formula>
    </cfRule>
    <cfRule type="cellIs" dxfId="111" priority="8" stopIfTrue="1" operator="greaterThanOrEqual">
      <formula>0.985</formula>
    </cfRule>
  </conditionalFormatting>
  <dataValidations count="7">
    <dataValidation operator="lessThanOrEqual" allowBlank="1" showInputMessage="1" showErrorMessage="1" sqref="F183"/>
    <dataValidation type="whole" operator="greaterThanOrEqual" allowBlank="1" showInputMessage="1" showErrorMessage="1" error="Please enter a positive number" sqref="N17">
      <formula1>0</formula1>
    </dataValidation>
    <dataValidation allowBlank="1" showInputMessage="1" showErrorMessage="1" error="Must be a number between 0 and the total training hous available" sqref="J58 L58 L301 N58 H58"/>
    <dataValidation type="list" allowBlank="1" showInputMessage="1" showErrorMessage="1" sqref="H50 J50 L50 J301">
      <formula1>dataListSalary</formula1>
    </dataValidation>
    <dataValidation type="whole" operator="greaterThanOrEqual" allowBlank="1" showInputMessage="1" showErrorMessage="1" error="Must be a positive number" sqref="H301 F301 G280 D301">
      <formula1>0</formula1>
    </dataValidation>
    <dataValidation type="list" allowBlank="1" showInputMessage="1" showErrorMessage="1" error="Must be a number between 0 and the total training hous available" sqref="N71 H71">
      <formula1>"0,1,2,3,4,5"</formula1>
    </dataValidation>
    <dataValidation type="list" allowBlank="1" showInputMessage="1" showErrorMessage="1" sqref="H20 J20 L20 N20 L34">
      <formula1>dataListEmpDismiss</formula1>
    </dataValidation>
  </dataValidations>
  <pageMargins left="0.75" right="0.75" top="1" bottom="1" header="0.5" footer="0.5"/>
  <pageSetup scale="12" orientation="landscape" r:id="rId1"/>
  <headerFooter alignWithMargins="0"/>
  <drawing r:id="rId2"/>
  <legacyDrawing r:id="rId3"/>
  <controls>
    <mc:AlternateContent xmlns:mc="http://schemas.openxmlformats.org/markup-compatibility/2006">
      <mc:Choice Requires="x14">
        <control shapeId="57360" r:id="rId4" name="CommandButton1">
          <controlPr defaultSize="0" autoLine="0" r:id="rId5">
            <anchor moveWithCells="1">
              <from>
                <xdr:col>24</xdr:col>
                <xdr:colOff>28575</xdr:colOff>
                <xdr:row>348</xdr:row>
                <xdr:rowOff>0</xdr:rowOff>
              </from>
              <to>
                <xdr:col>31</xdr:col>
                <xdr:colOff>276225</xdr:colOff>
                <xdr:row>350</xdr:row>
                <xdr:rowOff>19050</xdr:rowOff>
              </to>
            </anchor>
          </controlPr>
        </control>
      </mc:Choice>
      <mc:Fallback>
        <control shapeId="57360"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0099"/>
    <pageSetUpPr fitToPage="1"/>
  </sheetPr>
  <dimension ref="A1:AK150"/>
  <sheetViews>
    <sheetView showGridLines="0" topLeftCell="K1" zoomScaleNormal="100" workbookViewId="0">
      <pane ySplit="8" topLeftCell="A12" activePane="bottomLeft" state="frozen"/>
      <selection activeCell="I18" sqref="I18"/>
      <selection pane="bottomLeft" activeCell="AB23" sqref="AB23"/>
    </sheetView>
  </sheetViews>
  <sheetFormatPr defaultColWidth="18.83203125" defaultRowHeight="12.95" customHeight="1"/>
  <cols>
    <col min="1" max="1" width="2.5" style="102" customWidth="1"/>
    <col min="2" max="2" width="2.33203125" style="102" customWidth="1"/>
    <col min="3" max="3" width="5.83203125" style="102" customWidth="1"/>
    <col min="4" max="4" width="13.83203125" style="102" customWidth="1"/>
    <col min="5" max="5" width="3.83203125" style="102" customWidth="1"/>
    <col min="6" max="6" width="13.83203125" style="102" customWidth="1"/>
    <col min="7" max="7" width="3.83203125" style="102" customWidth="1"/>
    <col min="8" max="8" width="13.83203125" style="102" customWidth="1"/>
    <col min="9" max="9" width="24.1640625" style="102" customWidth="1"/>
    <col min="10" max="10" width="8.6640625" style="102" customWidth="1"/>
    <col min="11" max="11" width="22.6640625" style="102" customWidth="1"/>
    <col min="12" max="12" width="7.5" style="102" customWidth="1"/>
    <col min="13" max="13" width="3.83203125" style="102" customWidth="1"/>
    <col min="14" max="14" width="13.83203125" style="102" customWidth="1"/>
    <col min="15" max="15" width="3.83203125" style="102" customWidth="1"/>
    <col min="16" max="16" width="13.83203125" style="102" customWidth="1"/>
    <col min="17" max="17" width="3.83203125" style="102" customWidth="1"/>
    <col min="18" max="18" width="13.83203125" style="102" customWidth="1"/>
    <col min="19" max="19" width="3.83203125" style="102" customWidth="1"/>
    <col min="20" max="20" width="13.83203125" style="102" customWidth="1"/>
    <col min="21" max="21" width="3.83203125" style="102" customWidth="1"/>
    <col min="22" max="22" width="13.83203125" style="102" customWidth="1"/>
    <col min="23" max="23" width="3.83203125" style="102" customWidth="1"/>
    <col min="24" max="24" width="13.83203125" style="102" customWidth="1"/>
    <col min="25" max="25" width="3.83203125" style="102" customWidth="1"/>
    <col min="26" max="26" width="13.83203125" style="102" customWidth="1"/>
    <col min="27" max="27" width="3.83203125" style="102" customWidth="1"/>
    <col min="28" max="28" width="13.83203125" style="102" customWidth="1"/>
    <col min="29" max="29" width="3.83203125" style="102" customWidth="1"/>
    <col min="30" max="30" width="10.6640625" style="102" bestFit="1" customWidth="1"/>
    <col min="31" max="31" width="9.5" style="102" bestFit="1" customWidth="1"/>
    <col min="32" max="16384" width="18.83203125" style="102"/>
  </cols>
  <sheetData>
    <row r="1" spans="1:37" ht="14.25" customHeight="1">
      <c r="A1" s="269"/>
      <c r="B1" s="269"/>
      <c r="C1" s="269"/>
      <c r="D1" s="269"/>
      <c r="E1" s="269"/>
      <c r="H1" s="922"/>
      <c r="I1" s="1181" t="b">
        <v>1</v>
      </c>
      <c r="J1" s="1181" t="b">
        <v>1</v>
      </c>
      <c r="K1" s="1181" t="b">
        <v>1</v>
      </c>
      <c r="L1" s="1181" t="b">
        <v>1</v>
      </c>
      <c r="M1" s="922"/>
      <c r="N1" s="269"/>
      <c r="O1" s="269"/>
      <c r="P1" s="269"/>
      <c r="Q1" s="269"/>
      <c r="R1" s="269"/>
      <c r="S1" s="269"/>
      <c r="T1" s="269"/>
      <c r="U1" s="269"/>
    </row>
    <row r="2" spans="1:37" s="866" customFormat="1" ht="4.5" customHeight="1"/>
    <row r="3" spans="1:37" s="867" customFormat="1" ht="26.25" customHeight="1">
      <c r="C3" s="867" t="s">
        <v>949</v>
      </c>
      <c r="AD3" s="867" t="s">
        <v>5261</v>
      </c>
    </row>
    <row r="4" spans="1:37" s="864" customFormat="1" ht="15.75" customHeight="1">
      <c r="B4" s="865"/>
      <c r="S4" s="870" t="str">
        <f>xxDashboard</f>
        <v>Bookings: $338.8M       Bookings CAGR: 0.0%       Revenues: $200.5M       GM: 34.8%       OM: -73.2%</v>
      </c>
    </row>
    <row r="5" spans="1:37" s="867" customFormat="1" ht="42.75" customHeight="1">
      <c r="A5" s="1522" t="s">
        <v>4906</v>
      </c>
    </row>
    <row r="6" spans="1:37" s="867" customFormat="1" ht="12" customHeight="1">
      <c r="A6" s="1522"/>
      <c r="C6" s="1327"/>
      <c r="D6" s="1328" t="s">
        <v>5305</v>
      </c>
      <c r="E6" s="1327"/>
      <c r="F6" s="1327"/>
      <c r="G6" s="1327"/>
      <c r="H6" s="1328" t="s">
        <v>5306</v>
      </c>
      <c r="I6" s="1327"/>
      <c r="J6" s="1327"/>
      <c r="K6" s="1327"/>
      <c r="L6" s="1327"/>
      <c r="M6" s="1327"/>
      <c r="N6" s="1327"/>
      <c r="O6" s="1327"/>
      <c r="P6" s="1328" t="s">
        <v>5307</v>
      </c>
      <c r="Q6" s="1327"/>
      <c r="R6" s="1327"/>
      <c r="S6" s="1327"/>
      <c r="T6" s="1328" t="s">
        <v>5308</v>
      </c>
      <c r="U6" s="1327"/>
      <c r="V6" s="1327"/>
      <c r="W6" s="1327"/>
      <c r="X6" s="1328"/>
      <c r="Y6" s="1327"/>
      <c r="Z6" s="1327"/>
      <c r="AB6" s="871"/>
    </row>
    <row r="7" spans="1:37" s="867" customFormat="1" ht="4.5" customHeight="1"/>
    <row r="8" spans="1:37" s="864" customFormat="1" ht="15.75" customHeight="1">
      <c r="B8" s="865"/>
      <c r="S8" s="870" t="str">
        <f>xxDashboardBusA</f>
        <v>Goodwilll Hours Expense: $1.5M          Employee NPS: 68.9%          Client NPS: 64.3%</v>
      </c>
    </row>
    <row r="9" spans="1:37" s="874" customFormat="1" ht="12.75"/>
    <row r="10" spans="1:37" s="919" customFormat="1" ht="18.75" customHeight="1">
      <c r="A10" s="874"/>
      <c r="B10" s="918"/>
      <c r="C10" s="918"/>
      <c r="D10" s="1523" t="s">
        <v>949</v>
      </c>
      <c r="E10" s="1523"/>
      <c r="F10" s="1523"/>
      <c r="G10" s="918"/>
      <c r="H10" s="918"/>
      <c r="I10" s="918"/>
      <c r="J10" s="918"/>
      <c r="K10" s="918"/>
      <c r="L10" s="918"/>
      <c r="M10" s="918"/>
      <c r="N10" s="918"/>
      <c r="O10" s="918"/>
      <c r="P10" s="918"/>
      <c r="Q10" s="918"/>
      <c r="R10" s="918"/>
      <c r="S10" s="918"/>
      <c r="T10" s="918"/>
      <c r="U10" s="875"/>
      <c r="V10" s="874"/>
      <c r="W10" s="874"/>
      <c r="X10" s="874"/>
      <c r="Y10" s="874"/>
      <c r="Z10" s="874"/>
      <c r="AA10" s="874"/>
      <c r="AB10" s="874"/>
      <c r="AC10" s="874"/>
      <c r="AD10" s="874"/>
      <c r="AE10" s="874"/>
      <c r="AF10" s="1178"/>
      <c r="AG10" s="1178"/>
      <c r="AH10" s="1178"/>
      <c r="AI10" s="1178"/>
      <c r="AJ10" s="1178"/>
      <c r="AK10" s="1178"/>
    </row>
    <row r="11" spans="1:37" s="919" customFormat="1" ht="12.75" customHeight="1">
      <c r="A11" s="874"/>
      <c r="B11" s="918"/>
      <c r="C11" s="918"/>
      <c r="D11" s="1523"/>
      <c r="E11" s="1523"/>
      <c r="F11" s="1523"/>
      <c r="G11" s="918"/>
      <c r="H11" s="918"/>
      <c r="I11" s="918"/>
      <c r="J11" s="918"/>
      <c r="K11" s="918"/>
      <c r="L11" s="918"/>
      <c r="M11" s="918"/>
      <c r="N11" s="918"/>
      <c r="O11" s="918"/>
      <c r="P11" s="918"/>
      <c r="Q11" s="918"/>
      <c r="R11" s="918"/>
      <c r="S11" s="918"/>
      <c r="T11" s="918"/>
      <c r="U11" s="875"/>
      <c r="V11" s="874"/>
      <c r="W11" s="874"/>
      <c r="X11" s="874"/>
      <c r="Y11" s="874"/>
      <c r="Z11" s="874"/>
      <c r="AA11" s="874"/>
      <c r="AB11" s="874"/>
      <c r="AC11" s="874"/>
      <c r="AD11" s="874"/>
      <c r="AE11" s="874"/>
      <c r="AF11" s="1178"/>
      <c r="AG11" s="1178"/>
      <c r="AH11" s="1178"/>
      <c r="AI11" s="1178"/>
      <c r="AJ11" s="1178"/>
      <c r="AK11" s="1178"/>
    </row>
    <row r="12" spans="1:37" s="919" customFormat="1" ht="3" customHeight="1">
      <c r="A12" s="874"/>
      <c r="B12" s="918"/>
      <c r="C12" s="918"/>
      <c r="D12" s="918"/>
      <c r="E12" s="918"/>
      <c r="F12" s="918"/>
      <c r="G12" s="918"/>
      <c r="H12" s="918"/>
      <c r="I12" s="918"/>
      <c r="J12" s="918"/>
      <c r="K12" s="918"/>
      <c r="L12" s="918"/>
      <c r="M12" s="918"/>
      <c r="N12" s="918"/>
      <c r="O12" s="918"/>
      <c r="P12" s="918"/>
      <c r="Q12" s="918"/>
      <c r="R12" s="918"/>
      <c r="S12" s="918"/>
      <c r="T12" s="918"/>
      <c r="U12" s="875"/>
      <c r="V12" s="874"/>
      <c r="W12" s="874"/>
      <c r="X12" s="874"/>
      <c r="Y12" s="874"/>
      <c r="Z12" s="874"/>
      <c r="AA12" s="874"/>
      <c r="AB12" s="874"/>
      <c r="AC12" s="874"/>
      <c r="AD12" s="874"/>
      <c r="AE12" s="874"/>
      <c r="AF12" s="1178"/>
      <c r="AG12" s="1178"/>
      <c r="AH12" s="1178"/>
      <c r="AI12" s="1178"/>
      <c r="AJ12" s="1178"/>
      <c r="AK12" s="1178"/>
    </row>
    <row r="13" spans="1:37" s="919" customFormat="1" ht="12.75">
      <c r="A13" s="874"/>
      <c r="B13" s="918"/>
      <c r="C13" s="918"/>
      <c r="D13" s="918"/>
      <c r="E13" s="918"/>
      <c r="F13" s="926" t="s">
        <v>950</v>
      </c>
      <c r="G13" s="918"/>
      <c r="H13" s="920"/>
      <c r="I13" s="920"/>
      <c r="J13" s="920"/>
      <c r="K13" s="920"/>
      <c r="L13" s="920"/>
      <c r="M13" s="920"/>
      <c r="N13" s="926" t="s">
        <v>189</v>
      </c>
      <c r="O13" s="920"/>
      <c r="P13" s="918"/>
      <c r="Q13" s="918"/>
      <c r="R13" s="918"/>
      <c r="S13" s="918"/>
      <c r="T13" s="918"/>
      <c r="U13" s="875"/>
      <c r="V13" s="874"/>
      <c r="W13" s="874"/>
      <c r="X13" s="874"/>
      <c r="Y13" s="874"/>
      <c r="Z13" s="874"/>
      <c r="AA13" s="874"/>
      <c r="AB13" s="874"/>
      <c r="AC13" s="874"/>
      <c r="AD13" s="874"/>
      <c r="AE13" s="874"/>
      <c r="AF13" s="1178"/>
      <c r="AG13" s="1178"/>
      <c r="AH13" s="1178"/>
      <c r="AI13" s="1178"/>
      <c r="AJ13" s="1178"/>
      <c r="AK13" s="1178"/>
    </row>
    <row r="14" spans="1:37" s="919" customFormat="1" ht="12.75">
      <c r="A14" s="874"/>
      <c r="B14" s="918"/>
      <c r="C14" s="918"/>
      <c r="D14" s="1156"/>
      <c r="E14" s="918"/>
      <c r="G14" s="918"/>
      <c r="H14" s="928" t="s">
        <v>1793</v>
      </c>
      <c r="I14" s="928" t="s">
        <v>1794</v>
      </c>
      <c r="J14" s="920" t="s">
        <v>4003</v>
      </c>
      <c r="K14" s="920" t="s">
        <v>1795</v>
      </c>
      <c r="L14" s="920" t="s">
        <v>1039</v>
      </c>
      <c r="M14" s="920"/>
      <c r="O14" s="920"/>
      <c r="P14" s="918"/>
      <c r="Q14" s="918"/>
      <c r="R14" s="918"/>
      <c r="S14" s="918"/>
      <c r="T14" s="918"/>
      <c r="U14" s="875"/>
      <c r="V14" s="874"/>
      <c r="W14" s="874"/>
      <c r="X14" s="874"/>
      <c r="Y14" s="874"/>
      <c r="Z14" s="874"/>
      <c r="AA14" s="874"/>
      <c r="AB14" s="874"/>
      <c r="AC14" s="874"/>
      <c r="AD14" s="874"/>
      <c r="AE14" s="874"/>
      <c r="AF14" s="1178"/>
      <c r="AG14" s="1178"/>
      <c r="AH14" s="1178"/>
      <c r="AI14" s="1178"/>
      <c r="AJ14" s="1178"/>
      <c r="AK14" s="1178"/>
    </row>
    <row r="15" spans="1:37" s="919" customFormat="1" ht="3" customHeight="1">
      <c r="A15" s="874"/>
      <c r="B15" s="918"/>
      <c r="C15" s="918"/>
      <c r="D15" s="1156"/>
      <c r="E15" s="918"/>
      <c r="F15" s="918"/>
      <c r="G15" s="918"/>
      <c r="H15" s="928"/>
      <c r="I15" s="928"/>
      <c r="J15" s="920"/>
      <c r="K15" s="920"/>
      <c r="L15" s="920"/>
      <c r="M15" s="920"/>
      <c r="N15" s="920"/>
      <c r="O15" s="920"/>
      <c r="P15" s="918"/>
      <c r="Q15" s="918"/>
      <c r="R15" s="918"/>
      <c r="S15" s="918"/>
      <c r="T15" s="918"/>
      <c r="U15" s="875"/>
      <c r="V15" s="874"/>
      <c r="W15" s="874"/>
      <c r="X15" s="874"/>
      <c r="Y15" s="874"/>
      <c r="Z15" s="874"/>
      <c r="AA15" s="874"/>
      <c r="AB15" s="874"/>
      <c r="AC15" s="874"/>
      <c r="AD15" s="874"/>
      <c r="AE15" s="874"/>
      <c r="AF15" s="1178"/>
      <c r="AG15" s="1178"/>
      <c r="AH15" s="1178"/>
      <c r="AI15" s="1178"/>
      <c r="AJ15" s="1178"/>
      <c r="AK15" s="1178"/>
    </row>
    <row r="16" spans="1:37" s="919" customFormat="1" ht="12.75">
      <c r="A16" s="874"/>
      <c r="B16" s="918"/>
      <c r="C16" s="918"/>
      <c r="D16" s="925"/>
      <c r="E16" s="920" t="s">
        <v>661</v>
      </c>
      <c r="F16" s="1091">
        <v>0</v>
      </c>
      <c r="G16" s="918"/>
      <c r="H16" s="928" t="b">
        <f>COUNTIF(adj!$B$84:$B$198,F16)&gt;0</f>
        <v>0</v>
      </c>
      <c r="I16" s="1234" t="b">
        <f>COUNTIF(obal!$E$475:$E$501,F16)=0</f>
        <v>0</v>
      </c>
      <c r="J16" s="920" t="b">
        <v>1</v>
      </c>
      <c r="K16" s="920" t="b">
        <v>1</v>
      </c>
      <c r="L16" s="1477">
        <f>tlInputSpecProg1Check*H16*I16*J16*K16</f>
        <v>0</v>
      </c>
      <c r="M16" s="920"/>
      <c r="N16" s="1526" t="str">
        <f>IF(F16=0,"-",IF(H16=FALSE,"Not Valid",IF(I16=FALSE,"Used Previously",IF(J16=FALSE,"Prerequisite Required",IF(K16=FALSE,"Used This Year",VLOOKUP(L16,adj!$B$83:$C$275,2,FALSE))))))</f>
        <v>-</v>
      </c>
      <c r="O16" s="1526"/>
      <c r="P16" s="1526"/>
      <c r="Q16" s="1526"/>
      <c r="R16" s="1526"/>
      <c r="S16" s="1526"/>
      <c r="T16" s="1526"/>
      <c r="U16" s="875"/>
      <c r="V16" s="874"/>
      <c r="W16" s="874"/>
      <c r="X16" s="874"/>
      <c r="Y16" s="874"/>
      <c r="Z16" s="874"/>
      <c r="AA16" s="874"/>
      <c r="AB16" s="874"/>
      <c r="AC16" s="874"/>
      <c r="AD16" s="874"/>
      <c r="AE16" s="874"/>
      <c r="AF16" s="1506">
        <f>tlOutputSpecProg1Check</f>
        <v>0</v>
      </c>
      <c r="AG16" s="1178"/>
      <c r="AH16" s="1178"/>
      <c r="AI16" s="1178"/>
      <c r="AJ16" s="1178"/>
      <c r="AK16" s="1178"/>
    </row>
    <row r="17" spans="1:37" s="919" customFormat="1" ht="12.75">
      <c r="A17" s="874"/>
      <c r="B17" s="918"/>
      <c r="C17" s="918"/>
      <c r="D17" s="925"/>
      <c r="E17" s="920"/>
      <c r="F17" s="918"/>
      <c r="G17" s="918"/>
      <c r="H17" s="928"/>
      <c r="I17" s="928"/>
      <c r="J17" s="920"/>
      <c r="K17" s="920"/>
      <c r="L17" s="1477"/>
      <c r="M17" s="920"/>
      <c r="N17" s="920"/>
      <c r="O17" s="920"/>
      <c r="P17" s="918"/>
      <c r="Q17" s="918"/>
      <c r="R17" s="918"/>
      <c r="S17" s="918"/>
      <c r="T17" s="918"/>
      <c r="U17" s="875"/>
      <c r="V17" s="874"/>
      <c r="W17" s="874"/>
      <c r="X17" s="874"/>
      <c r="Y17" s="874"/>
      <c r="Z17" s="874"/>
      <c r="AA17" s="874"/>
      <c r="AB17" s="874"/>
      <c r="AC17" s="874"/>
      <c r="AD17" s="874"/>
      <c r="AE17" s="874"/>
      <c r="AF17" s="1178"/>
      <c r="AG17" s="1178"/>
      <c r="AH17" s="1178"/>
      <c r="AI17" s="1178"/>
      <c r="AJ17" s="1178"/>
      <c r="AK17" s="1178"/>
    </row>
    <row r="18" spans="1:37" s="919" customFormat="1" ht="12.75">
      <c r="A18" s="874"/>
      <c r="B18" s="918"/>
      <c r="C18" s="918"/>
      <c r="D18" s="925"/>
      <c r="E18" s="920" t="s">
        <v>662</v>
      </c>
      <c r="F18" s="1091">
        <v>0</v>
      </c>
      <c r="G18" s="918"/>
      <c r="H18" s="928" t="b">
        <f>COUNTIF(adj!$B$84:$B$198,F18)&gt;0</f>
        <v>0</v>
      </c>
      <c r="I18" s="1234" t="b">
        <f>COUNTIF(obal!$E$475:$E$501,F18)=0</f>
        <v>0</v>
      </c>
      <c r="J18" s="920" t="b">
        <v>1</v>
      </c>
      <c r="K18" s="920" t="b">
        <f>COUNTIF($F$16:F17,F18)=0</f>
        <v>0</v>
      </c>
      <c r="L18" s="1477">
        <f>tlInputSpecProg2Check*H18*I18*J18*K18</f>
        <v>0</v>
      </c>
      <c r="M18" s="920"/>
      <c r="N18" s="1526" t="str">
        <f>IF(F18=0,"-",IF(H18=FALSE,"Not Valid",IF(I18=FALSE,"Used Previously",IF(J18=FALSE,"Prerequisite Required",IF(K18=FALSE,"Used This Year",VLOOKUP(L18,adj!$B$83:$C$275,2,FALSE))))))</f>
        <v>-</v>
      </c>
      <c r="O18" s="1526"/>
      <c r="P18" s="1526"/>
      <c r="Q18" s="1526"/>
      <c r="R18" s="1526"/>
      <c r="S18" s="1526"/>
      <c r="T18" s="1526"/>
      <c r="U18" s="875"/>
      <c r="V18" s="874"/>
      <c r="W18" s="874"/>
      <c r="X18" s="874"/>
      <c r="Y18" s="874"/>
      <c r="Z18" s="874"/>
      <c r="AA18" s="874"/>
      <c r="AB18" s="874"/>
      <c r="AC18" s="874"/>
      <c r="AD18" s="874"/>
      <c r="AE18" s="874"/>
      <c r="AF18" s="1506">
        <f>tlOutputSpecProg2Check</f>
        <v>0</v>
      </c>
      <c r="AG18" s="1178"/>
      <c r="AH18" s="1178"/>
      <c r="AI18" s="1178"/>
      <c r="AJ18" s="1178"/>
      <c r="AK18" s="1178"/>
    </row>
    <row r="19" spans="1:37" s="919" customFormat="1" ht="12.75">
      <c r="A19" s="874"/>
      <c r="B19" s="918"/>
      <c r="C19" s="918"/>
      <c r="D19" s="925"/>
      <c r="E19" s="920"/>
      <c r="F19" s="918"/>
      <c r="G19" s="918"/>
      <c r="H19" s="928"/>
      <c r="I19" s="928"/>
      <c r="J19" s="920"/>
      <c r="K19" s="920"/>
      <c r="L19" s="1477"/>
      <c r="M19" s="920"/>
      <c r="N19" s="920"/>
      <c r="O19" s="920"/>
      <c r="P19" s="918"/>
      <c r="Q19" s="918"/>
      <c r="R19" s="918"/>
      <c r="S19" s="918"/>
      <c r="T19" s="918"/>
      <c r="U19" s="875"/>
      <c r="V19" s="874"/>
      <c r="W19" s="874"/>
      <c r="X19" s="874"/>
      <c r="Y19" s="874"/>
      <c r="Z19" s="874"/>
      <c r="AA19" s="874"/>
      <c r="AB19" s="874"/>
      <c r="AC19" s="874"/>
      <c r="AD19" s="874"/>
      <c r="AE19" s="874"/>
      <c r="AF19" s="1178"/>
      <c r="AG19" s="1178"/>
      <c r="AH19" s="1178"/>
      <c r="AI19" s="1178"/>
      <c r="AJ19" s="1178"/>
      <c r="AK19" s="1178"/>
    </row>
    <row r="20" spans="1:37" s="919" customFormat="1" ht="12.75">
      <c r="A20" s="874"/>
      <c r="B20" s="918"/>
      <c r="C20" s="918"/>
      <c r="D20" s="925"/>
      <c r="E20" s="920" t="s">
        <v>663</v>
      </c>
      <c r="F20" s="1091">
        <v>0</v>
      </c>
      <c r="G20" s="918"/>
      <c r="H20" s="928" t="b">
        <f>COUNTIF(adj!$B$84:$B$198,F20)&gt;0</f>
        <v>0</v>
      </c>
      <c r="I20" s="1234" t="b">
        <f>COUNTIF(obal!$E$475:$E$501,F20)=0</f>
        <v>0</v>
      </c>
      <c r="J20" s="920" t="b">
        <v>1</v>
      </c>
      <c r="K20" s="920" t="b">
        <f>COUNTIF($F$16:F19,F20)=0</f>
        <v>0</v>
      </c>
      <c r="L20" s="1477">
        <f>tlInputSpecProg3Check*H20*I20*J20*K20</f>
        <v>0</v>
      </c>
      <c r="M20" s="920"/>
      <c r="N20" s="1526" t="str">
        <f>IF(F20=0,"-",IF(H20=FALSE,"Not Valid",IF(I20=FALSE,"Used Previously",IF(J20=FALSE,"Prerequisite Required",IF(K20=FALSE,"Used This Year",VLOOKUP(L20,adj!$B$83:$C$275,2,FALSE))))))</f>
        <v>-</v>
      </c>
      <c r="O20" s="1526"/>
      <c r="P20" s="1526"/>
      <c r="Q20" s="1526"/>
      <c r="R20" s="1526"/>
      <c r="S20" s="1526"/>
      <c r="T20" s="1526"/>
      <c r="U20" s="875"/>
      <c r="V20" s="874"/>
      <c r="W20" s="874"/>
      <c r="X20" s="874"/>
      <c r="Y20" s="874"/>
      <c r="Z20" s="874"/>
      <c r="AA20" s="874"/>
      <c r="AB20" s="874"/>
      <c r="AC20" s="874"/>
      <c r="AD20" s="874"/>
      <c r="AE20" s="874"/>
      <c r="AF20" s="1506">
        <f>tlOutputSpecProg3Check</f>
        <v>0</v>
      </c>
      <c r="AG20" s="1178"/>
      <c r="AH20" s="1178"/>
      <c r="AI20" s="1178"/>
      <c r="AJ20" s="1178"/>
      <c r="AK20" s="1178"/>
    </row>
    <row r="21" spans="1:37" s="919" customFormat="1" ht="12.75">
      <c r="A21" s="874"/>
      <c r="B21" s="918"/>
      <c r="C21" s="918"/>
      <c r="D21" s="925"/>
      <c r="E21" s="920"/>
      <c r="F21" s="918"/>
      <c r="G21" s="918"/>
      <c r="H21" s="928"/>
      <c r="I21" s="928"/>
      <c r="J21" s="920"/>
      <c r="K21" s="920"/>
      <c r="L21" s="1477"/>
      <c r="M21" s="920"/>
      <c r="N21" s="920"/>
      <c r="O21" s="920"/>
      <c r="P21" s="918"/>
      <c r="Q21" s="918"/>
      <c r="R21" s="918"/>
      <c r="S21" s="918"/>
      <c r="T21" s="918"/>
      <c r="U21" s="875"/>
      <c r="V21" s="874"/>
      <c r="W21" s="874"/>
      <c r="X21" s="874"/>
      <c r="Y21" s="874"/>
      <c r="Z21" s="874"/>
      <c r="AA21" s="874"/>
      <c r="AB21" s="874"/>
      <c r="AC21" s="874"/>
      <c r="AD21" s="874"/>
      <c r="AE21" s="874"/>
      <c r="AF21" s="1178"/>
      <c r="AG21" s="1178"/>
      <c r="AH21" s="1178"/>
      <c r="AI21" s="1178"/>
      <c r="AJ21" s="1178"/>
      <c r="AK21" s="1178"/>
    </row>
    <row r="22" spans="1:37" s="919" customFormat="1" ht="12.75">
      <c r="A22" s="874"/>
      <c r="B22" s="918"/>
      <c r="C22" s="918"/>
      <c r="D22" s="925"/>
      <c r="E22" s="920" t="s">
        <v>4224</v>
      </c>
      <c r="F22" s="1091">
        <v>0</v>
      </c>
      <c r="G22" s="918"/>
      <c r="H22" s="928" t="b">
        <f>COUNTIF(adj!$B$84:$B$198,F22)&gt;0</f>
        <v>0</v>
      </c>
      <c r="I22" s="1234" t="b">
        <f>COUNTIF(obal!$E$475:$E$501,F22)=0</f>
        <v>0</v>
      </c>
      <c r="J22" s="920" t="b">
        <v>1</v>
      </c>
      <c r="K22" s="920" t="b">
        <f>COUNTIF($F$16:F21,F22)=0</f>
        <v>0</v>
      </c>
      <c r="L22" s="1477">
        <f>tlInputSpecProg4Check*H22*I22*J22*K22</f>
        <v>0</v>
      </c>
      <c r="M22" s="920"/>
      <c r="N22" s="1526" t="str">
        <f>IF(F22=0,"-",IF(H22=FALSE,"Not Valid",IF(I22=FALSE,"Used Previously",IF(J22=FALSE,"Prerequisite Required",IF(K22=FALSE,"Used This Year",VLOOKUP(L22,adj!$B$83:$C$275,2,FALSE))))))</f>
        <v>-</v>
      </c>
      <c r="O22" s="1526"/>
      <c r="P22" s="1526"/>
      <c r="Q22" s="1526"/>
      <c r="R22" s="1526"/>
      <c r="S22" s="1526"/>
      <c r="T22" s="1526"/>
      <c r="U22" s="875"/>
      <c r="V22" s="874"/>
      <c r="W22" s="874"/>
      <c r="X22" s="874"/>
      <c r="Y22" s="874"/>
      <c r="Z22" s="874"/>
      <c r="AA22" s="874"/>
      <c r="AB22" s="874"/>
      <c r="AC22" s="874"/>
      <c r="AD22" s="874"/>
      <c r="AE22" s="874"/>
      <c r="AF22" s="1506">
        <f>tlOutputSpecProg4Check</f>
        <v>0</v>
      </c>
      <c r="AG22" s="1178"/>
      <c r="AH22" s="1178"/>
      <c r="AI22" s="1178"/>
      <c r="AJ22" s="1178"/>
      <c r="AK22" s="1178"/>
    </row>
    <row r="23" spans="1:37" s="919" customFormat="1" ht="12.75">
      <c r="A23" s="874"/>
      <c r="B23" s="918"/>
      <c r="C23" s="918"/>
      <c r="D23" s="925"/>
      <c r="E23" s="920"/>
      <c r="F23" s="918"/>
      <c r="G23" s="918"/>
      <c r="H23" s="928"/>
      <c r="I23" s="928"/>
      <c r="J23" s="920"/>
      <c r="K23" s="920"/>
      <c r="L23" s="920"/>
      <c r="M23" s="920"/>
      <c r="N23" s="920"/>
      <c r="O23" s="920"/>
      <c r="P23" s="918"/>
      <c r="Q23" s="918"/>
      <c r="R23" s="918"/>
      <c r="S23" s="918"/>
      <c r="T23" s="918"/>
      <c r="U23" s="875"/>
      <c r="V23" s="874"/>
      <c r="W23" s="874"/>
      <c r="X23" s="874"/>
      <c r="Y23" s="874"/>
      <c r="Z23" s="874"/>
      <c r="AA23" s="874"/>
      <c r="AB23" s="874"/>
      <c r="AC23" s="874"/>
      <c r="AD23" s="874"/>
      <c r="AE23" s="874"/>
      <c r="AF23" s="1178"/>
      <c r="AG23" s="1178"/>
      <c r="AH23" s="1178"/>
      <c r="AI23" s="1178"/>
      <c r="AJ23" s="1178"/>
      <c r="AK23" s="1178"/>
    </row>
    <row r="24" spans="1:37" s="919" customFormat="1" ht="12.75">
      <c r="A24" s="874"/>
      <c r="B24" s="918"/>
      <c r="C24" s="918"/>
      <c r="D24" s="925"/>
      <c r="E24" s="920" t="s">
        <v>41</v>
      </c>
      <c r="F24" s="913">
        <v>0</v>
      </c>
      <c r="G24" s="918"/>
      <c r="H24" s="928" t="b">
        <f>COUNTIF(adj!$B$200:$B$275,F24)&gt;0</f>
        <v>0</v>
      </c>
      <c r="I24" s="928" t="b">
        <f>COUNTIF(obal!$E$475:$E$501,F24)=0</f>
        <v>0</v>
      </c>
      <c r="J24" s="920" t="b">
        <v>1</v>
      </c>
      <c r="K24" s="920" t="b">
        <f>COUNTIF($F$16:F23,F24)=0</f>
        <v>0</v>
      </c>
      <c r="L24" s="920">
        <f>tlInputSpecProg5Check*H24*I24*J24*K24</f>
        <v>0</v>
      </c>
      <c r="M24" s="920"/>
      <c r="N24" s="1525" t="str">
        <f>IF(F24=0,"-",IF(H24=FALSE,"Not Valid",IF(I24=FALSE,"Used Previously",IF(J24=FALSE,"Prerequisite Required",IF(K24=FALSE,"Used This Year",VLOOKUP(L24,adj!$B$83:$C$275,2,FALSE))))))</f>
        <v>-</v>
      </c>
      <c r="O24" s="1525"/>
      <c r="P24" s="1525"/>
      <c r="Q24" s="1525"/>
      <c r="R24" s="1525"/>
      <c r="S24" s="1525"/>
      <c r="T24" s="1525"/>
      <c r="U24" s="875"/>
      <c r="V24" s="874"/>
      <c r="W24" s="874"/>
      <c r="X24" s="874"/>
      <c r="Y24" s="874"/>
      <c r="Z24" s="874"/>
      <c r="AA24" s="874"/>
      <c r="AB24" s="874"/>
      <c r="AC24" s="874"/>
      <c r="AD24" s="874"/>
      <c r="AE24" s="874"/>
      <c r="AF24" s="1506">
        <f>tlOutputSpecProg5Check</f>
        <v>0</v>
      </c>
      <c r="AG24" s="1178"/>
      <c r="AH24" s="1178"/>
      <c r="AI24" s="1178"/>
      <c r="AJ24" s="1178"/>
      <c r="AK24" s="1178"/>
    </row>
    <row r="25" spans="1:37" s="919" customFormat="1" ht="12.75">
      <c r="A25" s="874"/>
      <c r="B25" s="918"/>
      <c r="C25" s="918"/>
      <c r="D25" s="918"/>
      <c r="E25" s="918"/>
      <c r="F25" s="918"/>
      <c r="G25" s="918"/>
      <c r="H25" s="973"/>
      <c r="I25" s="973"/>
      <c r="J25" s="918"/>
      <c r="K25" s="918"/>
      <c r="L25" s="918"/>
      <c r="M25" s="918"/>
      <c r="N25" s="918"/>
      <c r="O25" s="918"/>
      <c r="P25" s="918"/>
      <c r="Q25" s="918"/>
      <c r="R25" s="918"/>
      <c r="S25" s="918"/>
      <c r="T25" s="918"/>
      <c r="U25" s="875"/>
      <c r="V25" s="874"/>
      <c r="W25" s="874"/>
      <c r="X25" s="874"/>
      <c r="Y25" s="874"/>
      <c r="Z25" s="874"/>
      <c r="AA25" s="874"/>
      <c r="AB25" s="874"/>
      <c r="AC25" s="874"/>
      <c r="AD25" s="874"/>
      <c r="AE25" s="874"/>
      <c r="AF25" s="1178"/>
      <c r="AG25" s="1178"/>
      <c r="AH25" s="1178"/>
      <c r="AI25" s="1178"/>
      <c r="AJ25" s="1178"/>
      <c r="AK25" s="1178"/>
    </row>
    <row r="26" spans="1:37" s="919" customFormat="1" ht="12.75">
      <c r="A26" s="874"/>
      <c r="B26" s="918"/>
      <c r="C26" s="918"/>
      <c r="D26" s="918"/>
      <c r="E26" s="918"/>
      <c r="F26" s="918" t="b">
        <f>COUNTIF(adj!$B$200:$B$275,D26)&gt;0</f>
        <v>0</v>
      </c>
      <c r="G26" s="918" t="b">
        <f>COUNTIF(obal!$E$475:$E$501,D26)=0</f>
        <v>0</v>
      </c>
      <c r="H26" s="918" t="b">
        <v>1</v>
      </c>
      <c r="I26" s="918" t="b">
        <f>COUNTIF($D$16:D25,D26)=0</f>
        <v>1</v>
      </c>
      <c r="J26" s="918">
        <f>tlInputSpecProg6Check*F26*G26*H26*I26</f>
        <v>0</v>
      </c>
      <c r="K26" s="918"/>
      <c r="L26" s="918" t="str">
        <f>IF(D26=0,"-",IF(F26=FALSE,"Not Valid",IF(G26=FALSE,"Used Previously",IF(H26=FALSE,"Prerequisite Required",IF(I26=FALSE,"Used This Year",VLOOKUP(J26,adj!$B$83:$C$275,2,FALSE))))))</f>
        <v>-</v>
      </c>
      <c r="M26" s="918"/>
      <c r="N26" s="918"/>
      <c r="O26" s="918"/>
      <c r="P26" s="918"/>
      <c r="Q26" s="918"/>
      <c r="R26" s="918"/>
      <c r="S26" s="918"/>
      <c r="T26" s="918"/>
      <c r="U26" s="875"/>
      <c r="V26" s="874"/>
      <c r="W26" s="874"/>
      <c r="X26" s="874"/>
      <c r="Y26" s="874"/>
      <c r="Z26" s="874"/>
      <c r="AA26" s="874"/>
      <c r="AB26" s="874"/>
      <c r="AC26" s="874"/>
      <c r="AD26" s="874"/>
      <c r="AE26" s="874"/>
      <c r="AF26" s="1506" t="str">
        <f>L26</f>
        <v>-</v>
      </c>
      <c r="AG26" s="1178"/>
      <c r="AH26" s="1178"/>
      <c r="AI26" s="1178"/>
      <c r="AJ26" s="1178"/>
      <c r="AK26" s="1178"/>
    </row>
    <row r="27" spans="1:37" s="919" customFormat="1" ht="12.75">
      <c r="A27" s="874"/>
      <c r="B27" s="918"/>
      <c r="C27" s="918"/>
      <c r="D27" s="918"/>
      <c r="E27" s="918"/>
      <c r="F27" s="918"/>
      <c r="G27" s="918"/>
      <c r="H27" s="918"/>
      <c r="I27" s="918"/>
      <c r="J27" s="918"/>
      <c r="K27" s="918"/>
      <c r="L27" s="918"/>
      <c r="M27" s="918"/>
      <c r="N27" s="918"/>
      <c r="O27" s="918"/>
      <c r="P27" s="918"/>
      <c r="Q27" s="918"/>
      <c r="R27" s="918"/>
      <c r="S27" s="918"/>
      <c r="T27" s="918"/>
      <c r="U27" s="875"/>
      <c r="V27" s="874"/>
      <c r="W27" s="874"/>
      <c r="X27" s="874"/>
      <c r="Y27" s="874"/>
      <c r="Z27" s="874"/>
      <c r="AA27" s="874"/>
      <c r="AB27" s="874"/>
      <c r="AC27" s="874"/>
      <c r="AD27" s="874"/>
      <c r="AE27" s="874"/>
      <c r="AF27" s="874"/>
      <c r="AG27" s="1178"/>
      <c r="AH27" s="1178"/>
      <c r="AI27" s="1178"/>
      <c r="AJ27" s="1178"/>
      <c r="AK27" s="1178"/>
    </row>
    <row r="28" spans="1:37" s="919" customFormat="1" ht="12.75">
      <c r="A28" s="874"/>
      <c r="B28" s="918"/>
      <c r="C28" s="918"/>
      <c r="D28" s="918"/>
      <c r="E28" s="918"/>
      <c r="F28" s="918" t="b">
        <f>COUNTIF(adj!$B$200:$B$275,D28)&gt;0</f>
        <v>0</v>
      </c>
      <c r="G28" s="918" t="b">
        <f>COUNTIF(obal!$E$475:$E$501,D28)=0</f>
        <v>0</v>
      </c>
      <c r="H28" s="918" t="b">
        <v>1</v>
      </c>
      <c r="I28" s="918" t="b">
        <f>COUNTIF($D$16:D27,D28)=0</f>
        <v>1</v>
      </c>
      <c r="J28" s="918">
        <f>tlInputSpecProg7Check*F28*G28*H28*I28</f>
        <v>0</v>
      </c>
      <c r="K28" s="918"/>
      <c r="L28" s="918" t="str">
        <f>IF(D28=0,"-",IF(F28=FALSE,"Not Valid",IF(G28=FALSE,"Used Previously",IF(H28=FALSE,"Prerequisite Required",IF(I28=FALSE,"Used This Year",VLOOKUP(J28,adj!$B$83:$C$275,2,FALSE))))))</f>
        <v>-</v>
      </c>
      <c r="M28" s="918"/>
      <c r="N28" s="918"/>
      <c r="O28" s="918"/>
      <c r="P28" s="918"/>
      <c r="Q28" s="918"/>
      <c r="R28" s="918"/>
      <c r="S28" s="918"/>
      <c r="T28" s="918"/>
      <c r="U28" s="875"/>
      <c r="V28" s="874"/>
      <c r="W28" s="874"/>
      <c r="X28" s="874"/>
      <c r="Y28" s="874"/>
      <c r="Z28" s="874"/>
      <c r="AA28" s="874"/>
      <c r="AB28" s="874"/>
      <c r="AC28" s="874"/>
      <c r="AD28" s="874"/>
      <c r="AE28" s="874"/>
      <c r="AF28" s="1506" t="str">
        <f>L28</f>
        <v>-</v>
      </c>
      <c r="AG28" s="1178"/>
      <c r="AH28" s="1178"/>
      <c r="AI28" s="1178"/>
      <c r="AJ28" s="1178"/>
      <c r="AK28" s="1178"/>
    </row>
    <row r="29" spans="1:37" s="919" customFormat="1" ht="12.75">
      <c r="A29" s="874"/>
      <c r="B29" s="918"/>
      <c r="C29" s="918"/>
      <c r="D29" s="918"/>
      <c r="E29" s="918"/>
      <c r="F29" s="918"/>
      <c r="G29" s="918"/>
      <c r="H29" s="918"/>
      <c r="I29" s="918"/>
      <c r="J29" s="918"/>
      <c r="K29" s="918"/>
      <c r="L29" s="918"/>
      <c r="M29" s="918"/>
      <c r="N29" s="918"/>
      <c r="O29" s="918"/>
      <c r="P29" s="918"/>
      <c r="Q29" s="918"/>
      <c r="R29" s="918"/>
      <c r="S29" s="918"/>
      <c r="T29" s="918"/>
      <c r="U29" s="875"/>
      <c r="V29" s="874"/>
      <c r="W29" s="874"/>
      <c r="X29" s="874"/>
      <c r="Y29" s="874"/>
      <c r="Z29" s="874"/>
      <c r="AA29" s="874"/>
      <c r="AB29" s="874"/>
      <c r="AC29" s="874"/>
      <c r="AD29" s="874"/>
      <c r="AE29" s="874"/>
      <c r="AF29" s="1178"/>
      <c r="AG29" s="1178"/>
      <c r="AH29" s="1178"/>
      <c r="AI29" s="1178"/>
      <c r="AJ29" s="1178"/>
      <c r="AK29" s="1178"/>
    </row>
    <row r="30" spans="1:37" s="919" customFormat="1" ht="12.75">
      <c r="A30" s="874"/>
      <c r="B30" s="918"/>
      <c r="C30" s="918"/>
      <c r="D30" s="918"/>
      <c r="E30" s="918"/>
      <c r="F30" s="918"/>
      <c r="G30" s="918"/>
      <c r="H30" s="918"/>
      <c r="I30" s="918"/>
      <c r="J30" s="918"/>
      <c r="K30" s="918"/>
      <c r="L30" s="918"/>
      <c r="M30" s="918"/>
      <c r="N30" s="918"/>
      <c r="O30" s="918"/>
      <c r="P30" s="918"/>
      <c r="Q30" s="918"/>
      <c r="R30" s="918"/>
      <c r="S30" s="918"/>
      <c r="T30" s="918"/>
      <c r="U30" s="875"/>
      <c r="V30" s="874"/>
      <c r="W30" s="874"/>
      <c r="X30" s="874"/>
      <c r="Y30" s="874"/>
      <c r="Z30" s="874"/>
      <c r="AA30" s="874"/>
      <c r="AB30" s="874"/>
      <c r="AC30" s="874"/>
      <c r="AD30" s="874"/>
      <c r="AE30" s="874"/>
      <c r="AF30" s="1178"/>
      <c r="AG30" s="1178"/>
      <c r="AH30" s="1178"/>
      <c r="AI30" s="1178"/>
      <c r="AJ30" s="1178"/>
      <c r="AK30" s="1178"/>
    </row>
    <row r="31" spans="1:37" s="874" customFormat="1" ht="20.25" customHeight="1"/>
    <row r="32" spans="1:37" s="919" customFormat="1" ht="12.75" customHeight="1">
      <c r="A32" s="874"/>
      <c r="C32" s="924"/>
      <c r="D32" s="1523" t="s">
        <v>4147</v>
      </c>
      <c r="E32" s="1523"/>
      <c r="F32" s="1523"/>
      <c r="G32" s="1523"/>
      <c r="H32" s="1523"/>
      <c r="I32" s="924"/>
      <c r="J32" s="924"/>
      <c r="K32" s="924"/>
      <c r="L32" s="924"/>
      <c r="M32" s="924"/>
      <c r="N32" s="924"/>
      <c r="O32" s="924"/>
      <c r="P32" s="924"/>
      <c r="Q32" s="924"/>
      <c r="R32" s="924"/>
      <c r="S32" s="924"/>
      <c r="T32" s="924"/>
      <c r="U32" s="924"/>
      <c r="V32" s="874"/>
      <c r="W32" s="874"/>
      <c r="X32" s="874"/>
      <c r="Y32" s="874"/>
      <c r="Z32" s="874"/>
      <c r="AA32" s="874"/>
      <c r="AB32" s="874"/>
      <c r="AC32" s="874"/>
      <c r="AD32" s="874"/>
      <c r="AE32" s="874"/>
      <c r="AF32" s="1178"/>
      <c r="AG32" s="1178"/>
      <c r="AH32" s="1178"/>
      <c r="AI32" s="1178"/>
      <c r="AJ32" s="1178"/>
      <c r="AK32" s="1178"/>
    </row>
    <row r="33" spans="1:37" s="919" customFormat="1" ht="12.75" customHeight="1">
      <c r="A33" s="874"/>
      <c r="B33" s="925"/>
      <c r="C33" s="920"/>
      <c r="D33" s="1523"/>
      <c r="E33" s="1523"/>
      <c r="F33" s="1523"/>
      <c r="G33" s="1523"/>
      <c r="H33" s="1523"/>
      <c r="I33" s="920"/>
      <c r="J33" s="920"/>
      <c r="K33" s="920"/>
      <c r="L33" s="920"/>
      <c r="M33" s="920"/>
      <c r="N33" s="920"/>
      <c r="O33" s="920"/>
      <c r="P33" s="920"/>
      <c r="Q33" s="920"/>
      <c r="R33" s="920"/>
      <c r="S33" s="920"/>
      <c r="T33" s="925"/>
      <c r="U33" s="924"/>
      <c r="V33" s="874"/>
      <c r="W33" s="874"/>
      <c r="X33" s="874"/>
      <c r="Y33" s="874"/>
      <c r="Z33" s="874"/>
      <c r="AA33" s="874"/>
      <c r="AB33" s="874"/>
      <c r="AC33" s="874"/>
      <c r="AD33" s="874"/>
      <c r="AE33" s="874"/>
      <c r="AF33" s="1178"/>
      <c r="AG33" s="1178"/>
      <c r="AH33" s="1178"/>
      <c r="AI33" s="1178"/>
      <c r="AJ33" s="1178"/>
      <c r="AK33" s="1178"/>
    </row>
    <row r="34" spans="1:37" s="919" customFormat="1" ht="12.75">
      <c r="A34" s="874"/>
      <c r="B34" s="925"/>
      <c r="C34" s="920"/>
      <c r="D34" s="920"/>
      <c r="E34" s="920"/>
      <c r="F34" s="920"/>
      <c r="G34" s="920"/>
      <c r="H34" s="920"/>
      <c r="I34" s="920"/>
      <c r="J34" s="920"/>
      <c r="K34" s="920"/>
      <c r="L34" s="920"/>
      <c r="M34" s="920"/>
      <c r="N34" s="920"/>
      <c r="O34" s="920"/>
      <c r="P34" s="920"/>
      <c r="Q34" s="920"/>
      <c r="R34" s="920"/>
      <c r="S34" s="920"/>
      <c r="T34" s="925"/>
      <c r="U34" s="924"/>
      <c r="V34" s="874"/>
      <c r="W34" s="874"/>
      <c r="X34" s="874"/>
      <c r="Y34" s="874"/>
      <c r="Z34" s="874"/>
      <c r="AA34" s="874"/>
      <c r="AB34" s="874"/>
      <c r="AC34" s="874"/>
      <c r="AD34" s="874"/>
      <c r="AE34" s="874"/>
      <c r="AF34" s="1178"/>
      <c r="AG34" s="1178"/>
      <c r="AH34" s="1178"/>
      <c r="AI34" s="1178"/>
      <c r="AJ34" s="1178"/>
      <c r="AK34" s="1178"/>
    </row>
    <row r="35" spans="1:37" s="919" customFormat="1" ht="12.75">
      <c r="A35" s="874"/>
      <c r="B35" s="925"/>
      <c r="C35" s="875"/>
      <c r="D35" s="925"/>
      <c r="F35" s="926" t="s">
        <v>1326</v>
      </c>
      <c r="G35" s="920"/>
      <c r="H35" s="920"/>
      <c r="I35" s="920"/>
      <c r="J35" s="920"/>
      <c r="K35" s="920"/>
      <c r="L35" s="920"/>
      <c r="M35" s="920"/>
      <c r="N35" s="920"/>
      <c r="O35" s="920"/>
      <c r="P35" s="920"/>
      <c r="Q35" s="920"/>
      <c r="R35" s="920"/>
      <c r="S35" s="925"/>
      <c r="T35" s="925"/>
      <c r="U35" s="924"/>
      <c r="V35" s="874"/>
      <c r="W35" s="874"/>
      <c r="X35" s="874"/>
      <c r="Y35" s="874"/>
      <c r="Z35" s="874"/>
      <c r="AA35" s="874"/>
      <c r="AB35" s="874"/>
      <c r="AC35" s="874"/>
      <c r="AD35" s="874"/>
      <c r="AE35" s="874"/>
      <c r="AF35" s="1178"/>
      <c r="AG35" s="1178"/>
      <c r="AH35" s="1178"/>
      <c r="AI35" s="1178"/>
      <c r="AJ35" s="1178"/>
      <c r="AK35" s="1178"/>
    </row>
    <row r="36" spans="1:37" s="919" customFormat="1" ht="12.75">
      <c r="A36" s="874"/>
      <c r="B36" s="925"/>
      <c r="C36" s="875"/>
      <c r="D36" s="925"/>
      <c r="E36" s="920"/>
      <c r="F36" s="920"/>
      <c r="G36" s="920"/>
      <c r="H36" s="920"/>
      <c r="I36" s="920"/>
      <c r="J36" s="920"/>
      <c r="K36" s="920"/>
      <c r="L36" s="920"/>
      <c r="M36" s="920"/>
      <c r="N36" s="920"/>
      <c r="O36" s="920"/>
      <c r="P36" s="920"/>
      <c r="Q36" s="920"/>
      <c r="R36" s="920"/>
      <c r="S36" s="925"/>
      <c r="T36" s="925"/>
      <c r="U36" s="924"/>
      <c r="V36" s="874"/>
      <c r="W36" s="874"/>
      <c r="X36" s="874"/>
      <c r="Y36" s="874"/>
      <c r="Z36" s="874"/>
      <c r="AA36" s="874"/>
      <c r="AB36" s="929"/>
      <c r="AC36" s="929"/>
      <c r="AD36" s="929"/>
      <c r="AE36" s="929"/>
      <c r="AF36" s="1178"/>
      <c r="AG36" s="1178"/>
      <c r="AH36" s="1178"/>
      <c r="AI36" s="1178"/>
      <c r="AJ36" s="1178"/>
      <c r="AK36" s="1178"/>
    </row>
    <row r="37" spans="1:37" s="919" customFormat="1" ht="12.75">
      <c r="A37" s="874"/>
      <c r="B37" s="925"/>
      <c r="C37" s="875"/>
      <c r="D37" s="925"/>
      <c r="E37" s="920" t="s">
        <v>661</v>
      </c>
      <c r="F37" s="1235">
        <f>INDEX(cbal!$E$476:$E$476,xxIndexTeam)</f>
        <v>0</v>
      </c>
      <c r="G37" s="920"/>
      <c r="H37" s="920"/>
      <c r="I37" s="920"/>
      <c r="J37" s="920"/>
      <c r="K37" s="920"/>
      <c r="L37" s="920"/>
      <c r="M37" s="920"/>
      <c r="N37" s="1525" t="str">
        <f>IF(F37=0,"--",VLOOKUP(F37,adj!$B$83:$C$275,2,FALSE))</f>
        <v>--</v>
      </c>
      <c r="O37" s="1525"/>
      <c r="P37" s="1525"/>
      <c r="Q37" s="1525"/>
      <c r="R37" s="1525"/>
      <c r="S37" s="1525"/>
      <c r="T37" s="1525"/>
      <c r="U37" s="924"/>
      <c r="V37" s="874"/>
      <c r="W37" s="874"/>
      <c r="X37" s="874"/>
      <c r="Y37" s="874"/>
      <c r="Z37" s="874"/>
      <c r="AA37" s="874"/>
      <c r="AB37" s="929" t="s">
        <v>4437</v>
      </c>
      <c r="AC37" s="929"/>
      <c r="AD37" s="929"/>
      <c r="AE37" s="929"/>
      <c r="AF37" s="1178"/>
      <c r="AG37" s="1178"/>
      <c r="AH37" s="1178"/>
      <c r="AI37" s="1178"/>
      <c r="AJ37" s="1178"/>
      <c r="AK37" s="1178"/>
    </row>
    <row r="38" spans="1:37" s="919" customFormat="1" ht="12.75">
      <c r="A38" s="874"/>
      <c r="B38" s="925"/>
      <c r="C38" s="875"/>
      <c r="D38" s="925"/>
      <c r="E38" s="920"/>
      <c r="F38" s="923"/>
      <c r="G38" s="920"/>
      <c r="H38" s="920"/>
      <c r="I38" s="920"/>
      <c r="J38" s="920"/>
      <c r="K38" s="920"/>
      <c r="L38" s="920"/>
      <c r="M38" s="920"/>
      <c r="N38" s="920"/>
      <c r="O38" s="920"/>
      <c r="P38" s="920"/>
      <c r="Q38" s="920"/>
      <c r="R38" s="920"/>
      <c r="S38" s="925"/>
      <c r="T38" s="925"/>
      <c r="U38" s="924"/>
      <c r="V38" s="874"/>
      <c r="W38" s="874"/>
      <c r="X38" s="874"/>
      <c r="Y38" s="874"/>
      <c r="Z38" s="874"/>
      <c r="AA38" s="874"/>
      <c r="AB38" s="929">
        <v>0</v>
      </c>
      <c r="AC38" s="929"/>
      <c r="AD38" s="929"/>
      <c r="AE38" s="929"/>
      <c r="AF38" s="1178"/>
      <c r="AG38" s="1178"/>
      <c r="AH38" s="1178"/>
      <c r="AI38" s="1178"/>
      <c r="AJ38" s="1178"/>
      <c r="AK38" s="1178"/>
    </row>
    <row r="39" spans="1:37" s="919" customFormat="1" ht="12.75">
      <c r="A39" s="874"/>
      <c r="B39" s="925"/>
      <c r="C39" s="875"/>
      <c r="D39" s="925"/>
      <c r="E39" s="920" t="s">
        <v>662</v>
      </c>
      <c r="F39" s="1235">
        <f>INDEX(cbal!$E$477:$E$477,xxIndexTeam)</f>
        <v>0</v>
      </c>
      <c r="G39" s="920"/>
      <c r="H39" s="920"/>
      <c r="I39" s="920"/>
      <c r="J39" s="920"/>
      <c r="K39" s="920"/>
      <c r="L39" s="920"/>
      <c r="M39" s="920"/>
      <c r="N39" s="1525" t="str">
        <f>IF(F39=0,"--",VLOOKUP(F39,adj!$B$83:$C$275,2,FALSE))</f>
        <v>--</v>
      </c>
      <c r="O39" s="1525"/>
      <c r="P39" s="1525"/>
      <c r="Q39" s="1525"/>
      <c r="R39" s="1525"/>
      <c r="S39" s="1525"/>
      <c r="T39" s="1525"/>
      <c r="U39" s="924"/>
      <c r="V39" s="874"/>
      <c r="W39" s="874"/>
      <c r="X39" s="874"/>
      <c r="Y39" s="874"/>
      <c r="Z39" s="874"/>
      <c r="AA39" s="874"/>
      <c r="AB39" s="929">
        <v>1</v>
      </c>
      <c r="AC39" s="929"/>
      <c r="AD39" s="929"/>
      <c r="AE39" s="929"/>
      <c r="AF39" s="1178"/>
      <c r="AG39" s="1178"/>
      <c r="AH39" s="1178"/>
      <c r="AI39" s="1178"/>
      <c r="AJ39" s="1178"/>
      <c r="AK39" s="1178"/>
    </row>
    <row r="40" spans="1:37" s="919" customFormat="1" ht="12.75">
      <c r="A40" s="874"/>
      <c r="B40" s="925"/>
      <c r="C40" s="875"/>
      <c r="D40" s="925"/>
      <c r="E40" s="920"/>
      <c r="F40" s="923"/>
      <c r="G40" s="920"/>
      <c r="H40" s="920"/>
      <c r="I40" s="920"/>
      <c r="J40" s="920"/>
      <c r="K40" s="920"/>
      <c r="L40" s="920"/>
      <c r="M40" s="920"/>
      <c r="N40" s="920"/>
      <c r="O40" s="920"/>
      <c r="P40" s="920"/>
      <c r="Q40" s="920"/>
      <c r="R40" s="920"/>
      <c r="S40" s="925"/>
      <c r="T40" s="925"/>
      <c r="U40" s="924"/>
      <c r="V40" s="874"/>
      <c r="W40" s="874"/>
      <c r="X40" s="874"/>
      <c r="Y40" s="874"/>
      <c r="Z40" s="874"/>
      <c r="AA40" s="874"/>
      <c r="AB40" s="929">
        <v>2</v>
      </c>
      <c r="AC40" s="929"/>
      <c r="AD40" s="929"/>
      <c r="AE40" s="929"/>
      <c r="AF40" s="1178"/>
      <c r="AG40" s="1178"/>
      <c r="AH40" s="1178"/>
      <c r="AI40" s="1178"/>
      <c r="AJ40" s="1178"/>
      <c r="AK40" s="1178"/>
    </row>
    <row r="41" spans="1:37" s="919" customFormat="1" ht="12.75">
      <c r="A41" s="874"/>
      <c r="B41" s="925"/>
      <c r="C41" s="875"/>
      <c r="D41" s="925"/>
      <c r="E41" s="920" t="s">
        <v>663</v>
      </c>
      <c r="F41" s="1235">
        <f>INDEX(cbal!$E$478:$E$478,xxIndexTeam)</f>
        <v>0</v>
      </c>
      <c r="G41" s="920"/>
      <c r="H41" s="920"/>
      <c r="I41" s="920"/>
      <c r="J41" s="920"/>
      <c r="K41" s="920"/>
      <c r="L41" s="920"/>
      <c r="M41" s="920"/>
      <c r="N41" s="1525" t="str">
        <f>IF(F41=0,"--",VLOOKUP(F41,adj!$B$83:$C$275,2,FALSE))</f>
        <v>--</v>
      </c>
      <c r="O41" s="1525"/>
      <c r="P41" s="1525"/>
      <c r="Q41" s="1525"/>
      <c r="R41" s="1525"/>
      <c r="S41" s="1525"/>
      <c r="T41" s="1525"/>
      <c r="U41" s="924"/>
      <c r="V41" s="874"/>
      <c r="W41" s="874"/>
      <c r="X41" s="874"/>
      <c r="Y41" s="874"/>
      <c r="Z41" s="874"/>
      <c r="AA41" s="874"/>
      <c r="AB41" s="929">
        <v>3</v>
      </c>
      <c r="AC41" s="929"/>
      <c r="AD41" s="929"/>
      <c r="AE41" s="929"/>
      <c r="AF41" s="1178"/>
      <c r="AG41" s="1178"/>
      <c r="AH41" s="1178"/>
      <c r="AI41" s="1178"/>
      <c r="AJ41" s="1178"/>
      <c r="AK41" s="1178"/>
    </row>
    <row r="42" spans="1:37" s="919" customFormat="1" ht="12.75">
      <c r="A42" s="874"/>
      <c r="B42" s="925"/>
      <c r="C42" s="875"/>
      <c r="D42" s="925"/>
      <c r="E42" s="920"/>
      <c r="F42" s="923"/>
      <c r="G42" s="920"/>
      <c r="H42" s="920"/>
      <c r="I42" s="920"/>
      <c r="J42" s="920"/>
      <c r="K42" s="920"/>
      <c r="L42" s="920"/>
      <c r="M42" s="920"/>
      <c r="N42" s="920"/>
      <c r="O42" s="920"/>
      <c r="P42" s="920"/>
      <c r="Q42" s="920"/>
      <c r="R42" s="920"/>
      <c r="S42" s="925"/>
      <c r="T42" s="925"/>
      <c r="U42" s="924"/>
      <c r="V42" s="874"/>
      <c r="W42" s="874"/>
      <c r="X42" s="874"/>
      <c r="Y42" s="874"/>
      <c r="Z42" s="874"/>
      <c r="AA42" s="874"/>
      <c r="AB42" s="929">
        <v>4</v>
      </c>
      <c r="AC42" s="929"/>
      <c r="AD42" s="929"/>
      <c r="AE42" s="929"/>
      <c r="AF42" s="1178"/>
      <c r="AG42" s="1178"/>
      <c r="AH42" s="1178"/>
      <c r="AI42" s="1178"/>
      <c r="AJ42" s="1178"/>
      <c r="AK42" s="1178"/>
    </row>
    <row r="43" spans="1:37" s="919" customFormat="1" ht="12.75">
      <c r="A43" s="874"/>
      <c r="B43" s="925"/>
      <c r="C43" s="875"/>
      <c r="D43" s="925"/>
      <c r="E43" s="920" t="s">
        <v>4224</v>
      </c>
      <c r="F43" s="1235">
        <f>INDEX(cbal!$E$479:$E$479,xxIndexTeam)</f>
        <v>0</v>
      </c>
      <c r="G43" s="920"/>
      <c r="H43" s="920"/>
      <c r="I43" s="920"/>
      <c r="J43" s="920"/>
      <c r="K43" s="920"/>
      <c r="L43" s="920"/>
      <c r="M43" s="920"/>
      <c r="N43" s="1525" t="str">
        <f>IF(F43=0,"--",VLOOKUP(F43,adj!$B$83:$C$275,2,FALSE))</f>
        <v>--</v>
      </c>
      <c r="O43" s="1525"/>
      <c r="P43" s="1525"/>
      <c r="Q43" s="1525"/>
      <c r="R43" s="1525"/>
      <c r="S43" s="1525"/>
      <c r="T43" s="1525"/>
      <c r="U43" s="924"/>
      <c r="V43" s="874"/>
      <c r="W43" s="874"/>
      <c r="X43" s="874"/>
      <c r="Y43" s="874"/>
      <c r="Z43" s="874"/>
      <c r="AA43" s="874"/>
      <c r="AB43" s="929">
        <v>5</v>
      </c>
      <c r="AC43" s="929"/>
      <c r="AD43" s="929"/>
      <c r="AE43" s="929"/>
      <c r="AF43" s="1178"/>
      <c r="AG43" s="1178"/>
      <c r="AH43" s="1178"/>
      <c r="AI43" s="1178"/>
      <c r="AJ43" s="1178"/>
      <c r="AK43" s="1178"/>
    </row>
    <row r="44" spans="1:37" s="919" customFormat="1" ht="12.75" hidden="1">
      <c r="A44" s="874"/>
      <c r="B44" s="925"/>
      <c r="C44" s="875"/>
      <c r="D44" s="925"/>
      <c r="E44" s="920"/>
      <c r="F44" s="923"/>
      <c r="G44" s="920"/>
      <c r="H44" s="920"/>
      <c r="I44" s="920"/>
      <c r="J44" s="920"/>
      <c r="K44" s="920"/>
      <c r="L44" s="920"/>
      <c r="M44" s="920"/>
      <c r="N44" s="920"/>
      <c r="O44" s="920"/>
      <c r="P44" s="920"/>
      <c r="Q44" s="920"/>
      <c r="R44" s="920"/>
      <c r="S44" s="925"/>
      <c r="T44" s="925"/>
      <c r="U44" s="924"/>
      <c r="V44" s="874"/>
      <c r="W44" s="874"/>
      <c r="X44" s="874"/>
      <c r="Y44" s="874"/>
      <c r="Z44" s="874"/>
      <c r="AA44" s="874"/>
      <c r="AB44" s="874"/>
      <c r="AC44" s="874"/>
      <c r="AD44" s="874"/>
      <c r="AE44" s="874"/>
      <c r="AF44" s="1178"/>
      <c r="AG44" s="1178"/>
      <c r="AH44" s="1178"/>
      <c r="AI44" s="1178"/>
      <c r="AJ44" s="1178"/>
      <c r="AK44" s="1178"/>
    </row>
    <row r="45" spans="1:37" s="919" customFormat="1" ht="12.75" hidden="1">
      <c r="A45" s="874"/>
      <c r="B45" s="925"/>
      <c r="C45" s="875"/>
      <c r="D45" s="925"/>
      <c r="E45" s="920" t="s">
        <v>41</v>
      </c>
      <c r="F45" s="927">
        <f>INDEX(cbal!$E$480:$E$480,xxIndexTeam)</f>
        <v>0</v>
      </c>
      <c r="G45" s="920"/>
      <c r="H45" s="920"/>
      <c r="I45" s="920"/>
      <c r="J45" s="920"/>
      <c r="K45" s="920"/>
      <c r="L45" s="920"/>
      <c r="M45" s="920"/>
      <c r="N45" s="1525" t="str">
        <f>IF(F45=0,"--",VLOOKUP(F45,adj!$B$83:$C$275,2,FALSE))</f>
        <v>--</v>
      </c>
      <c r="O45" s="1525"/>
      <c r="P45" s="1525"/>
      <c r="Q45" s="1525"/>
      <c r="R45" s="1525"/>
      <c r="S45" s="1525"/>
      <c r="T45" s="1525"/>
      <c r="U45" s="924"/>
      <c r="V45" s="874"/>
      <c r="W45" s="874"/>
      <c r="X45" s="874"/>
      <c r="Y45" s="874"/>
      <c r="Z45" s="874"/>
      <c r="AA45" s="874"/>
      <c r="AB45" s="874"/>
      <c r="AC45" s="874"/>
      <c r="AD45" s="874"/>
      <c r="AE45" s="874"/>
      <c r="AF45" s="1178"/>
      <c r="AG45" s="1178"/>
      <c r="AH45" s="1178"/>
      <c r="AI45" s="1178"/>
      <c r="AJ45" s="1178"/>
      <c r="AK45" s="1178"/>
    </row>
    <row r="46" spans="1:37" s="919" customFormat="1" ht="12.75">
      <c r="A46" s="874"/>
      <c r="B46" s="925"/>
      <c r="C46" s="875"/>
      <c r="D46" s="925"/>
      <c r="E46" s="920"/>
      <c r="F46" s="923"/>
      <c r="G46" s="920"/>
      <c r="H46" s="920"/>
      <c r="I46" s="920"/>
      <c r="J46" s="920"/>
      <c r="K46" s="920"/>
      <c r="L46" s="920"/>
      <c r="M46" s="920"/>
      <c r="N46" s="920"/>
      <c r="O46" s="920"/>
      <c r="P46" s="920"/>
      <c r="Q46" s="920"/>
      <c r="R46" s="920"/>
      <c r="S46" s="925"/>
      <c r="T46" s="925"/>
      <c r="U46" s="924"/>
      <c r="V46" s="874"/>
      <c r="W46" s="874"/>
      <c r="X46" s="874"/>
      <c r="Y46" s="874"/>
      <c r="Z46" s="874"/>
      <c r="AA46" s="874"/>
      <c r="AB46" s="874"/>
      <c r="AC46" s="874"/>
      <c r="AD46" s="874"/>
      <c r="AE46" s="874"/>
      <c r="AF46" s="1178"/>
      <c r="AG46" s="1178"/>
      <c r="AH46" s="1178"/>
      <c r="AI46" s="1178"/>
      <c r="AJ46" s="1178"/>
      <c r="AK46" s="1178"/>
    </row>
    <row r="47" spans="1:37" s="919" customFormat="1" ht="12.75">
      <c r="A47" s="874"/>
      <c r="B47" s="925"/>
      <c r="C47" s="875"/>
      <c r="D47" s="925"/>
      <c r="E47" s="920"/>
      <c r="F47" s="923"/>
      <c r="G47" s="920"/>
      <c r="H47" s="920"/>
      <c r="I47" s="920"/>
      <c r="J47" s="920"/>
      <c r="K47" s="920"/>
      <c r="L47" s="920"/>
      <c r="M47" s="920"/>
      <c r="N47" s="920"/>
      <c r="O47" s="920"/>
      <c r="P47" s="920"/>
      <c r="Q47" s="920"/>
      <c r="R47" s="920"/>
      <c r="S47" s="925"/>
      <c r="T47" s="925"/>
      <c r="U47" s="924"/>
      <c r="V47" s="874"/>
      <c r="W47" s="874"/>
      <c r="X47" s="874"/>
      <c r="Y47" s="874"/>
      <c r="Z47" s="874"/>
      <c r="AA47" s="874"/>
      <c r="AB47" s="874"/>
      <c r="AC47" s="874"/>
      <c r="AD47" s="874"/>
      <c r="AE47" s="874"/>
      <c r="AF47" s="1178"/>
      <c r="AG47" s="1178"/>
      <c r="AH47" s="1178"/>
      <c r="AI47" s="1178"/>
      <c r="AJ47" s="1178"/>
      <c r="AK47" s="1178"/>
    </row>
    <row r="48" spans="1:37" s="919" customFormat="1" ht="12.75">
      <c r="A48" s="874"/>
      <c r="B48" s="925"/>
      <c r="C48" s="875"/>
      <c r="D48" s="925"/>
      <c r="F48" s="926" t="s">
        <v>1327</v>
      </c>
      <c r="G48" s="920"/>
      <c r="H48" s="920"/>
      <c r="I48" s="920"/>
      <c r="J48" s="920"/>
      <c r="K48" s="920"/>
      <c r="L48" s="920"/>
      <c r="M48" s="920"/>
      <c r="N48" s="920"/>
      <c r="O48" s="920"/>
      <c r="P48" s="920"/>
      <c r="Q48" s="920"/>
      <c r="R48" s="920"/>
      <c r="S48" s="925"/>
      <c r="T48" s="925"/>
      <c r="U48" s="924"/>
      <c r="V48" s="874"/>
      <c r="W48" s="874"/>
      <c r="X48" s="874"/>
      <c r="Y48" s="874"/>
      <c r="Z48" s="874"/>
      <c r="AA48" s="874"/>
      <c r="AB48" s="874"/>
      <c r="AC48" s="874"/>
      <c r="AD48" s="874"/>
      <c r="AE48" s="874"/>
      <c r="AF48" s="1178"/>
      <c r="AG48" s="1178"/>
      <c r="AH48" s="1178"/>
      <c r="AI48" s="1178"/>
      <c r="AJ48" s="1178"/>
      <c r="AK48" s="1178"/>
    </row>
    <row r="49" spans="1:37" s="919" customFormat="1" ht="12.75">
      <c r="A49" s="874"/>
      <c r="B49" s="925"/>
      <c r="C49" s="875"/>
      <c r="D49" s="925"/>
      <c r="E49" s="920"/>
      <c r="F49" s="923"/>
      <c r="G49" s="920"/>
      <c r="H49" s="920"/>
      <c r="I49" s="920"/>
      <c r="J49" s="920"/>
      <c r="K49" s="920"/>
      <c r="L49" s="920"/>
      <c r="M49" s="920"/>
      <c r="N49" s="920"/>
      <c r="O49" s="920"/>
      <c r="P49" s="920"/>
      <c r="Q49" s="920"/>
      <c r="R49" s="920"/>
      <c r="S49" s="925"/>
      <c r="T49" s="925"/>
      <c r="U49" s="924"/>
      <c r="V49" s="874"/>
      <c r="W49" s="874"/>
      <c r="X49" s="874"/>
      <c r="Y49" s="874"/>
      <c r="Z49" s="874"/>
      <c r="AA49" s="874"/>
      <c r="AB49" s="874"/>
      <c r="AC49" s="874"/>
      <c r="AD49" s="874"/>
      <c r="AE49" s="874"/>
      <c r="AF49" s="1178"/>
      <c r="AG49" s="1178"/>
      <c r="AH49" s="1178"/>
      <c r="AI49" s="1178"/>
      <c r="AJ49" s="1178"/>
      <c r="AK49" s="1178"/>
    </row>
    <row r="50" spans="1:37" s="919" customFormat="1" ht="12.75">
      <c r="A50" s="874"/>
      <c r="B50" s="925"/>
      <c r="C50" s="875"/>
      <c r="D50" s="925"/>
      <c r="E50" s="920" t="s">
        <v>661</v>
      </c>
      <c r="F50" s="1235">
        <f>INDEX(cbal!$E$483:$E$483,xxIndexTeam)</f>
        <v>0</v>
      </c>
      <c r="G50" s="920"/>
      <c r="H50" s="920"/>
      <c r="I50" s="920"/>
      <c r="J50" s="920"/>
      <c r="K50" s="920"/>
      <c r="L50" s="920"/>
      <c r="M50" s="920"/>
      <c r="N50" s="1525" t="str">
        <f>IF(F50=0,"--",VLOOKUP(F50,adj!$B$83:$C$275,2,FALSE))</f>
        <v>--</v>
      </c>
      <c r="O50" s="1525"/>
      <c r="P50" s="1525"/>
      <c r="Q50" s="1525"/>
      <c r="R50" s="1525"/>
      <c r="S50" s="1525"/>
      <c r="T50" s="1525"/>
      <c r="U50" s="924"/>
      <c r="V50" s="874"/>
      <c r="W50" s="874"/>
      <c r="X50" s="874"/>
      <c r="Y50" s="874"/>
      <c r="Z50" s="874"/>
      <c r="AA50" s="874"/>
      <c r="AB50" s="874"/>
      <c r="AC50" s="874"/>
      <c r="AD50" s="874"/>
      <c r="AE50" s="874"/>
      <c r="AF50" s="1178"/>
      <c r="AG50" s="1178"/>
      <c r="AH50" s="1178"/>
      <c r="AI50" s="1178"/>
      <c r="AJ50" s="1178"/>
      <c r="AK50" s="1178"/>
    </row>
    <row r="51" spans="1:37" s="919" customFormat="1" ht="12.75">
      <c r="A51" s="874"/>
      <c r="B51" s="925"/>
      <c r="C51" s="875"/>
      <c r="D51" s="925"/>
      <c r="E51" s="920"/>
      <c r="F51" s="923"/>
      <c r="G51" s="920"/>
      <c r="H51" s="920"/>
      <c r="I51" s="920"/>
      <c r="J51" s="920"/>
      <c r="K51" s="920"/>
      <c r="L51" s="920"/>
      <c r="M51" s="920"/>
      <c r="N51" s="920"/>
      <c r="O51" s="920"/>
      <c r="P51" s="920"/>
      <c r="Q51" s="920"/>
      <c r="R51" s="920"/>
      <c r="S51" s="925"/>
      <c r="T51" s="925"/>
      <c r="U51" s="924"/>
      <c r="V51" s="874"/>
      <c r="W51" s="874"/>
      <c r="X51" s="874"/>
      <c r="Y51" s="874"/>
      <c r="Z51" s="874"/>
      <c r="AA51" s="874"/>
      <c r="AB51" s="874"/>
      <c r="AC51" s="874"/>
      <c r="AD51" s="874"/>
      <c r="AE51" s="874"/>
      <c r="AF51" s="1178"/>
      <c r="AG51" s="1178"/>
      <c r="AH51" s="1178"/>
      <c r="AI51" s="1178"/>
      <c r="AJ51" s="1178"/>
      <c r="AK51" s="1178"/>
    </row>
    <row r="52" spans="1:37" s="919" customFormat="1" ht="12.75">
      <c r="A52" s="874"/>
      <c r="B52" s="925"/>
      <c r="C52" s="875"/>
      <c r="D52" s="925"/>
      <c r="E52" s="920" t="s">
        <v>662</v>
      </c>
      <c r="F52" s="1235">
        <f>INDEX(cbal!$E$484:$E$484,xxIndexTeam)</f>
        <v>0</v>
      </c>
      <c r="G52" s="920"/>
      <c r="H52" s="920"/>
      <c r="I52" s="920"/>
      <c r="J52" s="920"/>
      <c r="K52" s="920"/>
      <c r="L52" s="920"/>
      <c r="M52" s="920"/>
      <c r="N52" s="1525" t="str">
        <f>IF(F52=0,"--",VLOOKUP(F52,adj!$B$83:$C$275,2,FALSE))</f>
        <v>--</v>
      </c>
      <c r="O52" s="1525"/>
      <c r="P52" s="1525"/>
      <c r="Q52" s="1525"/>
      <c r="R52" s="1525"/>
      <c r="S52" s="1525"/>
      <c r="T52" s="1525"/>
      <c r="U52" s="924"/>
      <c r="V52" s="874"/>
      <c r="W52" s="874"/>
      <c r="X52" s="874"/>
      <c r="Y52" s="874"/>
      <c r="Z52" s="874"/>
      <c r="AA52" s="874"/>
      <c r="AB52" s="874"/>
      <c r="AC52" s="874"/>
      <c r="AD52" s="874"/>
      <c r="AE52" s="874"/>
      <c r="AF52" s="1178"/>
      <c r="AG52" s="1178"/>
      <c r="AH52" s="1178"/>
      <c r="AI52" s="1178"/>
      <c r="AJ52" s="1178"/>
      <c r="AK52" s="1178"/>
    </row>
    <row r="53" spans="1:37" s="919" customFormat="1" ht="12.75">
      <c r="A53" s="874"/>
      <c r="B53" s="925"/>
      <c r="C53" s="875"/>
      <c r="D53" s="925"/>
      <c r="E53" s="920"/>
      <c r="F53" s="923"/>
      <c r="G53" s="920"/>
      <c r="H53" s="920"/>
      <c r="I53" s="920"/>
      <c r="J53" s="920"/>
      <c r="K53" s="920"/>
      <c r="L53" s="920"/>
      <c r="M53" s="920"/>
      <c r="N53" s="920"/>
      <c r="O53" s="920"/>
      <c r="P53" s="920"/>
      <c r="Q53" s="920"/>
      <c r="R53" s="920"/>
      <c r="S53" s="925"/>
      <c r="T53" s="925"/>
      <c r="U53" s="924"/>
      <c r="V53" s="874"/>
      <c r="W53" s="874"/>
      <c r="X53" s="874"/>
      <c r="Y53" s="874"/>
      <c r="Z53" s="874"/>
      <c r="AA53" s="874"/>
      <c r="AB53" s="874"/>
      <c r="AC53" s="874"/>
      <c r="AD53" s="874"/>
      <c r="AE53" s="874"/>
      <c r="AF53" s="1178"/>
      <c r="AG53" s="1178"/>
      <c r="AH53" s="1178"/>
      <c r="AI53" s="1178"/>
      <c r="AJ53" s="1178"/>
      <c r="AK53" s="1178"/>
    </row>
    <row r="54" spans="1:37" s="919" customFormat="1" ht="12.75">
      <c r="A54" s="874"/>
      <c r="B54" s="925"/>
      <c r="C54" s="875"/>
      <c r="D54" s="925"/>
      <c r="E54" s="920" t="s">
        <v>663</v>
      </c>
      <c r="F54" s="1235">
        <f>INDEX(cbal!$E$485:$E$485,xxIndexTeam)</f>
        <v>0</v>
      </c>
      <c r="G54" s="920"/>
      <c r="H54" s="920"/>
      <c r="I54" s="920"/>
      <c r="J54" s="920"/>
      <c r="K54" s="920"/>
      <c r="L54" s="920"/>
      <c r="M54" s="920"/>
      <c r="N54" s="1525" t="str">
        <f>IF(F54=0,"--",VLOOKUP(F54,adj!$B$83:$C$275,2,FALSE))</f>
        <v>--</v>
      </c>
      <c r="O54" s="1525"/>
      <c r="P54" s="1525"/>
      <c r="Q54" s="1525"/>
      <c r="R54" s="1525"/>
      <c r="S54" s="1525"/>
      <c r="T54" s="1525"/>
      <c r="U54" s="924"/>
      <c r="V54" s="874"/>
      <c r="W54" s="874"/>
      <c r="X54" s="874"/>
      <c r="Y54" s="874"/>
      <c r="Z54" s="874"/>
      <c r="AA54" s="874"/>
      <c r="AB54" s="874"/>
      <c r="AC54" s="874"/>
      <c r="AD54" s="874"/>
      <c r="AE54" s="874"/>
      <c r="AF54" s="1178"/>
      <c r="AG54" s="1178"/>
      <c r="AH54" s="1178"/>
      <c r="AI54" s="1178"/>
      <c r="AJ54" s="1178"/>
      <c r="AK54" s="1178"/>
    </row>
    <row r="55" spans="1:37" s="919" customFormat="1" ht="12.75">
      <c r="A55" s="874"/>
      <c r="B55" s="925"/>
      <c r="C55" s="875"/>
      <c r="D55" s="925"/>
      <c r="E55" s="920"/>
      <c r="F55" s="923"/>
      <c r="G55" s="920"/>
      <c r="H55" s="920"/>
      <c r="I55" s="920"/>
      <c r="J55" s="920"/>
      <c r="K55" s="920"/>
      <c r="L55" s="920"/>
      <c r="M55" s="920"/>
      <c r="N55" s="920"/>
      <c r="O55" s="920"/>
      <c r="P55" s="920"/>
      <c r="Q55" s="920"/>
      <c r="R55" s="920"/>
      <c r="S55" s="925"/>
      <c r="T55" s="925"/>
      <c r="U55" s="924"/>
      <c r="V55" s="874"/>
      <c r="W55" s="874"/>
      <c r="X55" s="874"/>
      <c r="Y55" s="874"/>
      <c r="Z55" s="874"/>
      <c r="AA55" s="874"/>
      <c r="AB55" s="874"/>
      <c r="AC55" s="874"/>
      <c r="AD55" s="874"/>
      <c r="AE55" s="874"/>
      <c r="AF55" s="1178"/>
      <c r="AG55" s="1178"/>
      <c r="AH55" s="1178"/>
      <c r="AI55" s="1178"/>
      <c r="AJ55" s="1178"/>
      <c r="AK55" s="1178"/>
    </row>
    <row r="56" spans="1:37" s="919" customFormat="1" ht="12.75">
      <c r="A56" s="874"/>
      <c r="B56" s="925"/>
      <c r="C56" s="875"/>
      <c r="D56" s="925"/>
      <c r="E56" s="920" t="s">
        <v>4224</v>
      </c>
      <c r="F56" s="1235">
        <f>INDEX(cbal!$E$486:$E$486,xxIndexTeam)</f>
        <v>0</v>
      </c>
      <c r="G56" s="920"/>
      <c r="H56" s="920"/>
      <c r="I56" s="920"/>
      <c r="J56" s="920"/>
      <c r="K56" s="920"/>
      <c r="L56" s="920"/>
      <c r="M56" s="920"/>
      <c r="N56" s="1525" t="str">
        <f>IF(F56=0,"--",VLOOKUP(F56,adj!$B$83:$C$275,2,FALSE))</f>
        <v>--</v>
      </c>
      <c r="O56" s="1525"/>
      <c r="P56" s="1525"/>
      <c r="Q56" s="1525"/>
      <c r="R56" s="1525"/>
      <c r="S56" s="1525"/>
      <c r="T56" s="1525"/>
      <c r="U56" s="924"/>
      <c r="V56" s="874"/>
      <c r="W56" s="874"/>
      <c r="X56" s="874"/>
      <c r="Y56" s="874"/>
      <c r="Z56" s="874"/>
      <c r="AA56" s="874"/>
      <c r="AB56" s="874"/>
      <c r="AC56" s="874"/>
      <c r="AD56" s="874"/>
      <c r="AE56" s="874"/>
      <c r="AF56" s="1178"/>
      <c r="AG56" s="1178"/>
      <c r="AH56" s="1178"/>
      <c r="AI56" s="1178"/>
      <c r="AJ56" s="1178"/>
      <c r="AK56" s="1178"/>
    </row>
    <row r="57" spans="1:37" s="919" customFormat="1" ht="12.75" hidden="1">
      <c r="A57" s="874"/>
      <c r="B57" s="925"/>
      <c r="C57" s="875"/>
      <c r="D57" s="925"/>
      <c r="E57" s="920"/>
      <c r="F57" s="923"/>
      <c r="G57" s="920"/>
      <c r="H57" s="920"/>
      <c r="I57" s="920"/>
      <c r="J57" s="920"/>
      <c r="K57" s="920"/>
      <c r="L57" s="920"/>
      <c r="M57" s="920"/>
      <c r="N57" s="920"/>
      <c r="O57" s="920"/>
      <c r="P57" s="920"/>
      <c r="Q57" s="920"/>
      <c r="R57" s="920"/>
      <c r="S57" s="925"/>
      <c r="T57" s="925"/>
      <c r="U57" s="924"/>
      <c r="V57" s="874"/>
      <c r="W57" s="874"/>
      <c r="X57" s="874"/>
      <c r="Y57" s="874"/>
      <c r="Z57" s="874"/>
      <c r="AA57" s="874"/>
      <c r="AB57" s="874"/>
      <c r="AC57" s="874"/>
      <c r="AD57" s="874"/>
      <c r="AE57" s="874"/>
      <c r="AF57" s="1178"/>
      <c r="AG57" s="1178"/>
      <c r="AH57" s="1178"/>
      <c r="AI57" s="1178"/>
      <c r="AJ57" s="1178"/>
      <c r="AK57" s="1178"/>
    </row>
    <row r="58" spans="1:37" s="919" customFormat="1" ht="12.75" hidden="1">
      <c r="A58" s="874"/>
      <c r="B58" s="925"/>
      <c r="C58" s="875"/>
      <c r="D58" s="925"/>
      <c r="E58" s="920" t="s">
        <v>41</v>
      </c>
      <c r="F58" s="927">
        <f>INDEX(cbal!$E$487:$E$487,xxIndexTeam)</f>
        <v>0</v>
      </c>
      <c r="G58" s="920"/>
      <c r="H58" s="920"/>
      <c r="I58" s="920"/>
      <c r="J58" s="920"/>
      <c r="K58" s="920"/>
      <c r="L58" s="920"/>
      <c r="M58" s="920"/>
      <c r="N58" s="1525" t="str">
        <f>IF(F58=0,"--",VLOOKUP(F58,adj!$B$83:$C$275,2,FALSE))</f>
        <v>--</v>
      </c>
      <c r="O58" s="1525"/>
      <c r="P58" s="1525"/>
      <c r="Q58" s="1525"/>
      <c r="R58" s="1525"/>
      <c r="S58" s="1525"/>
      <c r="T58" s="1525"/>
      <c r="U58" s="924"/>
      <c r="V58" s="874"/>
      <c r="W58" s="874"/>
      <c r="X58" s="874"/>
      <c r="Y58" s="874"/>
      <c r="Z58" s="874"/>
      <c r="AA58" s="874"/>
      <c r="AB58" s="874"/>
      <c r="AC58" s="874"/>
      <c r="AD58" s="874"/>
      <c r="AE58" s="874"/>
      <c r="AF58" s="1178"/>
      <c r="AG58" s="1178"/>
      <c r="AH58" s="1178"/>
      <c r="AI58" s="1178"/>
      <c r="AJ58" s="1178"/>
      <c r="AK58" s="1178"/>
    </row>
    <row r="59" spans="1:37" s="919" customFormat="1" ht="12.75">
      <c r="A59" s="874"/>
      <c r="B59" s="925"/>
      <c r="C59" s="875"/>
      <c r="D59" s="925"/>
      <c r="E59" s="920"/>
      <c r="F59" s="923"/>
      <c r="G59" s="920"/>
      <c r="H59" s="920"/>
      <c r="I59" s="920"/>
      <c r="J59" s="920"/>
      <c r="K59" s="920"/>
      <c r="L59" s="920"/>
      <c r="M59" s="920"/>
      <c r="N59" s="920"/>
      <c r="O59" s="920"/>
      <c r="P59" s="920"/>
      <c r="Q59" s="920"/>
      <c r="R59" s="920"/>
      <c r="S59" s="925"/>
      <c r="T59" s="925"/>
      <c r="U59" s="924"/>
      <c r="V59" s="874"/>
      <c r="W59" s="874"/>
      <c r="X59" s="874"/>
      <c r="Y59" s="874"/>
      <c r="Z59" s="874"/>
      <c r="AA59" s="874"/>
      <c r="AB59" s="874"/>
      <c r="AC59" s="874"/>
      <c r="AD59" s="874"/>
      <c r="AE59" s="874"/>
      <c r="AF59" s="1178"/>
      <c r="AG59" s="1178"/>
      <c r="AH59" s="1178"/>
      <c r="AI59" s="1178"/>
      <c r="AJ59" s="1178"/>
      <c r="AK59" s="1178"/>
    </row>
    <row r="60" spans="1:37" s="919" customFormat="1" ht="12.75" hidden="1">
      <c r="A60" s="874"/>
      <c r="B60" s="925"/>
      <c r="C60" s="875"/>
      <c r="D60" s="925"/>
      <c r="F60" s="926" t="s">
        <v>4081</v>
      </c>
      <c r="G60" s="920"/>
      <c r="H60" s="920"/>
      <c r="I60" s="920"/>
      <c r="J60" s="920"/>
      <c r="K60" s="920"/>
      <c r="L60" s="920"/>
      <c r="M60" s="920"/>
      <c r="N60" s="920"/>
      <c r="O60" s="920"/>
      <c r="P60" s="920"/>
      <c r="Q60" s="920"/>
      <c r="R60" s="920"/>
      <c r="S60" s="925"/>
      <c r="T60" s="925"/>
      <c r="U60" s="924"/>
      <c r="V60" s="874"/>
      <c r="W60" s="874"/>
      <c r="X60" s="874"/>
      <c r="Y60" s="874"/>
      <c r="Z60" s="874"/>
      <c r="AA60" s="874"/>
      <c r="AB60" s="874"/>
      <c r="AC60" s="874"/>
      <c r="AD60" s="874"/>
      <c r="AE60" s="874"/>
      <c r="AF60" s="1178"/>
      <c r="AG60" s="1178"/>
      <c r="AH60" s="1178"/>
      <c r="AI60" s="1178"/>
      <c r="AJ60" s="1178"/>
      <c r="AK60" s="1178"/>
    </row>
    <row r="61" spans="1:37" s="919" customFormat="1" ht="12.75" hidden="1">
      <c r="A61" s="874"/>
      <c r="B61" s="925"/>
      <c r="C61" s="875"/>
      <c r="D61" s="925"/>
      <c r="E61" s="920"/>
      <c r="F61" s="923"/>
      <c r="G61" s="920"/>
      <c r="H61" s="920"/>
      <c r="I61" s="920"/>
      <c r="J61" s="920"/>
      <c r="K61" s="920"/>
      <c r="L61" s="920"/>
      <c r="M61" s="920"/>
      <c r="N61" s="920"/>
      <c r="O61" s="920"/>
      <c r="P61" s="920"/>
      <c r="Q61" s="920"/>
      <c r="R61" s="920"/>
      <c r="S61" s="925"/>
      <c r="T61" s="925"/>
      <c r="U61" s="924"/>
      <c r="V61" s="874"/>
      <c r="W61" s="874"/>
      <c r="X61" s="874"/>
      <c r="Y61" s="874"/>
      <c r="Z61" s="874"/>
      <c r="AA61" s="874"/>
      <c r="AB61" s="874"/>
      <c r="AC61" s="874"/>
      <c r="AD61" s="874"/>
      <c r="AE61" s="874"/>
      <c r="AF61" s="1178"/>
      <c r="AG61" s="1178"/>
      <c r="AH61" s="1178"/>
      <c r="AI61" s="1178"/>
      <c r="AJ61" s="1178"/>
      <c r="AK61" s="1178"/>
    </row>
    <row r="62" spans="1:37" s="919" customFormat="1" ht="12.75" hidden="1">
      <c r="A62" s="874"/>
      <c r="B62" s="925"/>
      <c r="C62" s="875"/>
      <c r="D62" s="925"/>
      <c r="E62" s="920" t="s">
        <v>661</v>
      </c>
      <c r="F62" s="927">
        <f>INDEX(cbal!$E$490:$E$490,xxIndexTeam)</f>
        <v>0</v>
      </c>
      <c r="G62" s="920"/>
      <c r="H62" s="920"/>
      <c r="I62" s="920"/>
      <c r="J62" s="920"/>
      <c r="K62" s="920"/>
      <c r="L62" s="920"/>
      <c r="M62" s="920"/>
      <c r="N62" s="1525" t="str">
        <f>IF(F62=0,"--",VLOOKUP(F62,adj!$B$83:$C$275,2,FALSE))</f>
        <v>--</v>
      </c>
      <c r="O62" s="1525"/>
      <c r="P62" s="1525"/>
      <c r="Q62" s="1525"/>
      <c r="R62" s="1525"/>
      <c r="S62" s="1525"/>
      <c r="T62" s="1525"/>
      <c r="U62" s="924"/>
      <c r="V62" s="874"/>
      <c r="W62" s="874"/>
      <c r="X62" s="874"/>
      <c r="Y62" s="874"/>
      <c r="Z62" s="874"/>
      <c r="AA62" s="874"/>
      <c r="AB62" s="874"/>
      <c r="AC62" s="874"/>
      <c r="AD62" s="874"/>
      <c r="AE62" s="874"/>
      <c r="AF62" s="1178"/>
      <c r="AG62" s="1178"/>
      <c r="AH62" s="1178"/>
      <c r="AI62" s="1178"/>
      <c r="AJ62" s="1178"/>
      <c r="AK62" s="1178"/>
    </row>
    <row r="63" spans="1:37" s="919" customFormat="1" ht="12.75" hidden="1">
      <c r="A63" s="874"/>
      <c r="B63" s="925"/>
      <c r="C63" s="875"/>
      <c r="D63" s="925"/>
      <c r="E63" s="920"/>
      <c r="F63" s="923"/>
      <c r="G63" s="920"/>
      <c r="H63" s="920"/>
      <c r="I63" s="920"/>
      <c r="J63" s="920"/>
      <c r="K63" s="920"/>
      <c r="L63" s="920"/>
      <c r="M63" s="920"/>
      <c r="N63" s="920"/>
      <c r="O63" s="920"/>
      <c r="P63" s="920"/>
      <c r="Q63" s="920"/>
      <c r="R63" s="920"/>
      <c r="S63" s="925"/>
      <c r="T63" s="925"/>
      <c r="U63" s="924"/>
      <c r="V63" s="874"/>
      <c r="W63" s="874"/>
      <c r="X63" s="874"/>
      <c r="Y63" s="874"/>
      <c r="Z63" s="874"/>
      <c r="AA63" s="874"/>
      <c r="AB63" s="874"/>
      <c r="AC63" s="874"/>
      <c r="AD63" s="874"/>
      <c r="AE63" s="874"/>
      <c r="AF63" s="1178"/>
      <c r="AG63" s="1178"/>
      <c r="AH63" s="1178"/>
      <c r="AI63" s="1178"/>
      <c r="AJ63" s="1178"/>
      <c r="AK63" s="1178"/>
    </row>
    <row r="64" spans="1:37" s="919" customFormat="1" ht="12.75" hidden="1">
      <c r="A64" s="874"/>
      <c r="B64" s="925"/>
      <c r="C64" s="875"/>
      <c r="D64" s="925"/>
      <c r="E64" s="920" t="s">
        <v>662</v>
      </c>
      <c r="F64" s="927">
        <f>INDEX(cbal!$E$491:$E$491,xxIndexTeam)</f>
        <v>0</v>
      </c>
      <c r="G64" s="920"/>
      <c r="H64" s="920"/>
      <c r="I64" s="920"/>
      <c r="J64" s="920"/>
      <c r="K64" s="920"/>
      <c r="L64" s="920"/>
      <c r="M64" s="920"/>
      <c r="N64" s="1525" t="str">
        <f>IF(F64=0,"--",VLOOKUP(F64,adj!$B$83:$C$275,2,FALSE))</f>
        <v>--</v>
      </c>
      <c r="O64" s="1525"/>
      <c r="P64" s="1525"/>
      <c r="Q64" s="1525"/>
      <c r="R64" s="1525"/>
      <c r="S64" s="1525"/>
      <c r="T64" s="1525"/>
      <c r="U64" s="924"/>
      <c r="V64" s="874"/>
      <c r="W64" s="874"/>
      <c r="X64" s="874"/>
      <c r="Y64" s="874"/>
      <c r="Z64" s="874"/>
      <c r="AA64" s="874"/>
      <c r="AB64" s="874"/>
      <c r="AC64" s="874"/>
      <c r="AD64" s="874"/>
      <c r="AE64" s="874"/>
      <c r="AF64" s="1178"/>
      <c r="AG64" s="1178"/>
      <c r="AH64" s="1178"/>
      <c r="AI64" s="1178"/>
      <c r="AJ64" s="1178"/>
      <c r="AK64" s="1178"/>
    </row>
    <row r="65" spans="1:37" s="919" customFormat="1" ht="12.75" hidden="1">
      <c r="A65" s="874"/>
      <c r="B65" s="925"/>
      <c r="C65" s="875"/>
      <c r="D65" s="925"/>
      <c r="E65" s="920"/>
      <c r="F65" s="923"/>
      <c r="G65" s="920"/>
      <c r="H65" s="920"/>
      <c r="I65" s="920"/>
      <c r="J65" s="920"/>
      <c r="K65" s="920"/>
      <c r="L65" s="920"/>
      <c r="M65" s="920"/>
      <c r="N65" s="920"/>
      <c r="O65" s="920"/>
      <c r="P65" s="920"/>
      <c r="Q65" s="920"/>
      <c r="R65" s="920"/>
      <c r="S65" s="925"/>
      <c r="T65" s="925"/>
      <c r="U65" s="924"/>
      <c r="V65" s="874"/>
      <c r="W65" s="874"/>
      <c r="X65" s="874"/>
      <c r="Y65" s="874"/>
      <c r="Z65" s="874"/>
      <c r="AA65" s="874"/>
      <c r="AB65" s="874"/>
      <c r="AC65" s="874"/>
      <c r="AD65" s="874"/>
      <c r="AE65" s="874"/>
      <c r="AF65" s="1178"/>
      <c r="AG65" s="1178"/>
      <c r="AH65" s="1178"/>
      <c r="AI65" s="1178"/>
      <c r="AJ65" s="1178"/>
      <c r="AK65" s="1178"/>
    </row>
    <row r="66" spans="1:37" s="919" customFormat="1" ht="12.75" hidden="1">
      <c r="A66" s="874"/>
      <c r="B66" s="925"/>
      <c r="C66" s="875"/>
      <c r="D66" s="925"/>
      <c r="E66" s="920" t="s">
        <v>663</v>
      </c>
      <c r="F66" s="927">
        <f>INDEX(cbal!$E$492:$E$492,xxIndexTeam)</f>
        <v>0</v>
      </c>
      <c r="G66" s="920"/>
      <c r="H66" s="920"/>
      <c r="I66" s="920"/>
      <c r="J66" s="920"/>
      <c r="K66" s="920"/>
      <c r="L66" s="920"/>
      <c r="M66" s="920"/>
      <c r="N66" s="1525" t="str">
        <f>IF(F66=0,"--",VLOOKUP(F66,adj!$B$83:$C$275,2,FALSE))</f>
        <v>--</v>
      </c>
      <c r="O66" s="1525"/>
      <c r="P66" s="1525"/>
      <c r="Q66" s="1525"/>
      <c r="R66" s="1525"/>
      <c r="S66" s="1525"/>
      <c r="T66" s="1525"/>
      <c r="U66" s="924"/>
      <c r="V66" s="874"/>
      <c r="W66" s="874"/>
      <c r="X66" s="874"/>
      <c r="Y66" s="874"/>
      <c r="Z66" s="874"/>
      <c r="AA66" s="874"/>
      <c r="AB66" s="874"/>
      <c r="AC66" s="874"/>
      <c r="AD66" s="874"/>
      <c r="AE66" s="874"/>
      <c r="AF66" s="1178"/>
      <c r="AG66" s="1178"/>
      <c r="AH66" s="1178"/>
      <c r="AI66" s="1178"/>
      <c r="AJ66" s="1178"/>
      <c r="AK66" s="1178"/>
    </row>
    <row r="67" spans="1:37" s="919" customFormat="1" ht="12.75" hidden="1">
      <c r="A67" s="874"/>
      <c r="B67" s="925"/>
      <c r="C67" s="875"/>
      <c r="D67" s="925"/>
      <c r="E67" s="920"/>
      <c r="F67" s="923"/>
      <c r="G67" s="920"/>
      <c r="H67" s="920"/>
      <c r="I67" s="920"/>
      <c r="J67" s="920"/>
      <c r="K67" s="920"/>
      <c r="L67" s="920"/>
      <c r="M67" s="920"/>
      <c r="N67" s="920"/>
      <c r="O67" s="920"/>
      <c r="P67" s="920"/>
      <c r="Q67" s="920"/>
      <c r="R67" s="920"/>
      <c r="S67" s="925"/>
      <c r="T67" s="925"/>
      <c r="U67" s="924"/>
      <c r="V67" s="874"/>
      <c r="W67" s="874"/>
      <c r="X67" s="874"/>
      <c r="Y67" s="874"/>
      <c r="Z67" s="874"/>
      <c r="AA67" s="874"/>
      <c r="AB67" s="874"/>
      <c r="AC67" s="874"/>
      <c r="AD67" s="874"/>
      <c r="AE67" s="874"/>
      <c r="AF67" s="1178"/>
      <c r="AG67" s="1178"/>
      <c r="AH67" s="1178"/>
      <c r="AI67" s="1178"/>
      <c r="AJ67" s="1178"/>
      <c r="AK67" s="1178"/>
    </row>
    <row r="68" spans="1:37" s="919" customFormat="1" ht="12.75" hidden="1">
      <c r="A68" s="874"/>
      <c r="B68" s="925"/>
      <c r="C68" s="875"/>
      <c r="D68" s="925"/>
      <c r="E68" s="920" t="s">
        <v>4224</v>
      </c>
      <c r="F68" s="927">
        <f>INDEX(cbal!$E$493:$E$493,xxIndexTeam)</f>
        <v>0</v>
      </c>
      <c r="G68" s="920"/>
      <c r="H68" s="920"/>
      <c r="I68" s="920"/>
      <c r="J68" s="920"/>
      <c r="K68" s="920"/>
      <c r="L68" s="920"/>
      <c r="M68" s="920"/>
      <c r="N68" s="1525" t="str">
        <f>IF(F68=0,"--",VLOOKUP(F68,adj!$B$83:$C$275,2,FALSE))</f>
        <v>--</v>
      </c>
      <c r="O68" s="1525"/>
      <c r="P68" s="1525"/>
      <c r="Q68" s="1525"/>
      <c r="R68" s="1525"/>
      <c r="S68" s="1525"/>
      <c r="T68" s="1525"/>
      <c r="U68" s="924"/>
      <c r="V68" s="874"/>
      <c r="W68" s="874"/>
      <c r="X68" s="874"/>
      <c r="Y68" s="874"/>
      <c r="Z68" s="874"/>
      <c r="AA68" s="874"/>
      <c r="AB68" s="874"/>
      <c r="AC68" s="874"/>
      <c r="AD68" s="874"/>
      <c r="AE68" s="874"/>
      <c r="AF68" s="1178"/>
      <c r="AG68" s="1178"/>
      <c r="AH68" s="1178"/>
      <c r="AI68" s="1178"/>
      <c r="AJ68" s="1178"/>
      <c r="AK68" s="1178"/>
    </row>
    <row r="69" spans="1:37" s="919" customFormat="1" ht="12.75" hidden="1">
      <c r="A69" s="874"/>
      <c r="B69" s="925"/>
      <c r="C69" s="875"/>
      <c r="D69" s="925"/>
      <c r="E69" s="920"/>
      <c r="F69" s="923"/>
      <c r="G69" s="920"/>
      <c r="H69" s="920"/>
      <c r="I69" s="920"/>
      <c r="J69" s="920"/>
      <c r="K69" s="920"/>
      <c r="L69" s="920"/>
      <c r="M69" s="920"/>
      <c r="N69" s="920"/>
      <c r="O69" s="920"/>
      <c r="P69" s="920"/>
      <c r="Q69" s="920"/>
      <c r="R69" s="920"/>
      <c r="S69" s="925"/>
      <c r="T69" s="925"/>
      <c r="U69" s="924"/>
      <c r="V69" s="874"/>
      <c r="W69" s="874"/>
      <c r="X69" s="874"/>
      <c r="Y69" s="874"/>
      <c r="Z69" s="874"/>
      <c r="AA69" s="874"/>
      <c r="AB69" s="874"/>
      <c r="AC69" s="874"/>
      <c r="AD69" s="874"/>
      <c r="AE69" s="874"/>
      <c r="AF69" s="1178"/>
      <c r="AG69" s="1178"/>
      <c r="AH69" s="1178"/>
      <c r="AI69" s="1178"/>
      <c r="AJ69" s="1178"/>
      <c r="AK69" s="1178"/>
    </row>
    <row r="70" spans="1:37" s="919" customFormat="1" ht="12.75" hidden="1">
      <c r="A70" s="874"/>
      <c r="B70" s="925"/>
      <c r="C70" s="875"/>
      <c r="D70" s="925"/>
      <c r="E70" s="920" t="s">
        <v>41</v>
      </c>
      <c r="F70" s="927">
        <f>INDEX(cbal!$E$494:$E$494,xxIndexTeam)</f>
        <v>0</v>
      </c>
      <c r="G70" s="920"/>
      <c r="H70" s="920"/>
      <c r="I70" s="920"/>
      <c r="J70" s="920"/>
      <c r="K70" s="920"/>
      <c r="L70" s="920"/>
      <c r="M70" s="920"/>
      <c r="N70" s="1525" t="str">
        <f>IF(F70=0,"--",VLOOKUP(F70,adj!$B$83:$C$275,2,FALSE))</f>
        <v>--</v>
      </c>
      <c r="O70" s="1525"/>
      <c r="P70" s="1525"/>
      <c r="Q70" s="1525"/>
      <c r="R70" s="1525"/>
      <c r="S70" s="1525"/>
      <c r="T70" s="1525"/>
      <c r="U70" s="924"/>
      <c r="V70" s="874"/>
      <c r="W70" s="874"/>
      <c r="X70" s="874"/>
      <c r="Y70" s="874"/>
      <c r="Z70" s="874"/>
      <c r="AA70" s="874"/>
      <c r="AB70" s="874"/>
      <c r="AC70" s="874"/>
      <c r="AD70" s="874"/>
      <c r="AE70" s="874"/>
      <c r="AF70" s="1178"/>
      <c r="AG70" s="1178"/>
      <c r="AH70" s="1178"/>
      <c r="AI70" s="1178"/>
      <c r="AJ70" s="1178"/>
      <c r="AK70" s="1178"/>
    </row>
    <row r="71" spans="1:37" s="1175" customFormat="1" ht="12.95" hidden="1" customHeight="1">
      <c r="B71" s="1176"/>
      <c r="C71" s="1176"/>
      <c r="D71" s="1176"/>
      <c r="E71" s="1176"/>
      <c r="F71" s="1176"/>
      <c r="G71" s="1176"/>
      <c r="H71" s="1176"/>
      <c r="I71" s="1176"/>
      <c r="J71" s="1176"/>
      <c r="K71" s="1176"/>
      <c r="L71" s="1176"/>
      <c r="M71" s="1176"/>
      <c r="N71" s="1176"/>
      <c r="O71" s="1176"/>
      <c r="P71" s="1176"/>
      <c r="Q71" s="1176"/>
      <c r="R71" s="1176"/>
      <c r="S71" s="1176"/>
      <c r="T71" s="1176"/>
      <c r="U71" s="1176"/>
    </row>
    <row r="72" spans="1:37" s="1175" customFormat="1" ht="12.95" customHeight="1"/>
    <row r="73" spans="1:37" s="1175" customFormat="1" ht="12.95" customHeight="1"/>
    <row r="74" spans="1:37" s="1175" customFormat="1" ht="12.95" customHeight="1"/>
    <row r="75" spans="1:37" s="1175" customFormat="1" ht="12.95" customHeight="1"/>
    <row r="76" spans="1:37" s="1175" customFormat="1" ht="12.95" customHeight="1"/>
    <row r="77" spans="1:37" s="1175" customFormat="1" ht="12.95" customHeight="1"/>
    <row r="78" spans="1:37" s="1175" customFormat="1" ht="12.95" customHeight="1"/>
    <row r="79" spans="1:37" s="1175" customFormat="1" ht="12.95" customHeight="1"/>
    <row r="80" spans="1:37" s="1175" customFormat="1" ht="12.95" customHeight="1"/>
    <row r="81" s="1175" customFormat="1" ht="12.95" customHeight="1"/>
    <row r="82" s="1175" customFormat="1" ht="12.95" customHeight="1"/>
    <row r="83" s="1175" customFormat="1" ht="12.95" customHeight="1"/>
    <row r="84" s="1175" customFormat="1" ht="12.95" customHeight="1"/>
    <row r="85" s="1175" customFormat="1" ht="12.95" customHeight="1"/>
    <row r="86" s="1175" customFormat="1" ht="12.95" customHeight="1"/>
    <row r="87" s="1175" customFormat="1" ht="12.95" customHeight="1"/>
    <row r="88" s="1175" customFormat="1" ht="12.95" customHeight="1"/>
    <row r="89" s="1175" customFormat="1" ht="12.95" customHeight="1"/>
    <row r="90" s="1175" customFormat="1" ht="12.95" customHeight="1"/>
    <row r="91" s="1175" customFormat="1" ht="12.95" customHeight="1"/>
    <row r="92" s="1175" customFormat="1" ht="12.95" customHeight="1"/>
    <row r="93" s="1175" customFormat="1" ht="12.95" customHeight="1"/>
    <row r="94" s="1175" customFormat="1" ht="12.95" customHeight="1"/>
    <row r="95" s="1175" customFormat="1" ht="12.95" customHeight="1"/>
    <row r="96" s="1175" customFormat="1" ht="12.95" customHeight="1"/>
    <row r="97" s="1175" customFormat="1" ht="12.95" customHeight="1"/>
    <row r="98" s="1175" customFormat="1" ht="12.95" customHeight="1"/>
    <row r="99" s="1175" customFormat="1" ht="12.95" customHeight="1"/>
    <row r="100" s="1175" customFormat="1" ht="12.95" customHeight="1"/>
    <row r="101" s="1175" customFormat="1" ht="12.95" customHeight="1"/>
    <row r="102" s="1175" customFormat="1" ht="12.95" customHeight="1"/>
    <row r="103" s="1175" customFormat="1" ht="12.95" customHeight="1"/>
    <row r="104" s="1175" customFormat="1" ht="12.95" customHeight="1"/>
    <row r="105" s="1175" customFormat="1" ht="12.95" customHeight="1"/>
    <row r="106" s="1175" customFormat="1" ht="12.95" customHeight="1"/>
    <row r="107" s="1175" customFormat="1" ht="12.95" customHeight="1"/>
    <row r="108" s="1175" customFormat="1" ht="12.95" customHeight="1"/>
    <row r="109" s="1175" customFormat="1" ht="12.95" customHeight="1"/>
    <row r="110" s="1175" customFormat="1" ht="12.95" customHeight="1"/>
    <row r="111" s="1175" customFormat="1" ht="12.95" customHeight="1"/>
    <row r="112" s="1175" customFormat="1" ht="12.95" customHeight="1"/>
    <row r="113" s="1175" customFormat="1" ht="12.95" customHeight="1"/>
    <row r="114" s="1175" customFormat="1" ht="12.95" customHeight="1"/>
    <row r="115" s="1175" customFormat="1" ht="12.95" customHeight="1"/>
    <row r="116" s="1175" customFormat="1" ht="12.95" customHeight="1"/>
    <row r="117" s="1175" customFormat="1" ht="12.95" customHeight="1"/>
    <row r="118" s="1175" customFormat="1" ht="12.95" customHeight="1"/>
    <row r="119" s="1175" customFormat="1" ht="12.95" customHeight="1"/>
    <row r="120" s="1175" customFormat="1" ht="12.95" customHeight="1"/>
    <row r="121" s="1175" customFormat="1" ht="12.95" customHeight="1"/>
    <row r="122" s="1175" customFormat="1" ht="12.95" customHeight="1"/>
    <row r="123" s="1175" customFormat="1" ht="12.95" customHeight="1"/>
    <row r="124" s="1175" customFormat="1" ht="12.95" customHeight="1"/>
    <row r="125" s="1175" customFormat="1" ht="12.95" customHeight="1"/>
    <row r="126" s="1175" customFormat="1" ht="12.95" customHeight="1"/>
    <row r="127" s="1175" customFormat="1" ht="12.95" customHeight="1"/>
    <row r="128" s="1175" customFormat="1" ht="12.95" customHeight="1"/>
    <row r="129" s="1175" customFormat="1" ht="12.95" customHeight="1"/>
    <row r="130" s="1175" customFormat="1" ht="12.95" customHeight="1"/>
    <row r="131" s="1175" customFormat="1" ht="12.95" customHeight="1"/>
    <row r="132" s="1175" customFormat="1" ht="12.95" customHeight="1"/>
    <row r="133" s="1175" customFormat="1" ht="12.95" customHeight="1"/>
    <row r="134" s="1175" customFormat="1" ht="12.95" customHeight="1"/>
    <row r="135" s="1175" customFormat="1" ht="12.95" customHeight="1"/>
    <row r="136" s="1175" customFormat="1" ht="12.95" customHeight="1"/>
    <row r="137" s="1175" customFormat="1" ht="12.95" customHeight="1"/>
    <row r="138" s="1175" customFormat="1" ht="12.95" customHeight="1"/>
    <row r="139" s="1175" customFormat="1" ht="12.95" customHeight="1"/>
    <row r="140" s="1175" customFormat="1" ht="12.95" customHeight="1"/>
    <row r="141" s="1175" customFormat="1" ht="12.95" customHeight="1"/>
    <row r="142" s="1175" customFormat="1" ht="12.95" customHeight="1"/>
    <row r="143" s="1175" customFormat="1" ht="12.95" customHeight="1"/>
    <row r="144" s="1175" customFormat="1" ht="12.95" customHeight="1"/>
    <row r="145" s="1175" customFormat="1" ht="12.95" customHeight="1"/>
    <row r="146" s="1175" customFormat="1" ht="12.95" customHeight="1"/>
    <row r="147" s="1175" customFormat="1" ht="12.95" customHeight="1"/>
    <row r="148" s="1175" customFormat="1" ht="12.95" customHeight="1"/>
    <row r="149" s="1175" customFormat="1" ht="12.95" customHeight="1"/>
    <row r="150" s="1175" customFormat="1" ht="12.95" customHeight="1"/>
  </sheetData>
  <mergeCells count="23">
    <mergeCell ref="A5:A6"/>
    <mergeCell ref="D10:F11"/>
    <mergeCell ref="N16:T16"/>
    <mergeCell ref="N18:T18"/>
    <mergeCell ref="N20:T20"/>
    <mergeCell ref="N22:T22"/>
    <mergeCell ref="N24:T24"/>
    <mergeCell ref="N58:T58"/>
    <mergeCell ref="D32:H33"/>
    <mergeCell ref="N37:T37"/>
    <mergeCell ref="N39:T39"/>
    <mergeCell ref="N41:T41"/>
    <mergeCell ref="N43:T43"/>
    <mergeCell ref="N45:T45"/>
    <mergeCell ref="N50:T50"/>
    <mergeCell ref="N52:T52"/>
    <mergeCell ref="N54:T54"/>
    <mergeCell ref="N56:T56"/>
    <mergeCell ref="N62:T62"/>
    <mergeCell ref="N64:T64"/>
    <mergeCell ref="N66:T66"/>
    <mergeCell ref="N68:T68"/>
    <mergeCell ref="N70:T70"/>
  </mergeCells>
  <phoneticPr fontId="0" type="noConversion"/>
  <pageMargins left="0.75" right="0.75" top="1" bottom="1" header="0.5" footer="0.5"/>
  <pageSetup scale="10" orientation="landscape"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PNL1">
    <tabColor rgb="FF000099"/>
    <pageSetUpPr fitToPage="1"/>
  </sheetPr>
  <dimension ref="A1:AV155"/>
  <sheetViews>
    <sheetView topLeftCell="D1" zoomScaleNormal="100" workbookViewId="0">
      <pane ySplit="2" topLeftCell="A3" activePane="bottomLeft" state="frozen"/>
      <selection pane="bottomLeft" activeCell="R18" sqref="R18"/>
    </sheetView>
  </sheetViews>
  <sheetFormatPr defaultColWidth="18.83203125" defaultRowHeight="12.95" customHeight="1"/>
  <cols>
    <col min="1" max="1" width="1.83203125" style="874" customWidth="1"/>
    <col min="2" max="2" width="8.83203125" style="874" customWidth="1"/>
    <col min="3" max="3" width="13.83203125" style="959" customWidth="1"/>
    <col min="4" max="5" width="1.83203125" style="959" customWidth="1"/>
    <col min="6" max="6" width="23.1640625" style="959" customWidth="1"/>
    <col min="7" max="7" width="1.83203125" style="959" customWidth="1"/>
    <col min="8" max="8" width="14.33203125" style="959" customWidth="1"/>
    <col min="9" max="9" width="11.33203125" style="959" customWidth="1"/>
    <col min="10" max="10" width="22.33203125" style="959" bestFit="1" customWidth="1"/>
    <col min="11" max="11" width="1.83203125" style="959" customWidth="1"/>
    <col min="12" max="12" width="20.6640625" style="959" bestFit="1" customWidth="1"/>
    <col min="13" max="13" width="1.83203125" style="959" customWidth="1"/>
    <col min="14" max="14" width="16.33203125" style="959" customWidth="1"/>
    <col min="15" max="15" width="1.83203125" style="959" customWidth="1"/>
    <col min="16" max="16" width="22.33203125" style="959" bestFit="1" customWidth="1"/>
    <col min="17" max="17" width="1.83203125" style="959" customWidth="1"/>
    <col min="18" max="18" width="13.83203125" style="959" customWidth="1"/>
    <col min="19" max="19" width="1.83203125" style="959" customWidth="1"/>
    <col min="20" max="48" width="18.83203125" style="1177"/>
    <col min="49" max="16384" width="18.83203125" style="959"/>
  </cols>
  <sheetData>
    <row r="1" spans="3:22" s="874" customFormat="1" ht="18" customHeight="1"/>
    <row r="2" spans="3:22" s="874" customFormat="1" ht="21" customHeight="1" thickBot="1">
      <c r="U2" s="874" t="s">
        <v>5256</v>
      </c>
      <c r="V2" s="874" t="s">
        <v>5251</v>
      </c>
    </row>
    <row r="3" spans="3:22" ht="14.25">
      <c r="C3" s="936" t="s">
        <v>4733</v>
      </c>
      <c r="D3" s="936"/>
      <c r="E3" s="936"/>
      <c r="F3" s="936"/>
      <c r="G3" s="936"/>
      <c r="H3" s="936"/>
      <c r="I3" s="978"/>
      <c r="J3" s="978"/>
      <c r="K3" s="978"/>
      <c r="L3" s="978"/>
      <c r="M3" s="978"/>
      <c r="N3" s="978"/>
      <c r="O3" s="978"/>
      <c r="P3" s="978"/>
      <c r="Q3" s="936"/>
      <c r="R3" s="936"/>
      <c r="S3" s="977" t="str">
        <f>INDEX(decTeamName,xxIndexTeam)&amp;", Year "&amp;xxYear</f>
        <v>Entrevard, Year 1</v>
      </c>
    </row>
    <row r="4" spans="3:22" ht="12.75">
      <c r="C4" s="941"/>
      <c r="D4" s="931"/>
      <c r="E4" s="931"/>
      <c r="F4" s="931"/>
      <c r="G4" s="931"/>
      <c r="H4" s="931"/>
      <c r="I4" s="931"/>
      <c r="J4" s="931"/>
      <c r="K4" s="931"/>
      <c r="L4" s="931"/>
      <c r="M4" s="931"/>
      <c r="N4" s="931"/>
      <c r="O4" s="931"/>
      <c r="P4" s="931"/>
      <c r="Q4" s="931"/>
      <c r="R4" s="931"/>
      <c r="S4" s="942"/>
    </row>
    <row r="5" spans="3:22" ht="16.5" customHeight="1">
      <c r="C5" s="941"/>
      <c r="D5" s="931"/>
      <c r="E5" s="931"/>
      <c r="F5" s="947"/>
      <c r="G5" s="931"/>
      <c r="H5" s="999"/>
      <c r="I5" s="934"/>
      <c r="J5" s="979" t="s">
        <v>4697</v>
      </c>
      <c r="K5" s="980"/>
      <c r="L5" s="980" t="s">
        <v>4698</v>
      </c>
      <c r="M5" s="980"/>
      <c r="N5" s="981" t="s">
        <v>5159</v>
      </c>
      <c r="O5" s="931"/>
      <c r="P5" s="993" t="s">
        <v>1340</v>
      </c>
      <c r="Q5" s="934"/>
      <c r="R5" s="931"/>
      <c r="S5" s="942"/>
    </row>
    <row r="6" spans="3:22" ht="12.75">
      <c r="C6" s="941"/>
      <c r="D6" s="931"/>
      <c r="E6" s="931"/>
      <c r="F6" s="931"/>
      <c r="G6" s="931"/>
      <c r="H6" s="934"/>
      <c r="I6" s="934"/>
      <c r="J6" s="982"/>
      <c r="K6" s="934"/>
      <c r="L6" s="934"/>
      <c r="M6" s="934"/>
      <c r="N6" s="983"/>
      <c r="O6" s="932"/>
      <c r="P6" s="994"/>
      <c r="Q6" s="934"/>
      <c r="R6" s="931"/>
      <c r="S6" s="942"/>
    </row>
    <row r="7" spans="3:22" ht="12.75">
      <c r="C7" s="951"/>
      <c r="D7" s="931" t="s">
        <v>2707</v>
      </c>
      <c r="E7" s="946"/>
      <c r="F7" s="946"/>
      <c r="G7" s="946"/>
      <c r="H7" s="934"/>
      <c r="I7" s="934"/>
      <c r="J7" s="1218">
        <f>INDEX(finPNLProd1V1Rev,xxIndexTeam)/1000</f>
        <v>115165.47739585172</v>
      </c>
      <c r="K7" s="946"/>
      <c r="L7" s="1219">
        <f>INDEX(finPNLProd1V2Rev,xxIndexTeam)/1000</f>
        <v>62659.656377267311</v>
      </c>
      <c r="M7" s="946"/>
      <c r="N7" s="1220">
        <f>INDEX(finPNLProd1V3Rev,xxIndexTeam)/1000</f>
        <v>22687.371279670904</v>
      </c>
      <c r="O7" s="946"/>
      <c r="P7" s="1221">
        <f>INDEX(finPNLProd1Rev,xxIndexTeam)/1000</f>
        <v>200512.50505278993</v>
      </c>
      <c r="Q7" s="934"/>
      <c r="R7" s="934"/>
      <c r="S7" s="942"/>
    </row>
    <row r="8" spans="3:22" ht="12.75">
      <c r="C8" s="951"/>
      <c r="D8" s="931"/>
      <c r="E8" s="946"/>
      <c r="F8" s="946"/>
      <c r="G8" s="946"/>
      <c r="H8" s="934"/>
      <c r="I8" s="934"/>
      <c r="J8" s="1514">
        <f>tlOutput_tlPNLBusA_J7/tlOutput_tlPNLBusA_P7</f>
        <v>0.57435558627892824</v>
      </c>
      <c r="K8" s="1513"/>
      <c r="L8" s="1514">
        <f>tlOutput_tlPNLBusA_L7/tlOutput_tlPNLBusA_P7</f>
        <v>0.31249749914984398</v>
      </c>
      <c r="M8" s="1513"/>
      <c r="N8" s="1514">
        <f>tlOutput_tlPNLBusA_N7/tlOutput_tlPNLBusA_P7</f>
        <v>0.1131469145712278</v>
      </c>
      <c r="O8" s="1512"/>
      <c r="P8" s="1515">
        <f>J8+L8+N8</f>
        <v>1</v>
      </c>
      <c r="Q8" s="934"/>
      <c r="R8" s="934"/>
      <c r="S8" s="942"/>
    </row>
    <row r="9" spans="3:22" ht="6.75" customHeight="1">
      <c r="C9" s="951"/>
      <c r="D9" s="934"/>
      <c r="E9" s="934"/>
      <c r="F9" s="934"/>
      <c r="G9" s="934"/>
      <c r="H9" s="934"/>
      <c r="I9" s="934"/>
      <c r="J9" s="1236"/>
      <c r="K9" s="946"/>
      <c r="L9" s="946"/>
      <c r="M9" s="946"/>
      <c r="N9" s="985"/>
      <c r="O9" s="946"/>
      <c r="P9" s="995"/>
      <c r="Q9" s="934"/>
      <c r="R9" s="934"/>
      <c r="S9" s="942"/>
    </row>
    <row r="10" spans="3:22" ht="15.75" customHeight="1">
      <c r="C10" s="951"/>
      <c r="D10" s="934"/>
      <c r="E10" s="931" t="s">
        <v>769</v>
      </c>
      <c r="F10" s="934"/>
      <c r="G10" s="934"/>
      <c r="H10" s="934"/>
      <c r="I10" s="934"/>
      <c r="J10" s="1236"/>
      <c r="K10" s="946"/>
      <c r="L10" s="946"/>
      <c r="M10" s="946"/>
      <c r="N10" s="985"/>
      <c r="O10" s="946"/>
      <c r="P10" s="995"/>
      <c r="Q10" s="934"/>
      <c r="R10" s="934"/>
      <c r="S10" s="942"/>
    </row>
    <row r="11" spans="3:22" ht="12.75">
      <c r="C11" s="951"/>
      <c r="D11" s="934"/>
      <c r="E11" s="934"/>
      <c r="F11" s="934" t="s">
        <v>1769</v>
      </c>
      <c r="G11" s="934"/>
      <c r="H11" s="934"/>
      <c r="I11" s="934"/>
      <c r="J11" s="1222">
        <f>INDEX(finPNLBusAV1TotalSalaryExp,xxIndexTeam)/1000</f>
        <v>34579.464408424108</v>
      </c>
      <c r="K11" s="950"/>
      <c r="L11" s="1237">
        <f>INDEX(finPNLBusAV2TotalSalaryExp,xxIndexTeam)/1000</f>
        <v>21413.8848</v>
      </c>
      <c r="M11" s="950"/>
      <c r="N11" s="1238">
        <f>INDEX(finPNLBusAV3TotalSalaryExp,xxIndexTeam)/1000</f>
        <v>6609.838074074074</v>
      </c>
      <c r="O11" s="946"/>
      <c r="P11" s="1245">
        <f>J11+L11+N11</f>
        <v>62603.187282498184</v>
      </c>
      <c r="Q11" s="934"/>
      <c r="R11" s="999"/>
      <c r="S11" s="942"/>
    </row>
    <row r="12" spans="3:22" ht="12.75">
      <c r="C12" s="951"/>
      <c r="D12" s="934"/>
      <c r="E12" s="934"/>
      <c r="F12" s="934" t="s">
        <v>4789</v>
      </c>
      <c r="G12" s="934"/>
      <c r="H12" s="934"/>
      <c r="I12" s="934"/>
      <c r="J12" s="1222">
        <f>INDEX(finPNLBusAV1CompDevTimeExp,xxIndexTeam)/1000</f>
        <v>288.75</v>
      </c>
      <c r="K12" s="950"/>
      <c r="L12" s="1237">
        <f>INDEX(finPNLBusAV2CompDevTimeExp,xxIndexTeam)/1000</f>
        <v>635.25</v>
      </c>
      <c r="M12" s="950"/>
      <c r="N12" s="1238">
        <f>INDEX(finPNLBusAV3CompDevTimeExp,xxIndexTeam)/1000</f>
        <v>0</v>
      </c>
      <c r="O12" s="946"/>
      <c r="P12" s="1245">
        <f>J12+L12+N12</f>
        <v>924</v>
      </c>
      <c r="Q12" s="934"/>
      <c r="R12" s="934"/>
      <c r="S12" s="942"/>
    </row>
    <row r="13" spans="3:22" ht="12.75">
      <c r="C13" s="951"/>
      <c r="D13" s="934"/>
      <c r="E13" s="934"/>
      <c r="F13" s="934" t="s">
        <v>306</v>
      </c>
      <c r="G13" s="934"/>
      <c r="H13" s="934"/>
      <c r="I13" s="934"/>
      <c r="J13" s="1222">
        <f>INDEX(finPNLBusAV1EmpRecDismExp,xxIndexTeam)/1000</f>
        <v>14686.858582729083</v>
      </c>
      <c r="K13" s="950"/>
      <c r="L13" s="1237">
        <f>INDEX(finPNLBusAV2EmpRecDismExp,xxIndexTeam)/1000</f>
        <v>7453.016322886192</v>
      </c>
      <c r="M13" s="950"/>
      <c r="N13" s="1238">
        <f>INDEX(finPNLBusAV3EmpRecDismExp,xxIndexTeam)/1000</f>
        <v>2935.1250943847249</v>
      </c>
      <c r="O13" s="946"/>
      <c r="P13" s="1245">
        <f>J13+L13+N13</f>
        <v>25075</v>
      </c>
      <c r="Q13" s="934"/>
      <c r="R13" s="934"/>
      <c r="S13" s="942"/>
    </row>
    <row r="14" spans="3:22" ht="12.75">
      <c r="C14" s="951"/>
      <c r="D14" s="934"/>
      <c r="E14" s="934"/>
      <c r="F14" s="934" t="s">
        <v>4820</v>
      </c>
      <c r="G14" s="934"/>
      <c r="H14" s="934"/>
      <c r="I14" s="934"/>
      <c r="J14" s="1222">
        <f>INDEX(finPNLBusAEntSvcsV1ExpAlloc,xxIndexTeam)/1000</f>
        <v>3666.7763048700081</v>
      </c>
      <c r="K14" s="950"/>
      <c r="L14" s="1237">
        <f>INDEX(finPNLBusAEntSvcsV2ExpAlloc,xxIndexTeam)/1000</f>
        <v>1860.7480625370299</v>
      </c>
      <c r="M14" s="950"/>
      <c r="N14" s="1238">
        <f>INDEX(finPNLBusAEntSvcsV3ExpAlloc,xxIndexTeam)/1000</f>
        <v>732.79436084277995</v>
      </c>
      <c r="O14" s="946"/>
      <c r="P14" s="1245">
        <f>J14+L14+N14</f>
        <v>6260.3187282498184</v>
      </c>
      <c r="Q14" s="934"/>
      <c r="R14" s="934"/>
      <c r="S14" s="942"/>
    </row>
    <row r="15" spans="3:22" ht="12.75">
      <c r="C15" s="951"/>
      <c r="D15" s="934"/>
      <c r="E15" s="934"/>
      <c r="F15" s="934" t="s">
        <v>4879</v>
      </c>
      <c r="G15" s="934"/>
      <c r="H15" s="934"/>
      <c r="I15" s="934"/>
      <c r="J15" s="1222">
        <f>INDEX(finPNLBusAV1QualityCost,xxIndexTeam)/1000</f>
        <v>727.16179370175666</v>
      </c>
      <c r="K15" s="950"/>
      <c r="L15" s="1237">
        <f>INDEX(finPNLBusAV2QualityCost,xxIndexTeam)/1000</f>
        <v>404.86282688824753</v>
      </c>
      <c r="M15" s="950"/>
      <c r="N15" s="1238">
        <f>INDEX(finPNLBusAV3QualityCost,xxIndexTeam)/1000</f>
        <v>138.56397102948694</v>
      </c>
      <c r="O15" s="946"/>
      <c r="P15" s="1245">
        <f>J15+L15+N15</f>
        <v>1270.5885916194911</v>
      </c>
      <c r="Q15" s="934"/>
      <c r="R15" s="934"/>
      <c r="S15" s="942"/>
    </row>
    <row r="16" spans="3:22" ht="12.75">
      <c r="C16" s="951"/>
      <c r="D16" s="934"/>
      <c r="E16" s="931" t="s">
        <v>4880</v>
      </c>
      <c r="G16" s="934"/>
      <c r="H16" s="934"/>
      <c r="I16" s="934"/>
      <c r="J16" s="1222">
        <f>SUM(J11:J15)</f>
        <v>53949.011089724954</v>
      </c>
      <c r="K16" s="950"/>
      <c r="L16" s="1237">
        <f>SUM(L11:L15)</f>
        <v>31767.762012311468</v>
      </c>
      <c r="M16" s="950"/>
      <c r="N16" s="1238">
        <f>SUM(N11:N15)</f>
        <v>10416.321500331065</v>
      </c>
      <c r="O16" s="946"/>
      <c r="P16" s="1246">
        <f>SUM(P11:P15)</f>
        <v>96133.094602367506</v>
      </c>
      <c r="Q16" s="934"/>
      <c r="R16" s="934"/>
      <c r="S16" s="942"/>
    </row>
    <row r="17" spans="3:19" ht="6" customHeight="1">
      <c r="C17" s="951"/>
      <c r="D17" s="934"/>
      <c r="E17" s="934"/>
      <c r="F17" s="934"/>
      <c r="G17" s="934"/>
      <c r="H17" s="934"/>
      <c r="I17" s="934"/>
      <c r="J17" s="986"/>
      <c r="K17" s="950"/>
      <c r="L17" s="935"/>
      <c r="M17" s="950"/>
      <c r="N17" s="987"/>
      <c r="O17" s="946"/>
      <c r="P17" s="996"/>
      <c r="Q17" s="934"/>
      <c r="R17" s="934"/>
      <c r="S17" s="942"/>
    </row>
    <row r="18" spans="3:19" ht="12.75">
      <c r="C18" s="951"/>
      <c r="D18" s="1000" t="s">
        <v>4810</v>
      </c>
      <c r="E18" s="1001"/>
      <c r="F18" s="1001"/>
      <c r="G18" s="1001"/>
      <c r="H18" s="1001"/>
      <c r="I18" s="1001"/>
      <c r="J18" s="1223">
        <f>INDEX(finPNLBusAV1CCI,xxIndexTeam)/1000</f>
        <v>61216.466306126757</v>
      </c>
      <c r="K18" s="1002"/>
      <c r="L18" s="1239">
        <f>INDEX(finPNLBusAV2CCI,xxIndexTeam)/1000</f>
        <v>30891.894364955835</v>
      </c>
      <c r="M18" s="1002"/>
      <c r="N18" s="1241">
        <f>INDEX(finPNLBusAV3CCI,xxIndexTeam)/1000</f>
        <v>12271.049779339841</v>
      </c>
      <c r="O18" s="1003"/>
      <c r="P18" s="1243">
        <f>INDEX(finPNLBusATotalCCI,xxIndexTeam)/1000</f>
        <v>104379.41045042242</v>
      </c>
      <c r="Q18" s="934"/>
      <c r="R18" s="934"/>
      <c r="S18" s="942"/>
    </row>
    <row r="19" spans="3:19" ht="12.75">
      <c r="C19" s="951"/>
      <c r="D19" s="934"/>
      <c r="E19" s="934"/>
      <c r="F19" s="934" t="s">
        <v>4907</v>
      </c>
      <c r="G19" s="934"/>
      <c r="H19" s="934"/>
      <c r="I19" s="934"/>
      <c r="J19" s="1224">
        <f>J18/J7</f>
        <v>0.53155222980330197</v>
      </c>
      <c r="K19" s="946"/>
      <c r="L19" s="1240">
        <f>L18/L7</f>
        <v>0.49301091245950879</v>
      </c>
      <c r="M19" s="946"/>
      <c r="N19" s="1242">
        <f>N18/N7</f>
        <v>0.5408757862721344</v>
      </c>
      <c r="O19" s="946"/>
      <c r="P19" s="1244">
        <f>P18/P7</f>
        <v>0.52056309616670504</v>
      </c>
      <c r="Q19" s="934"/>
      <c r="R19" s="934"/>
      <c r="S19" s="942"/>
    </row>
    <row r="20" spans="3:19" ht="12.75">
      <c r="C20" s="951"/>
      <c r="D20" s="934"/>
      <c r="E20" s="934"/>
      <c r="F20" s="934"/>
      <c r="G20" s="934"/>
      <c r="H20" s="934"/>
      <c r="I20" s="934"/>
      <c r="J20" s="988"/>
      <c r="K20" s="946"/>
      <c r="L20" s="949"/>
      <c r="M20" s="946"/>
      <c r="N20" s="989"/>
      <c r="O20" s="946"/>
      <c r="P20" s="997"/>
      <c r="Q20" s="934"/>
      <c r="R20" s="934"/>
      <c r="S20" s="942"/>
    </row>
    <row r="21" spans="3:19" ht="12.75">
      <c r="C21" s="951"/>
      <c r="D21" s="934"/>
      <c r="E21" s="931" t="s">
        <v>1608</v>
      </c>
      <c r="F21" s="934"/>
      <c r="G21" s="934"/>
      <c r="H21" s="934"/>
      <c r="I21" s="934"/>
      <c r="J21" s="984"/>
      <c r="K21" s="946"/>
      <c r="L21" s="946"/>
      <c r="M21" s="946"/>
      <c r="N21" s="985"/>
      <c r="O21" s="946"/>
      <c r="P21" s="998"/>
      <c r="Q21" s="934"/>
      <c r="R21" s="934"/>
      <c r="S21" s="942"/>
    </row>
    <row r="22" spans="3:19" ht="12.75">
      <c r="C22" s="951"/>
      <c r="D22" s="934"/>
      <c r="E22" s="934"/>
      <c r="F22" s="934" t="s">
        <v>4787</v>
      </c>
      <c r="G22" s="934"/>
      <c r="H22" s="934"/>
      <c r="I22" s="934"/>
      <c r="J22" s="1222">
        <f>INDEX(finPNLBusAV1BusDevTimeExp,xxIndexTeam)/1000</f>
        <v>24681.867170604044</v>
      </c>
      <c r="K22" s="950"/>
      <c r="L22" s="1237">
        <f>INDEX(finPNLBusAV2BusDevTimeExp,xxIndexTeam)/1000</f>
        <v>15907.681705453648</v>
      </c>
      <c r="M22" s="950"/>
      <c r="N22" s="1238">
        <f>INDEX(finPNLBusAV3BusDevTimeExp,xxIndexTeam)/1000</f>
        <v>11520.588972878453</v>
      </c>
      <c r="O22" s="946"/>
      <c r="P22" s="1245">
        <f>INDEX(finPNLTotalBusDevExp,xxIndexTeam)/1000</f>
        <v>52110.137848936138</v>
      </c>
      <c r="Q22" s="934"/>
      <c r="R22" s="934"/>
      <c r="S22" s="942"/>
    </row>
    <row r="23" spans="3:19" ht="12.75">
      <c r="C23" s="951"/>
      <c r="D23" s="934"/>
      <c r="E23" s="934"/>
      <c r="F23" s="934" t="s">
        <v>4788</v>
      </c>
      <c r="G23" s="934"/>
      <c r="H23" s="934"/>
      <c r="I23" s="934"/>
      <c r="J23" s="1222">
        <f>INDEX(finPNLBusAV1TotalGenMktExp,xxIndexTeam)/1000</f>
        <v>4392.878938004711</v>
      </c>
      <c r="K23" s="950"/>
      <c r="L23" s="1237">
        <f>INDEX(finPNLBusAV2TotalGenMktExp,xxIndexTeam)/1000</f>
        <v>2229.2172451304664</v>
      </c>
      <c r="M23" s="950"/>
      <c r="N23" s="1238">
        <f>INDEX(finPNLBusAV3TotalGenMktExp,xxIndexTeam)/1000</f>
        <v>877.90381686482283</v>
      </c>
      <c r="O23" s="946"/>
      <c r="P23" s="1245">
        <f>INDEX(finPNLBusATotalGenMktExp,xxIndexTeam)/1000</f>
        <v>7500</v>
      </c>
      <c r="Q23" s="934"/>
      <c r="R23" s="934"/>
      <c r="S23" s="942"/>
    </row>
    <row r="24" spans="3:19" ht="12.75">
      <c r="C24" s="951"/>
      <c r="D24" s="934"/>
      <c r="E24" s="934"/>
      <c r="F24" s="931" t="s">
        <v>4838</v>
      </c>
      <c r="G24" s="934"/>
      <c r="H24" s="934"/>
      <c r="I24" s="934"/>
      <c r="J24" s="1516">
        <f>SUM(J22:J23)</f>
        <v>29074.746108608757</v>
      </c>
      <c r="K24" s="1517"/>
      <c r="L24" s="1516">
        <f>SUM(L22:L23)</f>
        <v>18136.898950584113</v>
      </c>
      <c r="M24" s="1517"/>
      <c r="N24" s="1516">
        <f>SUM(N22:N23)</f>
        <v>12398.492789743275</v>
      </c>
      <c r="O24" s="946"/>
      <c r="P24" s="1246">
        <f>INDEX(finPNLTotalMSExp,xxIndexTeam)/1000</f>
        <v>59610.137848936138</v>
      </c>
      <c r="Q24" s="934"/>
      <c r="R24" s="934"/>
      <c r="S24" s="942"/>
    </row>
    <row r="25" spans="3:19" ht="12.75">
      <c r="C25" s="951"/>
      <c r="D25" s="934"/>
      <c r="E25" s="934"/>
      <c r="F25" s="931"/>
      <c r="G25" s="934"/>
      <c r="H25" s="934"/>
      <c r="I25" s="934"/>
      <c r="J25" s="1514">
        <f>J24/tlOutput_tlPNLBusA_J7</f>
        <v>0.25246060508803164</v>
      </c>
      <c r="K25" s="1517"/>
      <c r="L25" s="1514">
        <f>L24/tlOutput_tlPNLBusA_J7</f>
        <v>0.15748555348963811</v>
      </c>
      <c r="M25" s="1517"/>
      <c r="N25" s="1514">
        <f>N24/tlOutput_tlPNLBusA_J7</f>
        <v>0.10765806793928917</v>
      </c>
      <c r="O25" s="946"/>
      <c r="P25" s="1514">
        <f>P24/tlOutput_tlPNLBusA_J7</f>
        <v>0.51760422651695881</v>
      </c>
      <c r="Q25" s="934"/>
      <c r="R25" s="934"/>
      <c r="S25" s="942"/>
    </row>
    <row r="26" spans="3:19" ht="12.75">
      <c r="C26" s="951"/>
      <c r="D26" s="934"/>
      <c r="E26" s="934"/>
      <c r="F26" s="934"/>
      <c r="G26" s="934"/>
      <c r="H26" s="934"/>
      <c r="I26" s="934"/>
      <c r="J26" s="986"/>
      <c r="K26" s="950"/>
      <c r="L26" s="935"/>
      <c r="M26" s="950"/>
      <c r="N26" s="987"/>
      <c r="O26" s="946"/>
      <c r="P26" s="996"/>
      <c r="Q26" s="934"/>
      <c r="R26" s="934"/>
      <c r="S26" s="942"/>
    </row>
    <row r="27" spans="3:19" ht="12.75">
      <c r="C27" s="951"/>
      <c r="D27" s="934"/>
      <c r="E27" s="931" t="s">
        <v>283</v>
      </c>
      <c r="F27" s="934"/>
      <c r="G27" s="934"/>
      <c r="H27" s="934"/>
      <c r="I27" s="934"/>
      <c r="J27" s="986"/>
      <c r="K27" s="950"/>
      <c r="L27" s="935"/>
      <c r="M27" s="950"/>
      <c r="N27" s="987"/>
      <c r="O27" s="946"/>
      <c r="P27" s="998"/>
      <c r="Q27" s="934"/>
      <c r="R27" s="934"/>
      <c r="S27" s="942"/>
    </row>
    <row r="28" spans="3:19" ht="12.75">
      <c r="C28" s="951"/>
      <c r="D28" s="934"/>
      <c r="E28" s="934"/>
      <c r="F28" s="934" t="s">
        <v>1171</v>
      </c>
      <c r="G28" s="934"/>
      <c r="H28" s="934"/>
      <c r="I28" s="934"/>
      <c r="J28" s="1222">
        <f>INDEX(finPNLBusAV1UnallocTimeExp,xxIndexTeam)/1000</f>
        <v>31219.077749735185</v>
      </c>
      <c r="K28" s="950"/>
      <c r="L28" s="1237">
        <f>INDEX(finPNLBusAV2UnallocTimeExp,xxIndexTeam)/1000</f>
        <v>15842.482226106791</v>
      </c>
      <c r="M28" s="950"/>
      <c r="N28" s="1238">
        <f>INDEX(finPNLBusAV3UnallocTimeExp,xxIndexTeam)/1000</f>
        <v>6239.0400241580246</v>
      </c>
      <c r="O28" s="946"/>
      <c r="P28" s="1245">
        <f>INDEX(finPNLBusAUnallocTimeExp,xxIndexTeam)/1000</f>
        <v>53300.6</v>
      </c>
      <c r="Q28" s="934"/>
      <c r="R28" s="999"/>
      <c r="S28" s="942"/>
    </row>
    <row r="29" spans="3:19" ht="12.75">
      <c r="C29" s="951"/>
      <c r="D29" s="934"/>
      <c r="E29" s="934"/>
      <c r="F29" s="934" t="s">
        <v>1832</v>
      </c>
      <c r="G29" s="934"/>
      <c r="H29" s="934"/>
      <c r="I29" s="934"/>
      <c r="J29" s="1222">
        <f>INDEX(finPNLBusAV1GeneralTrainingExp,xxIndexTeam)/1000</f>
        <v>4180.8493145970169</v>
      </c>
      <c r="K29" s="950"/>
      <c r="L29" s="1237">
        <f>INDEX(finPNLBusAV2GeneralTrainingExp,xxIndexTeam)/1000</f>
        <v>2121.6203594321692</v>
      </c>
      <c r="M29" s="950"/>
      <c r="N29" s="1238">
        <f>INDEX(finPNLBusAV3GeneralTrainingExp,xxIndexTeam)/1000</f>
        <v>835.53032597081415</v>
      </c>
      <c r="O29" s="946"/>
      <c r="P29" s="1245">
        <f>INDEX(finPNLTotalGeneralTrainingExp,xxIndexTeam)/1000</f>
        <v>7138</v>
      </c>
      <c r="Q29" s="934"/>
      <c r="R29" s="999"/>
      <c r="S29" s="942"/>
    </row>
    <row r="30" spans="3:19" ht="12.75">
      <c r="C30" s="951"/>
      <c r="D30" s="934"/>
      <c r="E30" s="934"/>
      <c r="F30" s="934" t="s">
        <v>4925</v>
      </c>
      <c r="G30" s="934"/>
      <c r="H30" s="934"/>
      <c r="I30" s="934"/>
      <c r="J30" s="1222">
        <f>INDEX(finPNLBusAV1TotalGeneralTrainingBudgetExpense,xxIndexTeam)/1000</f>
        <v>2526.6375358423761</v>
      </c>
      <c r="K30" s="950"/>
      <c r="L30" s="1237">
        <f>INDEX(finPNLBusAV2TotalGeneralTrainingBudgetExpense,xxIndexTeam)/1000</f>
        <v>1282.1714521575398</v>
      </c>
      <c r="M30" s="950"/>
      <c r="N30" s="1238">
        <f>INDEX(finPNLBusAV3TotalGeneralTrainingBudgetExpense,xxIndexTeam)/1000</f>
        <v>504.94101200008396</v>
      </c>
      <c r="O30" s="946"/>
      <c r="P30" s="1245">
        <f>INDEX(finPNLTotalGeneralTrainingBudgetExp,xxIndexTeam)/1000</f>
        <v>4313.75</v>
      </c>
      <c r="Q30" s="934"/>
      <c r="R30" s="934"/>
      <c r="S30" s="942"/>
    </row>
    <row r="31" spans="3:19" ht="12.75">
      <c r="C31" s="951"/>
      <c r="D31" s="934"/>
      <c r="E31" s="934"/>
      <c r="F31" s="934" t="s">
        <v>4837</v>
      </c>
      <c r="G31" s="934"/>
      <c r="H31" s="934"/>
      <c r="I31" s="934"/>
      <c r="J31" s="1222">
        <f>INDEX(finPNLBusAV1TtlAdminExp,xxIndexTeam)/1000</f>
        <v>3511.3745644450987</v>
      </c>
      <c r="K31" s="950"/>
      <c r="L31" s="1237">
        <f>INDEX(finPNLBusAV2TtlAdminExp,xxIndexTeam)/1000</f>
        <v>1781.8876512742861</v>
      </c>
      <c r="M31" s="950"/>
      <c r="N31" s="1238">
        <f>INDEX(finPNLBusAV3TtlAdminExp,xxIndexTeam)/1000</f>
        <v>701.73778428061519</v>
      </c>
      <c r="O31" s="946"/>
      <c r="P31" s="1245">
        <f>INDEX(finPNLTotalEmpAdminExp,xxIndexTeam)/1000</f>
        <v>5995</v>
      </c>
      <c r="Q31" s="934"/>
      <c r="R31" s="999"/>
      <c r="S31" s="942"/>
    </row>
    <row r="32" spans="3:19" ht="12.75">
      <c r="C32" s="951"/>
      <c r="D32" s="934"/>
      <c r="E32" s="934"/>
      <c r="F32" s="934" t="s">
        <v>1990</v>
      </c>
      <c r="G32" s="934"/>
      <c r="H32" s="934"/>
      <c r="I32" s="934"/>
      <c r="J32" s="1222">
        <f>INDEX(finPNLBusAV1OtherExp,xxIndexTeam)/1000</f>
        <v>0</v>
      </c>
      <c r="K32" s="950"/>
      <c r="L32" s="1237">
        <f>INDEX(finPNLBusAV2OtherExp,xxIndexTeam)/1000</f>
        <v>0</v>
      </c>
      <c r="M32" s="950"/>
      <c r="N32" s="1238">
        <f>INDEX(finPNLBusAV3OtherExp,xxIndexTeam)/1000</f>
        <v>0</v>
      </c>
      <c r="O32" s="946"/>
      <c r="P32" s="1245">
        <f>INDEX(finPNLTotalOtherOpExp,xxIndexTeam)/1000</f>
        <v>0</v>
      </c>
      <c r="Q32" s="934"/>
      <c r="R32" s="934"/>
      <c r="S32" s="942"/>
    </row>
    <row r="33" spans="1:19" ht="12.75">
      <c r="C33" s="951"/>
      <c r="D33" s="934"/>
      <c r="E33" s="934"/>
      <c r="F33" s="934" t="s">
        <v>1018</v>
      </c>
      <c r="G33" s="934"/>
      <c r="H33" s="934"/>
      <c r="I33" s="934"/>
      <c r="J33" s="1222">
        <f>INDEX(finPNLBusAV1SpecProgExp,xxIndexTeam)/1000</f>
        <v>0</v>
      </c>
      <c r="K33" s="950"/>
      <c r="L33" s="1237">
        <f>INDEX(finPNLBusAV2SpecProgExp,xxIndexTeam)/1000</f>
        <v>0</v>
      </c>
      <c r="M33" s="950"/>
      <c r="N33" s="1238">
        <f>INDEX(finPNLBusAV3SpecProgExp,xxIndexTeam)/1000</f>
        <v>0</v>
      </c>
      <c r="O33" s="946"/>
      <c r="P33" s="1245">
        <f>INDEX(finPNLSpecProgExp,xxIndexTeam)/1000</f>
        <v>0</v>
      </c>
      <c r="Q33" s="934"/>
      <c r="R33" s="934"/>
      <c r="S33" s="942"/>
    </row>
    <row r="34" spans="1:19" ht="12.75">
      <c r="C34" s="951"/>
      <c r="D34" s="934"/>
      <c r="E34" s="934"/>
      <c r="F34" s="931" t="s">
        <v>4839</v>
      </c>
      <c r="G34" s="934"/>
      <c r="H34" s="934"/>
      <c r="I34" s="934"/>
      <c r="J34" s="1516">
        <f>SUM(J28:J33)</f>
        <v>41437.939164619675</v>
      </c>
      <c r="K34" s="1517"/>
      <c r="L34" s="1516">
        <f>SUM(L28:L33)</f>
        <v>21028.161688970788</v>
      </c>
      <c r="M34" s="1517"/>
      <c r="N34" s="1516">
        <f>SUM(N28:N33)</f>
        <v>8281.2491464095383</v>
      </c>
      <c r="O34" s="946"/>
      <c r="P34" s="1246">
        <f>INDEX(finPNLTotalOpExp,xxIndexTeam)/1000</f>
        <v>70747.350000000006</v>
      </c>
      <c r="Q34" s="934"/>
      <c r="R34" s="934"/>
      <c r="S34" s="942"/>
    </row>
    <row r="35" spans="1:19" ht="12.75">
      <c r="C35" s="951"/>
      <c r="D35" s="934"/>
      <c r="E35" s="934"/>
      <c r="F35" s="931"/>
      <c r="G35" s="934"/>
      <c r="H35" s="934"/>
      <c r="I35" s="934"/>
      <c r="J35" s="1514">
        <f>J34/tlOutput_tlPNLBusA_J7</f>
        <v>0.35981215987311382</v>
      </c>
      <c r="K35" s="1517"/>
      <c r="L35" s="1514">
        <f>L34/tlOutput_tlPNLBusA_J7</f>
        <v>0.18259084375339224</v>
      </c>
      <c r="M35" s="1517"/>
      <c r="N35" s="1514">
        <f>N34/tlOutput_tlPNLBusA_J7</f>
        <v>7.1907392160107789E-2</v>
      </c>
      <c r="O35" s="946"/>
      <c r="P35" s="1514">
        <f>P34/tlOutput_tlPNLBusA_J7</f>
        <v>0.61431039578661395</v>
      </c>
      <c r="Q35" s="934"/>
      <c r="R35" s="934"/>
      <c r="S35" s="942"/>
    </row>
    <row r="36" spans="1:19" ht="12.75">
      <c r="C36" s="951"/>
      <c r="D36" s="934"/>
      <c r="E36" s="934"/>
      <c r="F36" s="934"/>
      <c r="G36" s="934"/>
      <c r="H36" s="934"/>
      <c r="I36" s="934"/>
      <c r="J36" s="986"/>
      <c r="K36" s="950"/>
      <c r="L36" s="935"/>
      <c r="M36" s="950"/>
      <c r="N36" s="987"/>
      <c r="O36" s="946"/>
      <c r="P36" s="996"/>
      <c r="Q36" s="934"/>
      <c r="R36" s="934"/>
      <c r="S36" s="942"/>
    </row>
    <row r="37" spans="1:19" ht="12.75">
      <c r="C37" s="951"/>
      <c r="D37" s="934"/>
      <c r="E37" s="931" t="s">
        <v>4909</v>
      </c>
      <c r="F37" s="934"/>
      <c r="G37" s="934"/>
      <c r="H37" s="934"/>
      <c r="I37" s="934"/>
      <c r="J37" s="1222">
        <f>INDEX(finPNLBusAV1RDExp,xxIndexTeam)/1000</f>
        <v>5757.0258223053706</v>
      </c>
      <c r="K37" s="950"/>
      <c r="L37" s="1237">
        <f>INDEX(finPNLBusAV2RDExp,xxIndexTeam)/1000</f>
        <v>3132.3037765977515</v>
      </c>
      <c r="M37" s="950"/>
      <c r="N37" s="1238">
        <f>INDEX(finPNLBusAV3RDExp,xxIndexTeam)/1000</f>
        <v>1134.1227010968767</v>
      </c>
      <c r="O37" s="946"/>
      <c r="P37" s="1246">
        <f>INDEX(finPNLRDExp,xxIndexTeam)/1000</f>
        <v>10023.452299999999</v>
      </c>
      <c r="Q37" s="934"/>
      <c r="R37" s="934"/>
      <c r="S37" s="942"/>
    </row>
    <row r="38" spans="1:19" ht="12.75">
      <c r="C38" s="951"/>
      <c r="D38" s="934"/>
      <c r="E38" s="931"/>
      <c r="F38" s="934"/>
      <c r="G38" s="934"/>
      <c r="H38" s="934"/>
      <c r="I38" s="934"/>
      <c r="J38" s="1514">
        <f>tlOutput_tlPNLBusA_J34/tlOutput_tlPNLBusA_J7</f>
        <v>4.9989163006871187E-2</v>
      </c>
      <c r="K38" s="1517"/>
      <c r="L38" s="1514">
        <f>tlOutput_tlPNLBusA_J34/tlOutput_tlPNLBusA_J7</f>
        <v>4.9989163006871187E-2</v>
      </c>
      <c r="M38" s="1517"/>
      <c r="N38" s="1514">
        <f>tlOutput_tlPNLBusA_J34/tlOutput_tlPNLBusA_J7</f>
        <v>4.9989163006871187E-2</v>
      </c>
      <c r="O38" s="1518"/>
      <c r="P38" s="1514">
        <f>tlOutput_tlPNLBusA_J34/tlOutput_tlPNLBusA_J7</f>
        <v>4.9989163006871187E-2</v>
      </c>
      <c r="Q38" s="934"/>
      <c r="R38" s="934"/>
      <c r="S38" s="942"/>
    </row>
    <row r="39" spans="1:19" ht="12.75">
      <c r="C39" s="951"/>
      <c r="D39" s="934"/>
      <c r="E39" s="931"/>
      <c r="F39" s="934"/>
      <c r="G39" s="934"/>
      <c r="H39" s="934"/>
      <c r="I39" s="934"/>
      <c r="J39" s="986"/>
      <c r="K39" s="950"/>
      <c r="L39" s="935"/>
      <c r="M39" s="950"/>
      <c r="N39" s="987"/>
      <c r="O39" s="946"/>
      <c r="P39" s="996"/>
      <c r="Q39" s="934"/>
      <c r="R39" s="934"/>
      <c r="S39" s="942"/>
    </row>
    <row r="40" spans="1:19" ht="12.75">
      <c r="C40" s="1030"/>
      <c r="D40" s="931" t="s">
        <v>2410</v>
      </c>
      <c r="E40" s="946"/>
      <c r="F40" s="946"/>
      <c r="G40" s="946"/>
      <c r="H40" s="934"/>
      <c r="I40" s="934"/>
      <c r="J40" s="1222">
        <f>J22+J23+J28+J30+J31+J32+J29+J33+J37</f>
        <v>76269.711095533799</v>
      </c>
      <c r="K40" s="950"/>
      <c r="L40" s="1237">
        <f>L22+L23+L28+L30+L31+L32+L29+L33+L37</f>
        <v>42297.364416152654</v>
      </c>
      <c r="M40" s="950"/>
      <c r="N40" s="1238">
        <f>N22+N23+N28+N30+N31+N32+N29+N33+N37</f>
        <v>21813.864637249688</v>
      </c>
      <c r="O40" s="946"/>
      <c r="P40" s="1246">
        <f>P22+P23+P28+P30+P31+P32+P29+P33+P37</f>
        <v>140380.94014893615</v>
      </c>
      <c r="Q40" s="934"/>
      <c r="R40" s="934"/>
      <c r="S40" s="942"/>
    </row>
    <row r="41" spans="1:19" ht="12.75">
      <c r="C41" s="1030"/>
      <c r="D41" s="931"/>
      <c r="E41" s="946"/>
      <c r="F41" s="946"/>
      <c r="G41" s="946"/>
      <c r="H41" s="934"/>
      <c r="I41" s="934"/>
      <c r="J41" s="1515">
        <f>tlOutput_tlPNLBusA_J36/tlOutput_tlPNLBusA_J7</f>
        <v>0.66226192796801664</v>
      </c>
      <c r="K41" s="1517"/>
      <c r="L41" s="1515">
        <f>tlOutput_tlPNLBusA_J36/tlOutput_tlPNLBusA_J7</f>
        <v>0.66226192796801664</v>
      </c>
      <c r="M41" s="1517"/>
      <c r="N41" s="1515">
        <f>tlOutput_tlPNLBusA_J36/tlOutput_tlPNLBusA_J7</f>
        <v>0.66226192796801664</v>
      </c>
      <c r="O41" s="1518"/>
      <c r="P41" s="1515">
        <f>tlOutput_tlPNLBusA_J36/tlOutput_tlPNLBusA_J7</f>
        <v>0.66226192796801664</v>
      </c>
      <c r="Q41" s="934"/>
      <c r="R41" s="934"/>
      <c r="S41" s="942"/>
    </row>
    <row r="42" spans="1:19" ht="6" customHeight="1">
      <c r="C42" s="951"/>
      <c r="D42" s="934"/>
      <c r="E42" s="934"/>
      <c r="F42" s="934"/>
      <c r="G42" s="934"/>
      <c r="H42" s="934"/>
      <c r="I42" s="934"/>
      <c r="J42" s="990"/>
      <c r="K42" s="976"/>
      <c r="L42" s="976"/>
      <c r="M42" s="976"/>
      <c r="N42" s="991"/>
      <c r="O42" s="946"/>
      <c r="P42" s="995"/>
      <c r="Q42" s="934"/>
      <c r="R42" s="934"/>
      <c r="S42" s="942"/>
    </row>
    <row r="43" spans="1:19" ht="12.75">
      <c r="C43" s="951"/>
      <c r="D43" s="1000" t="s">
        <v>4910</v>
      </c>
      <c r="E43" s="1001"/>
      <c r="F43" s="1001"/>
      <c r="G43" s="1001"/>
      <c r="H43" s="1001"/>
      <c r="I43" s="1001"/>
      <c r="J43" s="1223">
        <f>INDEX(finPNLBusAV1OpsMargin,xxIndexTeam)/1000</f>
        <v>-15053.24478940703</v>
      </c>
      <c r="K43" s="1004"/>
      <c r="L43" s="1239">
        <f>INDEX(finPNLBusAV2OpsMargin,xxIndexTeam)/1000</f>
        <v>-11405.47005119682</v>
      </c>
      <c r="M43" s="1004"/>
      <c r="N43" s="1241">
        <f>INDEX(finPNLBusAV3OpsMargin,xxIndexTeam)/1000</f>
        <v>-9542.8148579098488</v>
      </c>
      <c r="O43" s="1003"/>
      <c r="P43" s="1247">
        <f>INDEX(finPNLTotalOpIncome,xxIndexTeam)/1000</f>
        <v>-36001.529698513703</v>
      </c>
      <c r="Q43" s="934"/>
      <c r="R43" s="999"/>
      <c r="S43" s="942"/>
    </row>
    <row r="44" spans="1:19" ht="12.75">
      <c r="C44" s="951"/>
      <c r="D44" s="934"/>
      <c r="E44" s="934" t="s">
        <v>4908</v>
      </c>
      <c r="F44" s="934"/>
      <c r="G44" s="934"/>
      <c r="H44" s="934"/>
      <c r="I44" s="934"/>
      <c r="J44" s="1248">
        <f>J43/J7</f>
        <v>-0.13070969816471451</v>
      </c>
      <c r="K44" s="992"/>
      <c r="L44" s="1249">
        <f>L43/L7</f>
        <v>-0.18202254386020991</v>
      </c>
      <c r="M44" s="955"/>
      <c r="N44" s="1250">
        <f>N43/N7</f>
        <v>-0.42062232509328751</v>
      </c>
      <c r="O44" s="946"/>
      <c r="P44" s="1251">
        <f>P43/P7</f>
        <v>-0.17954755335102615</v>
      </c>
      <c r="Q44" s="934"/>
      <c r="R44" s="934"/>
      <c r="S44" s="942"/>
    </row>
    <row r="45" spans="1:19" ht="12.95" customHeight="1" thickBot="1">
      <c r="C45" s="953"/>
      <c r="D45" s="954"/>
      <c r="E45" s="954"/>
      <c r="F45" s="954"/>
      <c r="G45" s="954"/>
      <c r="H45" s="954"/>
      <c r="I45" s="954"/>
      <c r="J45" s="954"/>
      <c r="K45" s="954"/>
      <c r="L45" s="954"/>
      <c r="M45" s="954"/>
      <c r="N45" s="954"/>
      <c r="O45" s="954"/>
      <c r="P45" s="954"/>
      <c r="Q45" s="954"/>
      <c r="R45" s="954"/>
      <c r="S45" s="944"/>
    </row>
    <row r="46" spans="1:19" s="1177" customFormat="1" ht="12.95" customHeight="1">
      <c r="A46" s="874"/>
      <c r="B46" s="874"/>
    </row>
    <row r="47" spans="1:19" s="1177" customFormat="1" ht="12.95" customHeight="1">
      <c r="A47" s="874"/>
      <c r="B47" s="874"/>
    </row>
    <row r="48" spans="1:19" s="1177" customFormat="1" ht="12.95" customHeight="1">
      <c r="A48" s="874"/>
      <c r="B48" s="874"/>
    </row>
    <row r="49" spans="1:2" s="1177" customFormat="1" ht="12.95" customHeight="1">
      <c r="A49" s="874"/>
      <c r="B49" s="874"/>
    </row>
    <row r="50" spans="1:2" s="1177" customFormat="1" ht="12.95" customHeight="1">
      <c r="A50" s="874"/>
      <c r="B50" s="874"/>
    </row>
    <row r="51" spans="1:2" s="1177" customFormat="1" ht="12.95" customHeight="1">
      <c r="A51" s="874"/>
      <c r="B51" s="874"/>
    </row>
    <row r="52" spans="1:2" s="1177" customFormat="1" ht="12.95" customHeight="1">
      <c r="A52" s="874"/>
      <c r="B52" s="874"/>
    </row>
    <row r="53" spans="1:2" s="1177" customFormat="1" ht="12.95" customHeight="1">
      <c r="A53" s="874"/>
      <c r="B53" s="874"/>
    </row>
    <row r="54" spans="1:2" s="1177" customFormat="1" ht="12.95" customHeight="1">
      <c r="A54" s="874"/>
      <c r="B54" s="874"/>
    </row>
    <row r="55" spans="1:2" s="1177" customFormat="1" ht="12.95" customHeight="1">
      <c r="A55" s="874"/>
      <c r="B55" s="874"/>
    </row>
    <row r="56" spans="1:2" s="1177" customFormat="1" ht="12.95" customHeight="1">
      <c r="A56" s="874"/>
      <c r="B56" s="874"/>
    </row>
    <row r="57" spans="1:2" s="1177" customFormat="1" ht="12.95" customHeight="1">
      <c r="A57" s="874"/>
      <c r="B57" s="874"/>
    </row>
    <row r="58" spans="1:2" s="1177" customFormat="1" ht="12.95" customHeight="1">
      <c r="A58" s="874"/>
      <c r="B58" s="874"/>
    </row>
    <row r="59" spans="1:2" s="1177" customFormat="1" ht="12.95" customHeight="1">
      <c r="A59" s="874"/>
      <c r="B59" s="874"/>
    </row>
    <row r="60" spans="1:2" s="1177" customFormat="1" ht="12.95" customHeight="1">
      <c r="A60" s="874"/>
      <c r="B60" s="874"/>
    </row>
    <row r="61" spans="1:2" s="1177" customFormat="1" ht="12.95" customHeight="1">
      <c r="A61" s="874"/>
      <c r="B61" s="874"/>
    </row>
    <row r="62" spans="1:2" s="1177" customFormat="1" ht="12.95" customHeight="1">
      <c r="A62" s="874"/>
      <c r="B62" s="874"/>
    </row>
    <row r="63" spans="1:2" s="1177" customFormat="1" ht="12.95" customHeight="1">
      <c r="A63" s="874"/>
      <c r="B63" s="874"/>
    </row>
    <row r="64" spans="1:2" s="1177" customFormat="1" ht="12.95" customHeight="1">
      <c r="A64" s="874"/>
      <c r="B64" s="874"/>
    </row>
    <row r="65" spans="1:2" s="1177" customFormat="1" ht="12.95" customHeight="1">
      <c r="A65" s="874"/>
      <c r="B65" s="874"/>
    </row>
    <row r="66" spans="1:2" s="1177" customFormat="1" ht="12.95" customHeight="1">
      <c r="A66" s="874"/>
      <c r="B66" s="874"/>
    </row>
    <row r="67" spans="1:2" s="1177" customFormat="1" ht="12.95" customHeight="1">
      <c r="A67" s="874"/>
      <c r="B67" s="874"/>
    </row>
    <row r="68" spans="1:2" s="1177" customFormat="1" ht="12.95" customHeight="1">
      <c r="A68" s="874"/>
      <c r="B68" s="874"/>
    </row>
    <row r="69" spans="1:2" s="1177" customFormat="1" ht="12.95" customHeight="1">
      <c r="A69" s="874"/>
      <c r="B69" s="874"/>
    </row>
    <row r="70" spans="1:2" s="1177" customFormat="1" ht="12.95" customHeight="1">
      <c r="A70" s="874"/>
      <c r="B70" s="874"/>
    </row>
    <row r="71" spans="1:2" s="1177" customFormat="1" ht="12.95" customHeight="1">
      <c r="A71" s="874"/>
      <c r="B71" s="874"/>
    </row>
    <row r="72" spans="1:2" s="1177" customFormat="1" ht="12.95" customHeight="1">
      <c r="A72" s="874"/>
      <c r="B72" s="874"/>
    </row>
    <row r="73" spans="1:2" s="1177" customFormat="1" ht="12.95" customHeight="1">
      <c r="A73" s="874"/>
      <c r="B73" s="874"/>
    </row>
    <row r="74" spans="1:2" s="1177" customFormat="1" ht="12.95" customHeight="1">
      <c r="A74" s="874"/>
      <c r="B74" s="874"/>
    </row>
    <row r="75" spans="1:2" s="1177" customFormat="1" ht="12.95" customHeight="1">
      <c r="A75" s="874"/>
      <c r="B75" s="874"/>
    </row>
    <row r="76" spans="1:2" s="1177" customFormat="1" ht="12.95" customHeight="1">
      <c r="A76" s="874"/>
      <c r="B76" s="874"/>
    </row>
    <row r="77" spans="1:2" s="1177" customFormat="1" ht="12.95" customHeight="1">
      <c r="A77" s="874"/>
      <c r="B77" s="874"/>
    </row>
    <row r="78" spans="1:2" s="1177" customFormat="1" ht="12.95" customHeight="1">
      <c r="A78" s="874"/>
      <c r="B78" s="874"/>
    </row>
    <row r="79" spans="1:2" s="1177" customFormat="1" ht="12.95" customHeight="1">
      <c r="A79" s="874"/>
      <c r="B79" s="874"/>
    </row>
    <row r="80" spans="1:2" s="1177" customFormat="1" ht="12.95" customHeight="1">
      <c r="A80" s="874"/>
      <c r="B80" s="874"/>
    </row>
    <row r="81" spans="1:2" s="1177" customFormat="1" ht="12.95" customHeight="1">
      <c r="A81" s="874"/>
      <c r="B81" s="874"/>
    </row>
    <row r="82" spans="1:2" s="1177" customFormat="1" ht="12.95" customHeight="1">
      <c r="A82" s="874"/>
      <c r="B82" s="874"/>
    </row>
    <row r="83" spans="1:2" s="1177" customFormat="1" ht="12.95" customHeight="1">
      <c r="A83" s="874"/>
      <c r="B83" s="874"/>
    </row>
    <row r="84" spans="1:2" s="1177" customFormat="1" ht="12.95" customHeight="1">
      <c r="A84" s="874"/>
      <c r="B84" s="874"/>
    </row>
    <row r="85" spans="1:2" s="1177" customFormat="1" ht="12.95" customHeight="1">
      <c r="A85" s="874"/>
      <c r="B85" s="874"/>
    </row>
    <row r="86" spans="1:2" s="1177" customFormat="1" ht="12.95" customHeight="1">
      <c r="A86" s="874"/>
      <c r="B86" s="874"/>
    </row>
    <row r="87" spans="1:2" s="1177" customFormat="1" ht="12.95" customHeight="1">
      <c r="A87" s="874"/>
      <c r="B87" s="874"/>
    </row>
    <row r="88" spans="1:2" s="1177" customFormat="1" ht="12.95" customHeight="1">
      <c r="A88" s="874"/>
      <c r="B88" s="874"/>
    </row>
    <row r="89" spans="1:2" s="1177" customFormat="1" ht="12.95" customHeight="1">
      <c r="A89" s="874"/>
      <c r="B89" s="874"/>
    </row>
    <row r="90" spans="1:2" s="1177" customFormat="1" ht="12.95" customHeight="1">
      <c r="A90" s="874"/>
      <c r="B90" s="874"/>
    </row>
    <row r="91" spans="1:2" s="1177" customFormat="1" ht="12.95" customHeight="1">
      <c r="A91" s="874"/>
      <c r="B91" s="874"/>
    </row>
    <row r="92" spans="1:2" s="1177" customFormat="1" ht="12.95" customHeight="1">
      <c r="A92" s="874"/>
      <c r="B92" s="874"/>
    </row>
    <row r="93" spans="1:2" s="1177" customFormat="1" ht="12.95" customHeight="1">
      <c r="A93" s="874"/>
      <c r="B93" s="874"/>
    </row>
    <row r="94" spans="1:2" s="1177" customFormat="1" ht="12.95" customHeight="1">
      <c r="A94" s="874"/>
      <c r="B94" s="874"/>
    </row>
    <row r="95" spans="1:2" s="1177" customFormat="1" ht="12.95" customHeight="1">
      <c r="A95" s="874"/>
      <c r="B95" s="874"/>
    </row>
    <row r="96" spans="1:2" s="1177" customFormat="1" ht="12.95" customHeight="1">
      <c r="A96" s="874"/>
      <c r="B96" s="874"/>
    </row>
    <row r="97" spans="1:2" s="1177" customFormat="1" ht="12.95" customHeight="1">
      <c r="A97" s="874"/>
      <c r="B97" s="874"/>
    </row>
    <row r="98" spans="1:2" s="1177" customFormat="1" ht="12.95" customHeight="1">
      <c r="A98" s="874"/>
      <c r="B98" s="874"/>
    </row>
    <row r="99" spans="1:2" s="1177" customFormat="1" ht="12.95" customHeight="1">
      <c r="A99" s="874"/>
      <c r="B99" s="874"/>
    </row>
    <row r="100" spans="1:2" s="1177" customFormat="1" ht="12.95" customHeight="1">
      <c r="A100" s="874"/>
      <c r="B100" s="874"/>
    </row>
    <row r="101" spans="1:2" s="1177" customFormat="1" ht="12.95" customHeight="1">
      <c r="A101" s="874"/>
      <c r="B101" s="874"/>
    </row>
    <row r="102" spans="1:2" s="1177" customFormat="1" ht="12.95" customHeight="1">
      <c r="A102" s="874"/>
      <c r="B102" s="874"/>
    </row>
    <row r="103" spans="1:2" s="1177" customFormat="1" ht="12.95" customHeight="1">
      <c r="A103" s="874"/>
      <c r="B103" s="874"/>
    </row>
    <row r="104" spans="1:2" s="1177" customFormat="1" ht="12.95" customHeight="1">
      <c r="A104" s="874"/>
      <c r="B104" s="874"/>
    </row>
    <row r="105" spans="1:2" s="1177" customFormat="1" ht="12.95" customHeight="1">
      <c r="A105" s="874"/>
      <c r="B105" s="874"/>
    </row>
    <row r="106" spans="1:2" s="1177" customFormat="1" ht="12.95" customHeight="1">
      <c r="A106" s="874"/>
      <c r="B106" s="874"/>
    </row>
    <row r="107" spans="1:2" s="1177" customFormat="1" ht="12.95" customHeight="1">
      <c r="A107" s="874"/>
      <c r="B107" s="874"/>
    </row>
    <row r="108" spans="1:2" s="1177" customFormat="1" ht="12.95" customHeight="1">
      <c r="A108" s="874"/>
      <c r="B108" s="874"/>
    </row>
    <row r="109" spans="1:2" s="1177" customFormat="1" ht="12.95" customHeight="1">
      <c r="A109" s="874"/>
      <c r="B109" s="874"/>
    </row>
    <row r="110" spans="1:2" s="1177" customFormat="1" ht="12.95" customHeight="1">
      <c r="A110" s="874"/>
      <c r="B110" s="874"/>
    </row>
    <row r="111" spans="1:2" s="1177" customFormat="1" ht="12.95" customHeight="1">
      <c r="A111" s="874"/>
      <c r="B111" s="874"/>
    </row>
    <row r="112" spans="1:2" s="1177" customFormat="1" ht="12.95" customHeight="1">
      <c r="A112" s="874"/>
      <c r="B112" s="874"/>
    </row>
    <row r="113" spans="1:2" s="1177" customFormat="1" ht="12.95" customHeight="1">
      <c r="A113" s="874"/>
      <c r="B113" s="874"/>
    </row>
    <row r="114" spans="1:2" s="1177" customFormat="1" ht="12.95" customHeight="1">
      <c r="A114" s="874"/>
      <c r="B114" s="874"/>
    </row>
    <row r="115" spans="1:2" s="1177" customFormat="1" ht="12.95" customHeight="1">
      <c r="A115" s="874"/>
      <c r="B115" s="874"/>
    </row>
    <row r="116" spans="1:2" s="1177" customFormat="1" ht="12.95" customHeight="1">
      <c r="A116" s="874"/>
      <c r="B116" s="874"/>
    </row>
    <row r="117" spans="1:2" s="1177" customFormat="1" ht="12.95" customHeight="1">
      <c r="A117" s="874"/>
      <c r="B117" s="874"/>
    </row>
    <row r="118" spans="1:2" s="1177" customFormat="1" ht="12.95" customHeight="1">
      <c r="A118" s="874"/>
      <c r="B118" s="874"/>
    </row>
    <row r="119" spans="1:2" s="1177" customFormat="1" ht="12.95" customHeight="1">
      <c r="A119" s="874"/>
      <c r="B119" s="874"/>
    </row>
    <row r="120" spans="1:2" s="1177" customFormat="1" ht="12.95" customHeight="1">
      <c r="A120" s="874"/>
      <c r="B120" s="874"/>
    </row>
    <row r="121" spans="1:2" s="1177" customFormat="1" ht="12.95" customHeight="1">
      <c r="A121" s="874"/>
      <c r="B121" s="874"/>
    </row>
    <row r="122" spans="1:2" s="1177" customFormat="1" ht="12.95" customHeight="1">
      <c r="A122" s="874"/>
      <c r="B122" s="874"/>
    </row>
    <row r="123" spans="1:2" s="1177" customFormat="1" ht="12.95" customHeight="1">
      <c r="A123" s="874"/>
      <c r="B123" s="874"/>
    </row>
    <row r="124" spans="1:2" s="1177" customFormat="1" ht="12.95" customHeight="1">
      <c r="A124" s="874"/>
      <c r="B124" s="874"/>
    </row>
    <row r="125" spans="1:2" s="1177" customFormat="1" ht="12.95" customHeight="1">
      <c r="A125" s="874"/>
      <c r="B125" s="874"/>
    </row>
    <row r="126" spans="1:2" s="1177" customFormat="1" ht="12.95" customHeight="1">
      <c r="A126" s="874"/>
      <c r="B126" s="874"/>
    </row>
    <row r="127" spans="1:2" s="1177" customFormat="1" ht="12.95" customHeight="1">
      <c r="A127" s="874"/>
      <c r="B127" s="874"/>
    </row>
    <row r="128" spans="1:2" s="1177" customFormat="1" ht="12.95" customHeight="1">
      <c r="A128" s="874"/>
      <c r="B128" s="874"/>
    </row>
    <row r="129" spans="1:2" s="1177" customFormat="1" ht="12.95" customHeight="1">
      <c r="A129" s="874"/>
      <c r="B129" s="874"/>
    </row>
    <row r="130" spans="1:2" s="1177" customFormat="1" ht="12.95" customHeight="1">
      <c r="A130" s="874"/>
      <c r="B130" s="874"/>
    </row>
    <row r="131" spans="1:2" s="1177" customFormat="1" ht="12.95" customHeight="1">
      <c r="A131" s="874"/>
      <c r="B131" s="874"/>
    </row>
    <row r="132" spans="1:2" s="1177" customFormat="1" ht="12.95" customHeight="1">
      <c r="A132" s="874"/>
      <c r="B132" s="874"/>
    </row>
    <row r="133" spans="1:2" s="1177" customFormat="1" ht="12.95" customHeight="1">
      <c r="A133" s="874"/>
      <c r="B133" s="874"/>
    </row>
    <row r="134" spans="1:2" s="1177" customFormat="1" ht="12.95" customHeight="1">
      <c r="A134" s="874"/>
      <c r="B134" s="874"/>
    </row>
    <row r="135" spans="1:2" s="1177" customFormat="1" ht="12.95" customHeight="1">
      <c r="A135" s="874"/>
      <c r="B135" s="874"/>
    </row>
    <row r="136" spans="1:2" s="1177" customFormat="1" ht="12.95" customHeight="1">
      <c r="A136" s="874"/>
      <c r="B136" s="874"/>
    </row>
    <row r="137" spans="1:2" s="1177" customFormat="1" ht="12.95" customHeight="1">
      <c r="A137" s="874"/>
      <c r="B137" s="874"/>
    </row>
    <row r="138" spans="1:2" s="1177" customFormat="1" ht="12.95" customHeight="1">
      <c r="A138" s="874"/>
      <c r="B138" s="874"/>
    </row>
    <row r="139" spans="1:2" s="1177" customFormat="1" ht="12.95" customHeight="1">
      <c r="A139" s="874"/>
      <c r="B139" s="874"/>
    </row>
    <row r="140" spans="1:2" s="1177" customFormat="1" ht="12.95" customHeight="1">
      <c r="A140" s="874"/>
      <c r="B140" s="874"/>
    </row>
    <row r="141" spans="1:2" s="1177" customFormat="1" ht="12.95" customHeight="1">
      <c r="A141" s="874"/>
      <c r="B141" s="874"/>
    </row>
    <row r="142" spans="1:2" s="1177" customFormat="1" ht="12.95" customHeight="1">
      <c r="A142" s="874"/>
      <c r="B142" s="874"/>
    </row>
    <row r="143" spans="1:2" s="1177" customFormat="1" ht="12.95" customHeight="1">
      <c r="A143" s="874"/>
      <c r="B143" s="874"/>
    </row>
    <row r="144" spans="1:2" s="1177" customFormat="1" ht="12.95" customHeight="1">
      <c r="A144" s="874"/>
      <c r="B144" s="874"/>
    </row>
    <row r="145" spans="1:2" s="1177" customFormat="1" ht="12.95" customHeight="1">
      <c r="A145" s="874"/>
      <c r="B145" s="874"/>
    </row>
    <row r="146" spans="1:2" s="1177" customFormat="1" ht="12.95" customHeight="1">
      <c r="A146" s="874"/>
      <c r="B146" s="874"/>
    </row>
    <row r="147" spans="1:2" s="1177" customFormat="1" ht="12.95" customHeight="1">
      <c r="A147" s="874"/>
      <c r="B147" s="874"/>
    </row>
    <row r="148" spans="1:2" s="1177" customFormat="1" ht="12.95" customHeight="1">
      <c r="A148" s="874"/>
      <c r="B148" s="874"/>
    </row>
    <row r="149" spans="1:2" s="1177" customFormat="1" ht="12.95" customHeight="1">
      <c r="A149" s="874"/>
      <c r="B149" s="874"/>
    </row>
    <row r="150" spans="1:2" s="1177" customFormat="1" ht="12.95" customHeight="1">
      <c r="A150" s="874"/>
      <c r="B150" s="874"/>
    </row>
    <row r="151" spans="1:2" s="1177" customFormat="1" ht="12.95" customHeight="1">
      <c r="A151" s="874"/>
      <c r="B151" s="874"/>
    </row>
    <row r="152" spans="1:2" s="1177" customFormat="1" ht="12.95" customHeight="1">
      <c r="A152" s="874"/>
      <c r="B152" s="874"/>
    </row>
    <row r="153" spans="1:2" s="1177" customFormat="1" ht="12.95" customHeight="1">
      <c r="A153" s="874"/>
      <c r="B153" s="874"/>
    </row>
    <row r="154" spans="1:2" s="1177" customFormat="1" ht="12.95" customHeight="1">
      <c r="A154" s="874"/>
      <c r="B154" s="874"/>
    </row>
    <row r="155" spans="1:2" s="1177" customFormat="1" ht="12.95" customHeight="1">
      <c r="A155" s="874"/>
      <c r="B155" s="874"/>
    </row>
  </sheetData>
  <phoneticPr fontId="0" type="noConversion"/>
  <printOptions horizontalCentered="1"/>
  <pageMargins left="0.5" right="0.5" top="0.5" bottom="0.5" header="0.5" footer="0.5"/>
  <pageSetup scale="68" orientation="portrait" blackAndWhite="1" r:id="rId1"/>
  <headerFooter alignWithMargins="0">
    <oddFooter>&amp;CPage &amp;P of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D242"/>
  <sheetViews>
    <sheetView workbookViewId="0">
      <selection activeCell="I21" sqref="I21"/>
    </sheetView>
  </sheetViews>
  <sheetFormatPr defaultColWidth="18.83203125" defaultRowHeight="12.75" customHeight="1"/>
  <cols>
    <col min="1" max="13" width="9.33203125" customWidth="1"/>
  </cols>
  <sheetData>
    <row r="1" spans="3:4" ht="11.25"/>
    <row r="2" spans="3:4" ht="11.25"/>
    <row r="3" spans="3:4" ht="11.25"/>
    <row r="4" spans="3:4" ht="11.25">
      <c r="C4" t="s">
        <v>3132</v>
      </c>
    </row>
    <row r="5" spans="3:4" ht="11.25">
      <c r="C5">
        <v>1</v>
      </c>
      <c r="D5" t="s">
        <v>1887</v>
      </c>
    </row>
    <row r="6" spans="3:4" ht="11.25">
      <c r="C6">
        <v>2</v>
      </c>
      <c r="D6" t="s">
        <v>1888</v>
      </c>
    </row>
    <row r="7" spans="3:4" ht="11.25">
      <c r="C7">
        <v>3</v>
      </c>
      <c r="D7" t="s">
        <v>3633</v>
      </c>
    </row>
    <row r="8" spans="3:4" ht="11.25">
      <c r="C8">
        <v>4</v>
      </c>
      <c r="D8" t="s">
        <v>3665</v>
      </c>
    </row>
    <row r="9" spans="3:4" ht="11.25">
      <c r="C9">
        <v>5</v>
      </c>
      <c r="D9" t="s">
        <v>4290</v>
      </c>
    </row>
    <row r="10" spans="3:4" ht="11.25">
      <c r="C10">
        <v>6</v>
      </c>
      <c r="D10" t="s">
        <v>4291</v>
      </c>
    </row>
    <row r="11" spans="3:4" ht="11.25">
      <c r="C11">
        <v>7</v>
      </c>
      <c r="D11" t="s">
        <v>4292</v>
      </c>
    </row>
    <row r="12" spans="3:4" ht="11.25">
      <c r="C12">
        <v>8</v>
      </c>
      <c r="D12" t="s">
        <v>4293</v>
      </c>
    </row>
    <row r="13" spans="3:4" ht="11.25">
      <c r="C13">
        <v>9</v>
      </c>
      <c r="D13" t="s">
        <v>4294</v>
      </c>
    </row>
    <row r="14" spans="3:4" ht="11.25">
      <c r="C14">
        <v>10</v>
      </c>
      <c r="D14" t="s">
        <v>736</v>
      </c>
    </row>
    <row r="15" spans="3:4" ht="11.25">
      <c r="C15">
        <v>11</v>
      </c>
      <c r="D15" t="s">
        <v>3131</v>
      </c>
    </row>
    <row r="16" spans="3:4" ht="11.25"/>
    <row r="17" spans="3:3" ht="11.25"/>
    <row r="18" spans="3:3" ht="11.25"/>
    <row r="19" spans="3:3" ht="18">
      <c r="C19" s="242" t="s">
        <v>4008</v>
      </c>
    </row>
    <row r="20" spans="3:3" ht="18">
      <c r="C20" s="243" t="s">
        <v>2127</v>
      </c>
    </row>
    <row r="21" spans="3:3" ht="18">
      <c r="C21" s="241"/>
    </row>
    <row r="22" spans="3:3" ht="18">
      <c r="C22" s="244" t="s">
        <v>3464</v>
      </c>
    </row>
    <row r="23" spans="3:3" ht="11.25"/>
    <row r="24" spans="3:3" ht="11.25"/>
    <row r="25" spans="3:3" ht="18">
      <c r="C25" s="244" t="s">
        <v>181</v>
      </c>
    </row>
    <row r="26" spans="3:3" ht="18.75">
      <c r="C26" s="245" t="s">
        <v>182</v>
      </c>
    </row>
    <row r="27" spans="3:3" ht="18.75">
      <c r="C27" s="245" t="s">
        <v>3612</v>
      </c>
    </row>
    <row r="28" spans="3:3" ht="18.75">
      <c r="C28" s="245" t="s">
        <v>3078</v>
      </c>
    </row>
    <row r="29" spans="3:3" ht="18">
      <c r="C29" s="246"/>
    </row>
    <row r="30" spans="3:3" ht="11.25"/>
    <row r="31" spans="3:3" ht="18">
      <c r="C31" s="241"/>
    </row>
    <row r="32" spans="3:3" ht="18">
      <c r="C32" s="244" t="s">
        <v>3079</v>
      </c>
    </row>
    <row r="33" spans="3:3" ht="18.75">
      <c r="C33" s="245" t="s">
        <v>158</v>
      </c>
    </row>
    <row r="34" spans="3:3" ht="18.75">
      <c r="C34" s="245" t="s">
        <v>2858</v>
      </c>
    </row>
    <row r="35" spans="3:3" ht="18">
      <c r="C35" s="241"/>
    </row>
    <row r="36" spans="3:3" ht="18">
      <c r="C36" s="244" t="s">
        <v>2859</v>
      </c>
    </row>
    <row r="37" spans="3:3" ht="18.75">
      <c r="C37" s="245" t="s">
        <v>4061</v>
      </c>
    </row>
    <row r="38" spans="3:3" ht="18.75">
      <c r="C38" s="245" t="s">
        <v>3025</v>
      </c>
    </row>
    <row r="39" spans="3:3" ht="18">
      <c r="C39" s="247" t="s">
        <v>3026</v>
      </c>
    </row>
    <row r="40" spans="3:3" ht="18">
      <c r="C40" s="247" t="s">
        <v>161</v>
      </c>
    </row>
    <row r="41" spans="3:3" ht="18">
      <c r="C41" s="247" t="s">
        <v>1730</v>
      </c>
    </row>
    <row r="42" spans="3:3" ht="18.75">
      <c r="C42" s="245" t="s">
        <v>2375</v>
      </c>
    </row>
    <row r="43" spans="3:3" ht="18">
      <c r="C43" s="241" t="s">
        <v>4009</v>
      </c>
    </row>
    <row r="44" spans="3:3" ht="11.25"/>
    <row r="45" spans="3:3" ht="11.25"/>
    <row r="46" spans="3:3" ht="11.25"/>
    <row r="47" spans="3:3" ht="11.25"/>
    <row r="48" spans="3:3" ht="11.25"/>
    <row r="49" spans="3:3" ht="11.25"/>
    <row r="50" spans="3:3" ht="11.25"/>
    <row r="51" spans="3:3" ht="11.25"/>
    <row r="52" spans="3:3" ht="18">
      <c r="C52" s="242" t="s">
        <v>2681</v>
      </c>
    </row>
    <row r="53" spans="3:3" ht="18">
      <c r="C53" s="243" t="s">
        <v>1403</v>
      </c>
    </row>
    <row r="54" spans="3:3" ht="18">
      <c r="C54" s="243"/>
    </row>
    <row r="55" spans="3:3" ht="18">
      <c r="C55" s="244" t="s">
        <v>1404</v>
      </c>
    </row>
    <row r="56" spans="3:3" ht="18">
      <c r="C56" s="241"/>
    </row>
    <row r="57" spans="3:3" ht="18">
      <c r="C57" s="244" t="s">
        <v>2964</v>
      </c>
    </row>
    <row r="58" spans="3:3" ht="18">
      <c r="C58" s="241"/>
    </row>
    <row r="59" spans="3:3" ht="18">
      <c r="C59" s="244" t="s">
        <v>1388</v>
      </c>
    </row>
    <row r="60" spans="3:3" ht="18.75">
      <c r="C60" s="245" t="s">
        <v>3887</v>
      </c>
    </row>
    <row r="61" spans="3:3" ht="18.75">
      <c r="C61" s="245" t="s">
        <v>2406</v>
      </c>
    </row>
    <row r="62" spans="3:3" ht="18">
      <c r="C62" s="241"/>
    </row>
    <row r="63" spans="3:3" ht="11.25"/>
    <row r="64" spans="3:3" ht="11.25"/>
    <row r="65" ht="11.25"/>
    <row r="66" ht="11.25"/>
    <row r="67" ht="11.25"/>
    <row r="68" ht="11.25"/>
    <row r="69" ht="11.25"/>
    <row r="70" ht="11.25"/>
    <row r="71" ht="11.25"/>
    <row r="72" ht="11.25"/>
    <row r="73" ht="11.25"/>
    <row r="74" ht="11.25"/>
    <row r="75" ht="11.25"/>
    <row r="76" ht="11.25"/>
    <row r="77" ht="11.25"/>
    <row r="78" ht="11.25"/>
    <row r="79" ht="11.25"/>
    <row r="80" ht="11.25"/>
    <row r="81" spans="3:3" ht="11.25"/>
    <row r="82" spans="3:3" ht="11.25"/>
    <row r="83" spans="3:3" ht="11.25"/>
    <row r="84" spans="3:3" ht="11.25"/>
    <row r="85" spans="3:3" ht="11.25"/>
    <row r="86" spans="3:3" ht="11.25"/>
    <row r="87" spans="3:3" ht="11.25"/>
    <row r="88" spans="3:3" ht="18">
      <c r="C88" s="242" t="s">
        <v>2407</v>
      </c>
    </row>
    <row r="89" spans="3:3" ht="18">
      <c r="C89" s="241" t="s">
        <v>734</v>
      </c>
    </row>
    <row r="90" spans="3:3" ht="11.25"/>
    <row r="91" spans="3:3" ht="11.25"/>
    <row r="92" spans="3:3" ht="11.25"/>
    <row r="93" spans="3:3" ht="18">
      <c r="C93" s="242" t="s">
        <v>735</v>
      </c>
    </row>
    <row r="94" spans="3:3" ht="18">
      <c r="C94" s="243" t="s">
        <v>374</v>
      </c>
    </row>
    <row r="95" spans="3:3" ht="18">
      <c r="C95" s="243"/>
    </row>
    <row r="96" spans="3:3" ht="18">
      <c r="C96" s="244" t="s">
        <v>2597</v>
      </c>
    </row>
    <row r="97" ht="11.25"/>
    <row r="98" ht="11.25"/>
    <row r="99" ht="11.25"/>
    <row r="100" ht="11.25"/>
    <row r="101" ht="11.25"/>
    <row r="102" ht="11.25"/>
    <row r="103" ht="11.25"/>
    <row r="104" ht="11.25"/>
    <row r="105" ht="11.25"/>
    <row r="106" ht="11.25"/>
    <row r="107" ht="11.25"/>
    <row r="108" ht="11.25"/>
    <row r="109" ht="11.25"/>
    <row r="110" ht="11.25"/>
    <row r="111" ht="11.25"/>
    <row r="112" ht="11.25"/>
    <row r="113" spans="3:3" ht="11.25"/>
    <row r="114" spans="3:3" ht="11.25"/>
    <row r="115" spans="3:3" ht="11.25"/>
    <row r="116" spans="3:3" ht="11.25"/>
    <row r="117" spans="3:3" ht="11.25"/>
    <row r="118" spans="3:3" ht="11.25"/>
    <row r="119" spans="3:3" ht="11.25"/>
    <row r="120" spans="3:3" ht="11.25"/>
    <row r="121" spans="3:3" ht="11.25"/>
    <row r="122" spans="3:3" ht="11.25"/>
    <row r="123" spans="3:3" ht="11.25"/>
    <row r="124" spans="3:3" ht="11.25"/>
    <row r="125" spans="3:3" ht="11.25"/>
    <row r="126" spans="3:3" ht="18">
      <c r="C126" s="242" t="s">
        <v>2598</v>
      </c>
    </row>
    <row r="127" spans="3:3" ht="18">
      <c r="C127" s="243" t="s">
        <v>2599</v>
      </c>
    </row>
    <row r="128" spans="3:3" ht="18">
      <c r="C128" s="243"/>
    </row>
    <row r="129" spans="3:3" ht="18">
      <c r="C129" s="244" t="s">
        <v>2600</v>
      </c>
    </row>
    <row r="130" spans="3:3" ht="18.75">
      <c r="C130" s="245" t="s">
        <v>2601</v>
      </c>
    </row>
    <row r="131" spans="3:3" ht="18.75">
      <c r="C131" s="245" t="s">
        <v>641</v>
      </c>
    </row>
    <row r="132" spans="3:3" ht="18.75">
      <c r="C132" s="245" t="s">
        <v>1683</v>
      </c>
    </row>
    <row r="133" spans="3:3" ht="18">
      <c r="C133" s="241" t="s">
        <v>314</v>
      </c>
    </row>
    <row r="134" spans="3:3" ht="11.25"/>
    <row r="135" spans="3:3" ht="11.25"/>
    <row r="136" spans="3:3" ht="11.25"/>
    <row r="137" spans="3:3" ht="18">
      <c r="C137" s="242" t="s">
        <v>2831</v>
      </c>
    </row>
    <row r="138" spans="3:3" ht="18">
      <c r="C138" s="244" t="s">
        <v>2147</v>
      </c>
    </row>
    <row r="139" spans="3:3" ht="18.75">
      <c r="C139" s="245" t="s">
        <v>2148</v>
      </c>
    </row>
    <row r="140" spans="3:3" ht="18.75">
      <c r="C140" s="245" t="s">
        <v>755</v>
      </c>
    </row>
    <row r="141" spans="3:3" ht="18.75">
      <c r="C141" s="245" t="s">
        <v>4295</v>
      </c>
    </row>
    <row r="142" spans="3:3" ht="18">
      <c r="C142" s="241" t="s">
        <v>4296</v>
      </c>
    </row>
    <row r="143" spans="3:3" ht="11.25"/>
    <row r="144" spans="3:3" ht="11.25"/>
    <row r="145" spans="3:3" ht="11.25"/>
    <row r="146" spans="3:3" ht="11.25"/>
    <row r="147" spans="3:3" ht="18">
      <c r="C147" s="242" t="s">
        <v>1378</v>
      </c>
    </row>
    <row r="148" spans="3:3" ht="18">
      <c r="C148" s="243" t="s">
        <v>3537</v>
      </c>
    </row>
    <row r="149" spans="3:3" ht="18">
      <c r="C149" s="241"/>
    </row>
    <row r="150" spans="3:3" ht="18">
      <c r="C150" s="244" t="s">
        <v>3538</v>
      </c>
    </row>
    <row r="151" spans="3:3" ht="18">
      <c r="C151" s="244" t="s">
        <v>657</v>
      </c>
    </row>
    <row r="152" spans="3:3" ht="18">
      <c r="C152" s="244" t="s">
        <v>658</v>
      </c>
    </row>
    <row r="153" spans="3:3" ht="18.75">
      <c r="C153" s="245" t="s">
        <v>1407</v>
      </c>
    </row>
    <row r="154" spans="3:3" ht="18.75">
      <c r="C154" s="245" t="s">
        <v>1339</v>
      </c>
    </row>
    <row r="155" spans="3:3" ht="18.75">
      <c r="C155" s="245" t="s">
        <v>3213</v>
      </c>
    </row>
    <row r="156" spans="3:3" ht="18">
      <c r="C156" s="243"/>
    </row>
    <row r="157" spans="3:3" ht="11.25"/>
    <row r="158" spans="3:3" ht="11.25"/>
    <row r="159" spans="3:3" ht="11.25"/>
    <row r="160" spans="3:3" ht="11.25"/>
    <row r="161" ht="11.25"/>
    <row r="162" ht="11.25"/>
    <row r="163" ht="11.25"/>
    <row r="164" ht="11.25"/>
    <row r="165" ht="11.25"/>
    <row r="166" ht="11.25"/>
    <row r="167" ht="11.25"/>
    <row r="168" ht="11.25"/>
    <row r="169" ht="11.25"/>
    <row r="170" ht="11.25"/>
    <row r="171" ht="11.25"/>
    <row r="172" ht="11.25"/>
    <row r="173" ht="11.25"/>
    <row r="174" ht="11.25"/>
    <row r="175" ht="11.25"/>
    <row r="176" ht="11.25"/>
    <row r="177" spans="3:3" ht="11.25"/>
    <row r="178" spans="3:3" ht="11.25"/>
    <row r="179" spans="3:3" ht="11.25"/>
    <row r="180" spans="3:3" ht="11.25"/>
    <row r="181" spans="3:3" ht="11.25"/>
    <row r="182" spans="3:3" ht="11.25"/>
    <row r="183" spans="3:3" ht="11.25"/>
    <row r="184" spans="3:3" ht="11.25"/>
    <row r="185" spans="3:3" ht="11.25"/>
    <row r="186" spans="3:3" ht="11.25"/>
    <row r="187" spans="3:3" ht="11.25"/>
    <row r="188" spans="3:3" ht="11.25"/>
    <row r="189" spans="3:3" ht="11.25"/>
    <row r="190" spans="3:3" ht="18">
      <c r="C190" s="242" t="s">
        <v>3214</v>
      </c>
    </row>
    <row r="191" spans="3:3" ht="18">
      <c r="C191" s="243" t="s">
        <v>3215</v>
      </c>
    </row>
    <row r="192" spans="3:3" ht="18">
      <c r="C192" s="243"/>
    </row>
    <row r="193" spans="3:3" ht="18">
      <c r="C193" s="248" t="s">
        <v>3832</v>
      </c>
    </row>
    <row r="194" spans="3:3" ht="18">
      <c r="C194" s="248" t="s">
        <v>1121</v>
      </c>
    </row>
    <row r="195" spans="3:3" ht="18">
      <c r="C195" s="248" t="s">
        <v>1520</v>
      </c>
    </row>
    <row r="196" spans="3:3" ht="18.75">
      <c r="C196" s="249" t="s">
        <v>1521</v>
      </c>
    </row>
    <row r="197" spans="3:3" ht="11.25"/>
    <row r="198" spans="3:3" ht="11.25"/>
    <row r="199" spans="3:3" ht="11.25"/>
    <row r="200" spans="3:3" ht="11.25"/>
    <row r="201" spans="3:3" ht="11.25"/>
    <row r="202" spans="3:3" ht="11.25"/>
    <row r="203" spans="3:3" ht="11.25"/>
    <row r="204" spans="3:3" ht="11.25"/>
    <row r="205" spans="3:3" ht="11.25"/>
    <row r="206" spans="3:3" ht="11.25"/>
    <row r="207" spans="3:3" ht="11.25"/>
    <row r="208" spans="3:3" ht="11.25"/>
    <row r="209" ht="11.25"/>
    <row r="210" ht="11.25"/>
    <row r="211" ht="11.25"/>
    <row r="212" ht="11.25"/>
    <row r="213" ht="11.25"/>
    <row r="214" ht="11.25"/>
    <row r="215" ht="11.25"/>
    <row r="216" ht="11.25"/>
    <row r="217" ht="11.25"/>
    <row r="218" ht="11.25"/>
    <row r="219" ht="11.25"/>
    <row r="220" ht="11.25"/>
    <row r="221" ht="11.25"/>
    <row r="222" ht="11.25"/>
    <row r="223" ht="11.25"/>
    <row r="224" ht="11.25"/>
    <row r="225" spans="3:3" ht="11.25"/>
    <row r="226" spans="3:3" ht="11.25"/>
    <row r="227" spans="3:3" ht="11.25"/>
    <row r="228" spans="3:3" ht="11.25"/>
    <row r="229" spans="3:3" ht="11.25"/>
    <row r="230" spans="3:3" ht="11.25"/>
    <row r="231" spans="3:3" ht="18">
      <c r="C231" s="250" t="s">
        <v>1522</v>
      </c>
    </row>
    <row r="232" spans="3:3" ht="18">
      <c r="C232" s="241" t="s">
        <v>4311</v>
      </c>
    </row>
    <row r="233" spans="3:3" ht="18">
      <c r="C233" s="241"/>
    </row>
    <row r="234" spans="3:3" ht="18">
      <c r="C234" s="241"/>
    </row>
    <row r="235" spans="3:3" ht="18">
      <c r="C235" s="250" t="s">
        <v>4312</v>
      </c>
    </row>
    <row r="236" spans="3:3" ht="18">
      <c r="C236" s="241" t="s">
        <v>4313</v>
      </c>
    </row>
    <row r="237" spans="3:3" ht="18">
      <c r="C237" s="241"/>
    </row>
    <row r="238" spans="3:3" ht="18">
      <c r="C238" s="241"/>
    </row>
    <row r="239" spans="3:3" ht="18">
      <c r="C239" s="250" t="s">
        <v>4314</v>
      </c>
    </row>
    <row r="240" spans="3:3" ht="18">
      <c r="C240" s="241" t="s">
        <v>2632</v>
      </c>
    </row>
    <row r="241" spans="3:3" ht="18">
      <c r="C241" s="241"/>
    </row>
    <row r="242" spans="3:3" ht="18">
      <c r="C242" s="244" t="s">
        <v>2633</v>
      </c>
    </row>
  </sheetData>
  <phoneticPr fontId="0" type="noConversion"/>
  <pageMargins left="0.75" right="0.75" top="1" bottom="1" header="0.5" footer="0.5"/>
  <headerFooter alignWithMargins="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I117"/>
  <sheetViews>
    <sheetView workbookViewId="0">
      <selection activeCell="M2" sqref="M2"/>
    </sheetView>
  </sheetViews>
  <sheetFormatPr defaultColWidth="18.83203125" defaultRowHeight="12.75" customHeight="1"/>
  <cols>
    <col min="1" max="1" width="5.83203125" customWidth="1"/>
    <col min="2" max="3" width="9.33203125" customWidth="1"/>
    <col min="4" max="4" width="22.1640625" style="4" customWidth="1"/>
    <col min="5" max="9" width="19.83203125" customWidth="1"/>
  </cols>
  <sheetData>
    <row r="1" spans="2:9" ht="12" thickBot="1"/>
    <row r="2" spans="2:9" ht="13.5" thickBot="1">
      <c r="B2" s="223" t="s">
        <v>3282</v>
      </c>
      <c r="C2" s="224"/>
      <c r="D2" s="224"/>
      <c r="E2" s="224"/>
      <c r="F2" s="224"/>
      <c r="G2" s="224"/>
      <c r="H2" s="224"/>
      <c r="I2" s="224"/>
    </row>
    <row r="3" spans="2:9" ht="11.25"/>
    <row r="4" spans="2:9" ht="11.25">
      <c r="D4" s="4" t="s">
        <v>2364</v>
      </c>
      <c r="E4" s="225" t="str">
        <f>decTeamName</f>
        <v>Entrevard</v>
      </c>
      <c r="F4" s="226" t="str">
        <f>decTeamName</f>
        <v>Entrevard</v>
      </c>
      <c r="G4" s="226" t="str">
        <f>decTeamName</f>
        <v>Entrevard</v>
      </c>
      <c r="H4" s="226" t="str">
        <f>decTeamName</f>
        <v>Entrevard</v>
      </c>
      <c r="I4" s="227" t="str">
        <f>decTeamName</f>
        <v>Entrevard</v>
      </c>
    </row>
    <row r="5" spans="2:9" ht="11.25">
      <c r="D5" s="4" t="s">
        <v>2363</v>
      </c>
      <c r="E5" s="228">
        <f>decTeamNumber</f>
        <v>1</v>
      </c>
      <c r="F5" s="229">
        <f>decTeamNumber</f>
        <v>1</v>
      </c>
      <c r="G5" s="229">
        <f>decTeamNumber</f>
        <v>1</v>
      </c>
      <c r="H5" s="229">
        <f>decTeamNumber</f>
        <v>1</v>
      </c>
      <c r="I5" s="230">
        <f>decTeamNumber</f>
        <v>1</v>
      </c>
    </row>
    <row r="6" spans="2:9" ht="6" customHeight="1" thickBot="1"/>
    <row r="7" spans="2:9" ht="11.25">
      <c r="B7" s="112"/>
      <c r="C7" s="113"/>
      <c r="D7" s="231" t="str">
        <f>DataNameProd1&amp;" Market Share Adjustments"</f>
        <v>Consulting Market Share Adjustments</v>
      </c>
      <c r="E7" s="113"/>
      <c r="F7" s="113"/>
      <c r="G7" s="113"/>
      <c r="H7" s="113"/>
      <c r="I7" s="113"/>
    </row>
    <row r="8" spans="2:9" ht="11.25">
      <c r="B8" s="81"/>
      <c r="C8" s="18"/>
      <c r="D8" s="232" t="s">
        <v>10</v>
      </c>
      <c r="E8" s="233"/>
      <c r="F8" s="233"/>
      <c r="G8" s="233"/>
      <c r="H8" s="233"/>
      <c r="I8" s="233"/>
    </row>
    <row r="9" spans="2:9" ht="11.25">
      <c r="B9" s="81"/>
      <c r="C9" s="18"/>
      <c r="D9" s="232" t="s">
        <v>11</v>
      </c>
      <c r="E9" s="233"/>
      <c r="F9" s="233"/>
      <c r="G9" s="233"/>
      <c r="H9" s="233"/>
      <c r="I9" s="233"/>
    </row>
    <row r="10" spans="2:9" ht="11.25">
      <c r="B10" s="81"/>
      <c r="C10" s="18"/>
      <c r="D10" s="232" t="s">
        <v>12</v>
      </c>
      <c r="E10" s="233"/>
      <c r="F10" s="233"/>
      <c r="G10" s="233"/>
      <c r="H10" s="233"/>
      <c r="I10" s="233"/>
    </row>
    <row r="11" spans="2:9" ht="11.25">
      <c r="B11" s="81"/>
      <c r="C11" s="18"/>
      <c r="D11" s="232"/>
      <c r="E11" s="233"/>
      <c r="F11" s="233"/>
      <c r="G11" s="233"/>
      <c r="H11" s="233"/>
      <c r="I11" s="233"/>
    </row>
    <row r="12" spans="2:9" ht="11.25">
      <c r="B12" s="81"/>
      <c r="C12" s="18"/>
      <c r="D12" s="232"/>
      <c r="E12" s="233"/>
      <c r="F12" s="233"/>
      <c r="G12" s="233"/>
      <c r="H12" s="233"/>
      <c r="I12" s="233"/>
    </row>
    <row r="13" spans="2:9" ht="11.25">
      <c r="B13" s="81"/>
      <c r="C13" s="18"/>
      <c r="D13" s="232"/>
      <c r="E13" s="234"/>
      <c r="F13" s="234"/>
      <c r="G13" s="234"/>
      <c r="H13" s="234"/>
      <c r="I13" s="234"/>
    </row>
    <row r="14" spans="2:9" ht="11.25">
      <c r="B14" s="81"/>
      <c r="C14" s="18"/>
      <c r="D14" s="235" t="str">
        <f>DataNameProd1&amp;" Ending Share Post-Stockout"</f>
        <v>Consulting Ending Share Post-Stockout</v>
      </c>
      <c r="E14" s="234"/>
      <c r="F14" s="234"/>
      <c r="G14" s="234"/>
      <c r="H14" s="234"/>
      <c r="I14" s="234"/>
    </row>
    <row r="15" spans="2:9" ht="11.25">
      <c r="B15" s="81"/>
      <c r="C15" s="18"/>
      <c r="D15" s="232" t="s">
        <v>10</v>
      </c>
      <c r="E15" s="236" t="e">
        <f>#REF!</f>
        <v>#REF!</v>
      </c>
      <c r="F15" s="236" t="e">
        <f>#REF!</f>
        <v>#REF!</v>
      </c>
      <c r="G15" s="236" t="e">
        <f>#REF!</f>
        <v>#REF!</v>
      </c>
      <c r="H15" s="236" t="e">
        <f>#REF!</f>
        <v>#REF!</v>
      </c>
      <c r="I15" s="236" t="e">
        <f>#REF!</f>
        <v>#REF!</v>
      </c>
    </row>
    <row r="16" spans="2:9" ht="11.25">
      <c r="B16" s="81"/>
      <c r="C16" s="18"/>
      <c r="D16" s="232" t="s">
        <v>11</v>
      </c>
      <c r="E16" s="236" t="e">
        <f>#REF!</f>
        <v>#REF!</v>
      </c>
      <c r="F16" s="236" t="e">
        <f>#REF!</f>
        <v>#REF!</v>
      </c>
      <c r="G16" s="236" t="e">
        <f>#REF!</f>
        <v>#REF!</v>
      </c>
      <c r="H16" s="236" t="e">
        <f>#REF!</f>
        <v>#REF!</v>
      </c>
      <c r="I16" s="236" t="e">
        <f>#REF!</f>
        <v>#REF!</v>
      </c>
    </row>
    <row r="17" spans="2:9" ht="11.25">
      <c r="B17" s="81"/>
      <c r="C17" s="18"/>
      <c r="D17" s="232" t="s">
        <v>12</v>
      </c>
      <c r="E17" s="236" t="e">
        <f>#REF!</f>
        <v>#REF!</v>
      </c>
      <c r="F17" s="236" t="e">
        <f>#REF!</f>
        <v>#REF!</v>
      </c>
      <c r="G17" s="236" t="e">
        <f>#REF!</f>
        <v>#REF!</v>
      </c>
      <c r="H17" s="236" t="e">
        <f>#REF!</f>
        <v>#REF!</v>
      </c>
      <c r="I17" s="236" t="e">
        <f>#REF!</f>
        <v>#REF!</v>
      </c>
    </row>
    <row r="18" spans="2:9" ht="11.25">
      <c r="B18" s="81"/>
      <c r="C18" s="18"/>
      <c r="D18" s="232"/>
      <c r="E18" s="236"/>
      <c r="F18" s="236"/>
      <c r="G18" s="236"/>
      <c r="H18" s="236"/>
      <c r="I18" s="236"/>
    </row>
    <row r="19" spans="2:9" ht="11.25">
      <c r="B19" s="81"/>
      <c r="C19" s="18"/>
      <c r="D19" s="232"/>
      <c r="E19" s="236"/>
      <c r="F19" s="236"/>
      <c r="G19" s="236"/>
      <c r="H19" s="236"/>
      <c r="I19" s="236"/>
    </row>
    <row r="20" spans="2:9" ht="6" customHeight="1" thickBot="1">
      <c r="B20" s="83"/>
      <c r="C20" s="84"/>
      <c r="D20" s="237"/>
      <c r="E20" s="238"/>
      <c r="F20" s="238"/>
      <c r="G20" s="238"/>
      <c r="H20" s="238"/>
      <c r="I20" s="238"/>
    </row>
    <row r="21" spans="2:9" ht="6" customHeight="1" thickBot="1">
      <c r="E21" s="239"/>
      <c r="F21" s="239"/>
      <c r="G21" s="239"/>
      <c r="H21" s="239"/>
      <c r="I21" s="239"/>
    </row>
    <row r="22" spans="2:9" ht="11.25">
      <c r="B22" s="112"/>
      <c r="C22" s="113"/>
      <c r="D22" s="231" t="str">
        <f>DataNameProd2&amp;" Market Share Adjustments"</f>
        <v>Industry 1 Market Share Adjustments</v>
      </c>
      <c r="E22" s="113"/>
      <c r="F22" s="113"/>
      <c r="G22" s="113"/>
      <c r="H22" s="113"/>
      <c r="I22" s="113"/>
    </row>
    <row r="23" spans="2:9" ht="11.25">
      <c r="B23" s="81"/>
      <c r="C23" s="18"/>
      <c r="D23" s="232" t="s">
        <v>2005</v>
      </c>
      <c r="E23" s="233"/>
      <c r="F23" s="233"/>
      <c r="G23" s="233"/>
      <c r="H23" s="233"/>
      <c r="I23" s="233"/>
    </row>
    <row r="24" spans="2:9" ht="11.25">
      <c r="B24" s="81"/>
      <c r="C24" s="18"/>
      <c r="D24" s="232" t="s">
        <v>2006</v>
      </c>
      <c r="E24" s="233"/>
      <c r="F24" s="233"/>
      <c r="G24" s="233"/>
      <c r="H24" s="233"/>
      <c r="I24" s="233"/>
    </row>
    <row r="25" spans="2:9" ht="11.25">
      <c r="B25" s="81"/>
      <c r="C25" s="18"/>
      <c r="D25" s="232" t="s">
        <v>2007</v>
      </c>
      <c r="E25" s="233"/>
      <c r="F25" s="233"/>
      <c r="G25" s="233"/>
      <c r="H25" s="233"/>
      <c r="I25" s="233"/>
    </row>
    <row r="26" spans="2:9" ht="11.25">
      <c r="B26" s="81"/>
      <c r="C26" s="18"/>
      <c r="D26" s="232"/>
      <c r="E26" s="233"/>
      <c r="F26" s="233"/>
      <c r="G26" s="233"/>
      <c r="H26" s="233"/>
      <c r="I26" s="233"/>
    </row>
    <row r="27" spans="2:9" ht="11.25">
      <c r="B27" s="81"/>
      <c r="C27" s="18"/>
      <c r="D27" s="232"/>
      <c r="E27" s="233"/>
      <c r="F27" s="233"/>
      <c r="G27" s="233"/>
      <c r="H27" s="233"/>
      <c r="I27" s="233"/>
    </row>
    <row r="28" spans="2:9" ht="11.25">
      <c r="B28" s="81"/>
      <c r="C28" s="18"/>
      <c r="D28" s="232"/>
      <c r="E28" s="234"/>
      <c r="F28" s="234"/>
      <c r="G28" s="234"/>
      <c r="H28" s="234"/>
      <c r="I28" s="234"/>
    </row>
    <row r="29" spans="2:9" ht="11.25">
      <c r="B29" s="81"/>
      <c r="C29" s="18"/>
      <c r="D29" s="235" t="str">
        <f>DataNameProd2&amp;" Ending Share Post-Stockout"</f>
        <v>Industry 1 Ending Share Post-Stockout</v>
      </c>
      <c r="E29" s="234"/>
      <c r="F29" s="234"/>
      <c r="G29" s="234"/>
      <c r="H29" s="234"/>
      <c r="I29" s="234"/>
    </row>
    <row r="30" spans="2:9" ht="11.25">
      <c r="B30" s="81"/>
      <c r="C30" s="18"/>
      <c r="D30" s="232" t="s">
        <v>2005</v>
      </c>
      <c r="E30" s="236" t="e">
        <f>#REF!</f>
        <v>#REF!</v>
      </c>
      <c r="F30" s="236" t="e">
        <f>#REF!</f>
        <v>#REF!</v>
      </c>
      <c r="G30" s="236" t="e">
        <f>#REF!</f>
        <v>#REF!</v>
      </c>
      <c r="H30" s="236" t="e">
        <f>#REF!</f>
        <v>#REF!</v>
      </c>
      <c r="I30" s="236" t="e">
        <f>#REF!</f>
        <v>#REF!</v>
      </c>
    </row>
    <row r="31" spans="2:9" ht="11.25">
      <c r="B31" s="81"/>
      <c r="C31" s="18"/>
      <c r="D31" s="232" t="s">
        <v>2006</v>
      </c>
      <c r="E31" s="236" t="e">
        <f>#REF!</f>
        <v>#REF!</v>
      </c>
      <c r="F31" s="236" t="e">
        <f>#REF!</f>
        <v>#REF!</v>
      </c>
      <c r="G31" s="236" t="e">
        <f>#REF!</f>
        <v>#REF!</v>
      </c>
      <c r="H31" s="236" t="e">
        <f>#REF!</f>
        <v>#REF!</v>
      </c>
      <c r="I31" s="236" t="e">
        <f>#REF!</f>
        <v>#REF!</v>
      </c>
    </row>
    <row r="32" spans="2:9" ht="11.25">
      <c r="B32" s="81"/>
      <c r="C32" s="18"/>
      <c r="D32" s="232" t="s">
        <v>2007</v>
      </c>
      <c r="E32" s="236" t="e">
        <f>#REF!</f>
        <v>#REF!</v>
      </c>
      <c r="F32" s="236" t="e">
        <f>#REF!</f>
        <v>#REF!</v>
      </c>
      <c r="G32" s="236" t="e">
        <f>#REF!</f>
        <v>#REF!</v>
      </c>
      <c r="H32" s="236" t="e">
        <f>#REF!</f>
        <v>#REF!</v>
      </c>
      <c r="I32" s="236" t="e">
        <f>#REF!</f>
        <v>#REF!</v>
      </c>
    </row>
    <row r="33" spans="2:9" ht="6" customHeight="1" thickBot="1">
      <c r="B33" s="83"/>
      <c r="C33" s="84"/>
      <c r="D33" s="237"/>
      <c r="E33" s="238"/>
      <c r="F33" s="238"/>
      <c r="G33" s="238"/>
      <c r="H33" s="238"/>
      <c r="I33" s="238"/>
    </row>
    <row r="34" spans="2:9" ht="6" customHeight="1" thickBot="1">
      <c r="E34" s="239"/>
      <c r="F34" s="239"/>
      <c r="G34" s="239"/>
      <c r="H34" s="239"/>
      <c r="I34" s="239"/>
    </row>
    <row r="35" spans="2:9" ht="11.25">
      <c r="B35" s="112"/>
      <c r="C35" s="113"/>
      <c r="D35" s="231" t="str">
        <f>DataNameProd3&amp;" Market Share Adjustments"</f>
        <v>Industry 2 Market Share Adjustments</v>
      </c>
      <c r="E35" s="113"/>
      <c r="F35" s="113"/>
      <c r="G35" s="113"/>
      <c r="H35" s="113"/>
      <c r="I35" s="113"/>
    </row>
    <row r="36" spans="2:9" ht="11.25">
      <c r="B36" s="81"/>
      <c r="C36" s="18"/>
      <c r="D36" s="232" t="s">
        <v>2005</v>
      </c>
      <c r="E36" s="233"/>
      <c r="F36" s="233"/>
      <c r="G36" s="233"/>
      <c r="H36" s="233"/>
      <c r="I36" s="233"/>
    </row>
    <row r="37" spans="2:9" ht="11.25">
      <c r="B37" s="81"/>
      <c r="C37" s="18"/>
      <c r="D37" s="232" t="s">
        <v>2006</v>
      </c>
      <c r="E37" s="233"/>
      <c r="F37" s="233"/>
      <c r="G37" s="233"/>
      <c r="H37" s="233"/>
      <c r="I37" s="233"/>
    </row>
    <row r="38" spans="2:9" ht="11.25">
      <c r="B38" s="81"/>
      <c r="C38" s="18"/>
      <c r="D38" s="232" t="s">
        <v>2007</v>
      </c>
      <c r="E38" s="233"/>
      <c r="F38" s="233"/>
      <c r="G38" s="233"/>
      <c r="H38" s="233"/>
      <c r="I38" s="233"/>
    </row>
    <row r="39" spans="2:9" ht="11.25">
      <c r="B39" s="81"/>
      <c r="C39" s="18"/>
      <c r="D39" s="232"/>
      <c r="E39" s="233"/>
      <c r="F39" s="233"/>
      <c r="G39" s="233"/>
      <c r="H39" s="233"/>
      <c r="I39" s="233"/>
    </row>
    <row r="40" spans="2:9" ht="11.25">
      <c r="B40" s="81"/>
      <c r="C40" s="18"/>
      <c r="D40" s="232"/>
      <c r="E40" s="233"/>
      <c r="F40" s="233"/>
      <c r="G40" s="233"/>
      <c r="H40" s="233"/>
      <c r="I40" s="233"/>
    </row>
    <row r="41" spans="2:9" ht="11.25">
      <c r="B41" s="81"/>
      <c r="C41" s="18"/>
      <c r="D41" s="232"/>
      <c r="E41" s="234"/>
      <c r="F41" s="234"/>
      <c r="G41" s="234"/>
      <c r="H41" s="234"/>
      <c r="I41" s="234"/>
    </row>
    <row r="42" spans="2:9" ht="11.25">
      <c r="B42" s="81"/>
      <c r="C42" s="18"/>
      <c r="D42" s="235" t="str">
        <f>DataNameProd3&amp;" Ending Share Post-Stockout"</f>
        <v>Industry 2 Ending Share Post-Stockout</v>
      </c>
      <c r="E42" s="234"/>
      <c r="F42" s="234"/>
      <c r="G42" s="234"/>
      <c r="H42" s="234"/>
      <c r="I42" s="234"/>
    </row>
    <row r="43" spans="2:9" ht="11.25">
      <c r="B43" s="81"/>
      <c r="C43" s="18"/>
      <c r="D43" s="232" t="s">
        <v>2005</v>
      </c>
      <c r="E43" s="236" t="e">
        <f>#REF!</f>
        <v>#REF!</v>
      </c>
      <c r="F43" s="236" t="e">
        <f>#REF!</f>
        <v>#REF!</v>
      </c>
      <c r="G43" s="236" t="e">
        <f>#REF!</f>
        <v>#REF!</v>
      </c>
      <c r="H43" s="236" t="e">
        <f>#REF!</f>
        <v>#REF!</v>
      </c>
      <c r="I43" s="236" t="e">
        <f>#REF!</f>
        <v>#REF!</v>
      </c>
    </row>
    <row r="44" spans="2:9" ht="11.25">
      <c r="B44" s="81"/>
      <c r="C44" s="18"/>
      <c r="D44" s="232" t="s">
        <v>2006</v>
      </c>
      <c r="E44" s="236" t="e">
        <f>#REF!</f>
        <v>#REF!</v>
      </c>
      <c r="F44" s="236" t="e">
        <f>#REF!</f>
        <v>#REF!</v>
      </c>
      <c r="G44" s="236" t="e">
        <f>#REF!</f>
        <v>#REF!</v>
      </c>
      <c r="H44" s="236" t="e">
        <f>#REF!</f>
        <v>#REF!</v>
      </c>
      <c r="I44" s="236" t="e">
        <f>#REF!</f>
        <v>#REF!</v>
      </c>
    </row>
    <row r="45" spans="2:9" ht="11.25">
      <c r="B45" s="81"/>
      <c r="C45" s="18"/>
      <c r="D45" s="232" t="s">
        <v>2007</v>
      </c>
      <c r="E45" s="236" t="e">
        <f>#REF!</f>
        <v>#REF!</v>
      </c>
      <c r="F45" s="236" t="e">
        <f>#REF!</f>
        <v>#REF!</v>
      </c>
      <c r="G45" s="236" t="e">
        <f>#REF!</f>
        <v>#REF!</v>
      </c>
      <c r="H45" s="236" t="e">
        <f>#REF!</f>
        <v>#REF!</v>
      </c>
      <c r="I45" s="236" t="e">
        <f>#REF!</f>
        <v>#REF!</v>
      </c>
    </row>
    <row r="46" spans="2:9" ht="6" customHeight="1" thickBot="1">
      <c r="B46" s="83"/>
      <c r="C46" s="84"/>
      <c r="D46" s="237"/>
      <c r="E46" s="238"/>
      <c r="F46" s="238"/>
      <c r="G46" s="238"/>
      <c r="H46" s="238"/>
      <c r="I46" s="238"/>
    </row>
    <row r="47" spans="2:9" ht="6" customHeight="1" thickBot="1">
      <c r="E47" s="239"/>
      <c r="F47" s="239"/>
      <c r="G47" s="239"/>
      <c r="H47" s="239"/>
      <c r="I47" s="239"/>
    </row>
    <row r="48" spans="2:9" ht="11.25">
      <c r="B48" s="112"/>
      <c r="C48" s="113"/>
      <c r="D48" s="231" t="str">
        <f>DataNameProd4&amp;" Market Share Adjustments"</f>
        <v>Industry 3 Market Share Adjustments</v>
      </c>
      <c r="E48" s="113"/>
      <c r="F48" s="113"/>
      <c r="G48" s="113"/>
      <c r="H48" s="113"/>
      <c r="I48" s="113"/>
    </row>
    <row r="49" spans="2:9" ht="11.25">
      <c r="B49" s="81"/>
      <c r="C49" s="18"/>
      <c r="D49" s="232" t="s">
        <v>2005</v>
      </c>
      <c r="E49" s="233"/>
      <c r="F49" s="233"/>
      <c r="G49" s="233"/>
      <c r="H49" s="233"/>
      <c r="I49" s="233"/>
    </row>
    <row r="50" spans="2:9" ht="11.25">
      <c r="B50" s="81"/>
      <c r="C50" s="18"/>
      <c r="D50" s="232" t="s">
        <v>2006</v>
      </c>
      <c r="E50" s="233"/>
      <c r="F50" s="233"/>
      <c r="G50" s="233"/>
      <c r="H50" s="233"/>
      <c r="I50" s="233"/>
    </row>
    <row r="51" spans="2:9" ht="11.25">
      <c r="B51" s="81"/>
      <c r="C51" s="18"/>
      <c r="D51" s="232" t="s">
        <v>2007</v>
      </c>
      <c r="E51" s="233"/>
      <c r="F51" s="233"/>
      <c r="G51" s="233"/>
      <c r="H51" s="233"/>
      <c r="I51" s="233"/>
    </row>
    <row r="52" spans="2:9" ht="11.25">
      <c r="B52" s="81"/>
      <c r="C52" s="18"/>
      <c r="D52" s="232"/>
      <c r="E52" s="233"/>
      <c r="F52" s="233"/>
      <c r="G52" s="233"/>
      <c r="H52" s="233"/>
      <c r="I52" s="233"/>
    </row>
    <row r="53" spans="2:9" ht="11.25">
      <c r="B53" s="81"/>
      <c r="C53" s="18"/>
      <c r="D53" s="232"/>
      <c r="E53" s="233"/>
      <c r="F53" s="233"/>
      <c r="G53" s="233"/>
      <c r="H53" s="233"/>
      <c r="I53" s="233"/>
    </row>
    <row r="54" spans="2:9" ht="11.25">
      <c r="B54" s="81"/>
      <c r="C54" s="18"/>
      <c r="D54" s="232"/>
      <c r="E54" s="234"/>
      <c r="F54" s="234"/>
      <c r="G54" s="234"/>
      <c r="H54" s="234"/>
      <c r="I54" s="234"/>
    </row>
    <row r="55" spans="2:9" ht="11.25">
      <c r="B55" s="81"/>
      <c r="C55" s="18"/>
      <c r="D55" s="235" t="str">
        <f>DataNameProd4&amp;" Ending Share Post-Stockout"</f>
        <v>Industry 3 Ending Share Post-Stockout</v>
      </c>
      <c r="E55" s="234"/>
      <c r="F55" s="234"/>
      <c r="G55" s="234"/>
      <c r="H55" s="234"/>
      <c r="I55" s="234"/>
    </row>
    <row r="56" spans="2:9" ht="11.25">
      <c r="B56" s="81"/>
      <c r="C56" s="18"/>
      <c r="D56" s="232" t="s">
        <v>2005</v>
      </c>
      <c r="E56" s="236" t="e">
        <f>#REF!</f>
        <v>#REF!</v>
      </c>
      <c r="F56" s="236" t="e">
        <f>#REF!</f>
        <v>#REF!</v>
      </c>
      <c r="G56" s="236" t="e">
        <f>#REF!</f>
        <v>#REF!</v>
      </c>
      <c r="H56" s="236" t="e">
        <f>#REF!</f>
        <v>#REF!</v>
      </c>
      <c r="I56" s="236" t="e">
        <f>#REF!</f>
        <v>#REF!</v>
      </c>
    </row>
    <row r="57" spans="2:9" ht="11.25">
      <c r="B57" s="81"/>
      <c r="C57" s="18"/>
      <c r="D57" s="232" t="s">
        <v>2006</v>
      </c>
      <c r="E57" s="236" t="e">
        <f>#REF!</f>
        <v>#REF!</v>
      </c>
      <c r="F57" s="236" t="e">
        <f>#REF!</f>
        <v>#REF!</v>
      </c>
      <c r="G57" s="236" t="e">
        <f>#REF!</f>
        <v>#REF!</v>
      </c>
      <c r="H57" s="236" t="e">
        <f>#REF!</f>
        <v>#REF!</v>
      </c>
      <c r="I57" s="236" t="e">
        <f>#REF!</f>
        <v>#REF!</v>
      </c>
    </row>
    <row r="58" spans="2:9" ht="11.25">
      <c r="B58" s="81"/>
      <c r="C58" s="18"/>
      <c r="D58" s="232" t="s">
        <v>2007</v>
      </c>
      <c r="E58" s="236" t="e">
        <f>#REF!</f>
        <v>#REF!</v>
      </c>
      <c r="F58" s="236" t="e">
        <f>#REF!</f>
        <v>#REF!</v>
      </c>
      <c r="G58" s="236" t="e">
        <f>#REF!</f>
        <v>#REF!</v>
      </c>
      <c r="H58" s="236" t="e">
        <f>#REF!</f>
        <v>#REF!</v>
      </c>
      <c r="I58" s="236" t="e">
        <f>#REF!</f>
        <v>#REF!</v>
      </c>
    </row>
    <row r="59" spans="2:9" ht="6" customHeight="1" thickBot="1">
      <c r="B59" s="83"/>
      <c r="C59" s="84"/>
      <c r="D59" s="237"/>
      <c r="E59" s="238"/>
      <c r="F59" s="238"/>
      <c r="G59" s="238"/>
      <c r="H59" s="238"/>
      <c r="I59" s="238"/>
    </row>
    <row r="60" spans="2:9" ht="6" customHeight="1" thickBot="1">
      <c r="E60" s="239"/>
      <c r="F60" s="239"/>
      <c r="G60" s="239"/>
      <c r="H60" s="239"/>
      <c r="I60" s="239"/>
    </row>
    <row r="61" spans="2:9" ht="11.25">
      <c r="B61" s="112"/>
      <c r="C61" s="113"/>
      <c r="D61" s="231" t="str">
        <f>DataNameProd5&amp;" Market Share Adjustments"</f>
        <v>Employees Market Share Adjustments</v>
      </c>
      <c r="E61" s="113"/>
      <c r="F61" s="113"/>
      <c r="G61" s="113"/>
      <c r="H61" s="113"/>
      <c r="I61" s="113"/>
    </row>
    <row r="62" spans="2:9" ht="11.25">
      <c r="B62" s="81"/>
      <c r="C62" s="18"/>
      <c r="D62" s="232" t="s">
        <v>597</v>
      </c>
      <c r="E62" s="233"/>
      <c r="F62" s="233"/>
      <c r="G62" s="233"/>
      <c r="H62" s="233"/>
      <c r="I62" s="233"/>
    </row>
    <row r="63" spans="2:9" ht="11.25">
      <c r="B63" s="81"/>
      <c r="C63" s="18"/>
      <c r="D63" s="232" t="str">
        <f>DataNameProd5Seg2</f>
        <v>Director / EM</v>
      </c>
      <c r="E63" s="233"/>
      <c r="F63" s="233"/>
      <c r="G63" s="233"/>
      <c r="H63" s="233"/>
      <c r="I63" s="233"/>
    </row>
    <row r="64" spans="2:9" ht="11.25">
      <c r="B64" s="81"/>
      <c r="C64" s="18"/>
      <c r="D64" s="232" t="str">
        <f>DataNameProd5Seg3</f>
        <v>PM / Analyst</v>
      </c>
      <c r="E64" s="233"/>
      <c r="F64" s="233"/>
      <c r="G64" s="233"/>
      <c r="H64" s="233"/>
      <c r="I64" s="233"/>
    </row>
    <row r="65" spans="2:9" ht="11.25">
      <c r="B65" s="81"/>
      <c r="C65" s="18"/>
      <c r="D65" s="232" t="str">
        <f>DataNameProd5Seg4</f>
        <v>Director / EM</v>
      </c>
      <c r="E65" s="233"/>
      <c r="F65" s="233"/>
      <c r="G65" s="233"/>
      <c r="H65" s="233"/>
      <c r="I65" s="233"/>
    </row>
    <row r="66" spans="2:9" ht="11.25">
      <c r="B66" s="81"/>
      <c r="C66" s="18"/>
      <c r="D66" s="232" t="str">
        <f>DataNameProd5Seg5</f>
        <v>Sales</v>
      </c>
      <c r="E66" s="233"/>
      <c r="F66" s="233"/>
      <c r="G66" s="233"/>
      <c r="H66" s="233"/>
      <c r="I66" s="233"/>
    </row>
    <row r="67" spans="2:9" ht="11.25">
      <c r="B67" s="81"/>
      <c r="C67" s="18"/>
      <c r="D67" s="232"/>
      <c r="E67" s="234"/>
      <c r="F67" s="234"/>
      <c r="G67" s="234"/>
      <c r="H67" s="234"/>
      <c r="I67" s="234"/>
    </row>
    <row r="68" spans="2:9" ht="11.25">
      <c r="B68" s="81"/>
      <c r="C68" s="18"/>
      <c r="D68" s="235" t="str">
        <f>DataNameProd5&amp;" Ending Share Post-Stockout"</f>
        <v>Employees Ending Share Post-Stockout</v>
      </c>
      <c r="E68" s="234"/>
      <c r="F68" s="234"/>
      <c r="G68" s="234"/>
      <c r="H68" s="234"/>
      <c r="I68" s="234"/>
    </row>
    <row r="69" spans="2:9" ht="11.25">
      <c r="B69" s="81"/>
      <c r="C69" s="18"/>
      <c r="D69" s="232" t="s">
        <v>2022</v>
      </c>
      <c r="E69" s="236" t="e">
        <f>#REF!</f>
        <v>#REF!</v>
      </c>
      <c r="F69" s="236" t="e">
        <f>#REF!</f>
        <v>#REF!</v>
      </c>
      <c r="G69" s="236" t="e">
        <f>#REF!</f>
        <v>#REF!</v>
      </c>
      <c r="H69" s="236" t="e">
        <f>#REF!</f>
        <v>#REF!</v>
      </c>
      <c r="I69" s="236" t="e">
        <f>#REF!</f>
        <v>#REF!</v>
      </c>
    </row>
    <row r="70" spans="2:9" ht="11.25">
      <c r="B70" s="81"/>
      <c r="C70" s="18"/>
      <c r="D70" s="232" t="s">
        <v>2542</v>
      </c>
      <c r="E70" s="236" t="e">
        <f>#REF!</f>
        <v>#REF!</v>
      </c>
      <c r="F70" s="236" t="e">
        <f>#REF!</f>
        <v>#REF!</v>
      </c>
      <c r="G70" s="236" t="e">
        <f>#REF!</f>
        <v>#REF!</v>
      </c>
      <c r="H70" s="236" t="e">
        <f>#REF!</f>
        <v>#REF!</v>
      </c>
      <c r="I70" s="236" t="e">
        <f>#REF!</f>
        <v>#REF!</v>
      </c>
    </row>
    <row r="71" spans="2:9" ht="11.25">
      <c r="B71" s="81"/>
      <c r="C71" s="18"/>
      <c r="D71" s="232" t="str">
        <f>DataNameProd5Seg3</f>
        <v>PM / Analyst</v>
      </c>
      <c r="E71" s="236" t="e">
        <f>#REF!</f>
        <v>#REF!</v>
      </c>
      <c r="F71" s="236" t="e">
        <f>#REF!</f>
        <v>#REF!</v>
      </c>
      <c r="G71" s="236" t="e">
        <f>#REF!</f>
        <v>#REF!</v>
      </c>
      <c r="H71" s="236" t="e">
        <f>#REF!</f>
        <v>#REF!</v>
      </c>
      <c r="I71" s="236" t="e">
        <f>#REF!</f>
        <v>#REF!</v>
      </c>
    </row>
    <row r="72" spans="2:9" ht="11.25">
      <c r="B72" s="81"/>
      <c r="C72" s="18"/>
      <c r="D72" s="232" t="str">
        <f>DataNameProd5Seg4</f>
        <v>Director / EM</v>
      </c>
      <c r="E72" s="236" t="e">
        <f>#REF!</f>
        <v>#REF!</v>
      </c>
      <c r="F72" s="236" t="e">
        <f>#REF!</f>
        <v>#REF!</v>
      </c>
      <c r="G72" s="236" t="e">
        <f>#REF!</f>
        <v>#REF!</v>
      </c>
      <c r="H72" s="236" t="e">
        <f>#REF!</f>
        <v>#REF!</v>
      </c>
      <c r="I72" s="236" t="e">
        <f>#REF!</f>
        <v>#REF!</v>
      </c>
    </row>
    <row r="73" spans="2:9" ht="11.25">
      <c r="B73" s="81"/>
      <c r="C73" s="18"/>
      <c r="D73" s="232" t="str">
        <f>DataNameProd5Seg5</f>
        <v>Sales</v>
      </c>
      <c r="E73" s="236" t="e">
        <f>#REF!</f>
        <v>#REF!</v>
      </c>
      <c r="F73" s="236" t="e">
        <f>#REF!</f>
        <v>#REF!</v>
      </c>
      <c r="G73" s="236" t="e">
        <f>#REF!</f>
        <v>#REF!</v>
      </c>
      <c r="H73" s="236" t="e">
        <f>#REF!</f>
        <v>#REF!</v>
      </c>
      <c r="I73" s="236" t="e">
        <f>#REF!</f>
        <v>#REF!</v>
      </c>
    </row>
    <row r="74" spans="2:9" ht="6" customHeight="1" thickBot="1">
      <c r="B74" s="83"/>
      <c r="C74" s="84"/>
      <c r="D74" s="237"/>
      <c r="E74" s="238"/>
      <c r="F74" s="238"/>
      <c r="G74" s="238"/>
      <c r="H74" s="238"/>
      <c r="I74" s="238"/>
    </row>
    <row r="75" spans="2:9" ht="12" thickBot="1">
      <c r="E75" s="239"/>
      <c r="F75" s="239"/>
      <c r="G75" s="239"/>
      <c r="H75" s="239"/>
      <c r="I75" s="239"/>
    </row>
    <row r="76" spans="2:9" ht="11.25">
      <c r="B76" s="112"/>
      <c r="C76" s="113"/>
      <c r="D76" s="231" t="s">
        <v>3706</v>
      </c>
      <c r="E76" s="588"/>
      <c r="F76" s="588"/>
      <c r="G76" s="588"/>
      <c r="H76" s="588"/>
      <c r="I76" s="588"/>
    </row>
    <row r="77" spans="2:9" ht="11.25">
      <c r="B77" s="81"/>
      <c r="C77" s="18"/>
      <c r="D77" s="232" t="s">
        <v>4641</v>
      </c>
      <c r="E77" s="233"/>
      <c r="F77" s="233"/>
      <c r="G77" s="233"/>
      <c r="H77" s="233"/>
      <c r="I77" s="233"/>
    </row>
    <row r="78" spans="2:9" ht="11.25">
      <c r="B78" s="81"/>
      <c r="C78" s="18"/>
      <c r="D78" s="232" t="s">
        <v>364</v>
      </c>
      <c r="E78" s="233"/>
      <c r="F78" s="233"/>
      <c r="G78" s="233"/>
      <c r="H78" s="233"/>
      <c r="I78" s="233"/>
    </row>
    <row r="79" spans="2:9" ht="11.25">
      <c r="B79" s="81"/>
      <c r="C79" s="18"/>
      <c r="D79" s="232" t="s">
        <v>3626</v>
      </c>
      <c r="E79" s="233"/>
      <c r="F79" s="233"/>
      <c r="G79" s="233"/>
      <c r="H79" s="233"/>
      <c r="I79" s="233"/>
    </row>
    <row r="80" spans="2:9" ht="11.25">
      <c r="B80" s="81"/>
      <c r="C80" s="18"/>
      <c r="E80" s="234"/>
      <c r="F80" s="234"/>
      <c r="G80" s="234"/>
      <c r="H80" s="234"/>
      <c r="I80" s="234"/>
    </row>
    <row r="81" spans="2:9" ht="11.25">
      <c r="B81" s="81"/>
      <c r="C81" s="18"/>
      <c r="D81" s="232" t="s">
        <v>1048</v>
      </c>
      <c r="E81" s="589">
        <f ca="1">capESATEnd</f>
        <v>0.6174379006842422</v>
      </c>
      <c r="F81" s="589">
        <f ca="1">capESATEnd</f>
        <v>0.6174379006842422</v>
      </c>
      <c r="G81" s="589">
        <f ca="1">capESATEnd</f>
        <v>0.6174379006842422</v>
      </c>
      <c r="H81" s="589">
        <f ca="1">capESATEnd</f>
        <v>0.6174379006842422</v>
      </c>
      <c r="I81" s="589">
        <f ca="1">capESATEnd</f>
        <v>0.6174379006842422</v>
      </c>
    </row>
    <row r="82" spans="2:9" ht="11.25">
      <c r="B82" s="81"/>
      <c r="C82" s="18"/>
      <c r="D82" s="232" t="s">
        <v>364</v>
      </c>
      <c r="E82" s="589">
        <f ca="1">capCSATEnd</f>
        <v>0.67005549739544945</v>
      </c>
      <c r="F82" s="589">
        <f ca="1">capCSATEnd</f>
        <v>0.67005549739544945</v>
      </c>
      <c r="G82" s="589">
        <f ca="1">capCSATEnd</f>
        <v>0.67005549739544945</v>
      </c>
      <c r="H82" s="589">
        <f ca="1">capCSATEnd</f>
        <v>0.67005549739544945</v>
      </c>
      <c r="I82" s="589">
        <f ca="1">capCSATEnd</f>
        <v>0.67005549739544945</v>
      </c>
    </row>
    <row r="83" spans="2:9" ht="11.25">
      <c r="B83" s="81"/>
      <c r="C83" s="18"/>
      <c r="D83" s="232" t="s">
        <v>3626</v>
      </c>
      <c r="E83" s="589">
        <f>capTotalAttrition</f>
        <v>0.40380549682875266</v>
      </c>
      <c r="F83" s="589">
        <f>capTotalAttrition</f>
        <v>0.40380549682875266</v>
      </c>
      <c r="G83" s="589">
        <f>capTotalAttrition</f>
        <v>0.40380549682875266</v>
      </c>
      <c r="H83" s="589">
        <f>capTotalAttrition</f>
        <v>0.40380549682875266</v>
      </c>
      <c r="I83" s="589">
        <f>capTotalAttrition</f>
        <v>0.40380549682875266</v>
      </c>
    </row>
    <row r="84" spans="2:9" ht="11.25">
      <c r="B84" s="81"/>
      <c r="C84" s="18"/>
      <c r="D84" s="232"/>
      <c r="E84" s="594"/>
      <c r="F84" s="594"/>
      <c r="G84" s="594"/>
      <c r="H84" s="594"/>
      <c r="I84" s="594"/>
    </row>
    <row r="85" spans="2:9" ht="11.25">
      <c r="B85" s="81"/>
      <c r="C85" s="18"/>
      <c r="D85" s="235" t="s">
        <v>772</v>
      </c>
      <c r="E85" s="594"/>
      <c r="F85" s="594"/>
      <c r="G85" s="594"/>
      <c r="H85" s="594"/>
      <c r="I85" s="594"/>
    </row>
    <row r="86" spans="2:9" ht="11.25">
      <c r="B86" s="81"/>
      <c r="C86" s="18"/>
      <c r="D86" s="232" t="s">
        <v>2022</v>
      </c>
      <c r="E86" s="595">
        <f>obalEmp1Salary</f>
        <v>40000</v>
      </c>
      <c r="F86" s="595">
        <f>obalEmp1Salary</f>
        <v>40000</v>
      </c>
      <c r="G86" s="595">
        <f>obalEmp1Salary</f>
        <v>40000</v>
      </c>
      <c r="H86" s="595">
        <f>obalEmp1Salary</f>
        <v>40000</v>
      </c>
      <c r="I86" s="595">
        <f>obalEmp1Salary</f>
        <v>40000</v>
      </c>
    </row>
    <row r="87" spans="2:9" ht="11.25">
      <c r="B87" s="81"/>
      <c r="C87" s="18"/>
      <c r="D87" s="232" t="s">
        <v>2542</v>
      </c>
      <c r="E87" s="595">
        <f>obalEmp2Salary</f>
        <v>100000</v>
      </c>
      <c r="F87" s="595">
        <f>obalEmp2Salary</f>
        <v>100000</v>
      </c>
      <c r="G87" s="595">
        <f>obalEmp2Salary</f>
        <v>100000</v>
      </c>
      <c r="H87" s="595">
        <f>obalEmp2Salary</f>
        <v>100000</v>
      </c>
      <c r="I87" s="595">
        <f>obalEmp2Salary</f>
        <v>100000</v>
      </c>
    </row>
    <row r="88" spans="2:9" ht="11.25">
      <c r="B88" s="81"/>
      <c r="C88" s="18"/>
      <c r="D88" s="232" t="str">
        <f>DataNameProd5Seg3</f>
        <v>PM / Analyst</v>
      </c>
      <c r="E88" s="595">
        <f>obalEmp3Salary</f>
        <v>150000</v>
      </c>
      <c r="F88" s="595">
        <f>obalEmp3Salary</f>
        <v>150000</v>
      </c>
      <c r="G88" s="595">
        <f>obalEmp3Salary</f>
        <v>150000</v>
      </c>
      <c r="H88" s="595">
        <f>obalEmp3Salary</f>
        <v>150000</v>
      </c>
      <c r="I88" s="595">
        <f>obalEmp3Salary</f>
        <v>150000</v>
      </c>
    </row>
    <row r="89" spans="2:9" ht="11.25">
      <c r="B89" s="81"/>
      <c r="C89" s="18"/>
      <c r="D89" s="232" t="str">
        <f>DataNameProd5Seg4</f>
        <v>Director / EM</v>
      </c>
      <c r="E89" s="595">
        <f>obalEmp4Salary</f>
        <v>300000</v>
      </c>
      <c r="F89" s="595">
        <f>obalEmp4Salary</f>
        <v>300000</v>
      </c>
      <c r="G89" s="595">
        <f>obalEmp4Salary</f>
        <v>300000</v>
      </c>
      <c r="H89" s="595">
        <f>obalEmp4Salary</f>
        <v>300000</v>
      </c>
      <c r="I89" s="595">
        <f>obalEmp4Salary</f>
        <v>300000</v>
      </c>
    </row>
    <row r="90" spans="2:9" ht="11.25">
      <c r="B90" s="81"/>
      <c r="C90" s="18"/>
      <c r="D90" s="235" t="s">
        <v>773</v>
      </c>
      <c r="E90" s="594"/>
      <c r="F90" s="594"/>
      <c r="G90" s="594"/>
      <c r="H90" s="594"/>
      <c r="I90" s="594"/>
    </row>
    <row r="91" spans="2:9" ht="11.25">
      <c r="B91" s="81"/>
      <c r="C91" s="18"/>
      <c r="D91" s="232" t="s">
        <v>2022</v>
      </c>
      <c r="E91" s="595">
        <f>capEmp1Salary</f>
        <v>0</v>
      </c>
      <c r="F91" s="595">
        <f>capEmp1Salary</f>
        <v>0</v>
      </c>
      <c r="G91" s="595">
        <f>capEmp1Salary</f>
        <v>0</v>
      </c>
      <c r="H91" s="595">
        <f>capEmp1Salary</f>
        <v>0</v>
      </c>
      <c r="I91" s="595">
        <f>capEmp1Salary</f>
        <v>0</v>
      </c>
    </row>
    <row r="92" spans="2:9" ht="11.25">
      <c r="B92" s="81"/>
      <c r="C92" s="18"/>
      <c r="D92" s="232" t="s">
        <v>2542</v>
      </c>
      <c r="E92" s="595">
        <f>capEmp2Salary</f>
        <v>103000</v>
      </c>
      <c r="F92" s="595">
        <f>capEmp2Salary</f>
        <v>103000</v>
      </c>
      <c r="G92" s="595">
        <f>capEmp2Salary</f>
        <v>103000</v>
      </c>
      <c r="H92" s="595">
        <f>capEmp2Salary</f>
        <v>103000</v>
      </c>
      <c r="I92" s="595">
        <f>capEmp2Salary</f>
        <v>103000</v>
      </c>
    </row>
    <row r="93" spans="2:9" ht="11.25">
      <c r="B93" s="81"/>
      <c r="C93" s="18"/>
      <c r="D93" s="232" t="str">
        <f>DataNameProd5Seg3</f>
        <v>PM / Analyst</v>
      </c>
      <c r="E93" s="595">
        <f>capEmp3Salary</f>
        <v>154500</v>
      </c>
      <c r="F93" s="595">
        <f>capEmp3Salary</f>
        <v>154500</v>
      </c>
      <c r="G93" s="595">
        <f>capEmp3Salary</f>
        <v>154500</v>
      </c>
      <c r="H93" s="595">
        <f>capEmp3Salary</f>
        <v>154500</v>
      </c>
      <c r="I93" s="595">
        <f>capEmp3Salary</f>
        <v>154500</v>
      </c>
    </row>
    <row r="94" spans="2:9" ht="11.25">
      <c r="B94" s="81"/>
      <c r="C94" s="18"/>
      <c r="D94" s="232" t="str">
        <f>DataNameProd5Seg4</f>
        <v>Director / EM</v>
      </c>
      <c r="E94" s="595">
        <f>capEmp4Salary</f>
        <v>309000</v>
      </c>
      <c r="F94" s="595">
        <f>capEmp4Salary</f>
        <v>309000</v>
      </c>
      <c r="G94" s="595">
        <f>capEmp4Salary</f>
        <v>309000</v>
      </c>
      <c r="H94" s="595">
        <f>capEmp4Salary</f>
        <v>309000</v>
      </c>
      <c r="I94" s="595">
        <f>capEmp4Salary</f>
        <v>309000</v>
      </c>
    </row>
    <row r="95" spans="2:9" ht="11.25">
      <c r="B95" s="81"/>
      <c r="C95" s="18"/>
      <c r="D95" s="235" t="s">
        <v>2539</v>
      </c>
      <c r="E95" s="594"/>
      <c r="F95" s="594"/>
      <c r="G95" s="594"/>
      <c r="H95" s="594"/>
      <c r="I95" s="594"/>
    </row>
    <row r="96" spans="2:9" ht="11.25">
      <c r="B96" s="81"/>
      <c r="C96" s="18"/>
      <c r="D96" s="232" t="s">
        <v>2022</v>
      </c>
      <c r="E96" s="596">
        <f>decEmp1Training</f>
        <v>120</v>
      </c>
      <c r="F96" s="596">
        <f>decEmp1Training</f>
        <v>120</v>
      </c>
      <c r="G96" s="596">
        <f>decEmp1Training</f>
        <v>120</v>
      </c>
      <c r="H96" s="596">
        <f>decEmp1Training</f>
        <v>120</v>
      </c>
      <c r="I96" s="596">
        <f>decEmp1Training</f>
        <v>120</v>
      </c>
    </row>
    <row r="97" spans="2:9" ht="11.25">
      <c r="B97" s="81"/>
      <c r="C97" s="18"/>
      <c r="D97" s="232" t="s">
        <v>2542</v>
      </c>
      <c r="E97" s="596">
        <f>decEmp2Training</f>
        <v>120</v>
      </c>
      <c r="F97" s="596">
        <f>decEmp2Training</f>
        <v>120</v>
      </c>
      <c r="G97" s="596">
        <f>decEmp2Training</f>
        <v>120</v>
      </c>
      <c r="H97" s="596">
        <f>decEmp2Training</f>
        <v>120</v>
      </c>
      <c r="I97" s="596">
        <f>decEmp2Training</f>
        <v>120</v>
      </c>
    </row>
    <row r="98" spans="2:9" ht="11.25">
      <c r="B98" s="81"/>
      <c r="C98" s="18"/>
      <c r="D98" s="232" t="str">
        <f>DataNameProd5Seg3</f>
        <v>PM / Analyst</v>
      </c>
      <c r="E98" s="596">
        <f>decEmp3Training</f>
        <v>120</v>
      </c>
      <c r="F98" s="596">
        <f>decEmp3Training</f>
        <v>120</v>
      </c>
      <c r="G98" s="596">
        <f>decEmp3Training</f>
        <v>120</v>
      </c>
      <c r="H98" s="596">
        <f>decEmp3Training</f>
        <v>120</v>
      </c>
      <c r="I98" s="596">
        <f>decEmp3Training</f>
        <v>120</v>
      </c>
    </row>
    <row r="99" spans="2:9" ht="11.25">
      <c r="B99" s="81"/>
      <c r="C99" s="18"/>
      <c r="D99" s="232" t="str">
        <f>DataNameProd5Seg4</f>
        <v>Director / EM</v>
      </c>
      <c r="E99" s="596">
        <f>decEmp4Training</f>
        <v>80</v>
      </c>
      <c r="F99" s="596">
        <f>decEmp4Training</f>
        <v>80</v>
      </c>
      <c r="G99" s="596">
        <f>decEmp4Training</f>
        <v>80</v>
      </c>
      <c r="H99" s="596">
        <f>decEmp4Training</f>
        <v>80</v>
      </c>
      <c r="I99" s="596">
        <f>decEmp4Training</f>
        <v>80</v>
      </c>
    </row>
    <row r="100" spans="2:9" ht="11.25">
      <c r="B100" s="81"/>
      <c r="C100" s="18"/>
      <c r="D100" s="235" t="s">
        <v>51</v>
      </c>
      <c r="E100" s="594"/>
      <c r="F100" s="594"/>
      <c r="G100" s="594"/>
      <c r="H100" s="594"/>
      <c r="I100" s="594"/>
    </row>
    <row r="101" spans="2:9" ht="11.25">
      <c r="B101" s="81"/>
      <c r="C101" s="18"/>
      <c r="D101" s="232" t="s">
        <v>2022</v>
      </c>
      <c r="E101" s="597">
        <f>AVERAGE(capBusAEmp1Utiliz+0,capBusBEmp1Utiliz+0)</f>
        <v>0.32612513422589673</v>
      </c>
      <c r="F101" s="597">
        <f>AVERAGE(capBusAEmp1Utiliz+0,capBusBEmp1Utiliz+0)</f>
        <v>0.32612513422589673</v>
      </c>
      <c r="G101" s="597">
        <f>AVERAGE(capBusAEmp1Utiliz+0,capBusBEmp1Utiliz+0)</f>
        <v>0.32612513422589673</v>
      </c>
      <c r="H101" s="597">
        <f>AVERAGE(capBusAEmp1Utiliz+0,capBusBEmp1Utiliz+0)</f>
        <v>0.32612513422589673</v>
      </c>
      <c r="I101" s="597">
        <f>AVERAGE(capBusAEmp1Utiliz+0,capBusBEmp1Utiliz+0)</f>
        <v>0.32612513422589673</v>
      </c>
    </row>
    <row r="102" spans="2:9" ht="11.25">
      <c r="B102" s="81"/>
      <c r="C102" s="18"/>
      <c r="D102" s="232" t="s">
        <v>2542</v>
      </c>
      <c r="E102" s="597">
        <f>AVERAGE(capBusAEmp2Utiliz+0,capBusBEmp2Utiliz+0)</f>
        <v>0.42767884322678845</v>
      </c>
      <c r="F102" s="597">
        <f>AVERAGE(capBusAEmp2Utiliz+0,capBusBEmp2Utiliz+0)</f>
        <v>0.42767884322678845</v>
      </c>
      <c r="G102" s="597">
        <f>AVERAGE(capBusAEmp2Utiliz+0,capBusBEmp2Utiliz+0)</f>
        <v>0.42767884322678845</v>
      </c>
      <c r="H102" s="597">
        <f>AVERAGE(capBusAEmp2Utiliz+0,capBusBEmp2Utiliz+0)</f>
        <v>0.42767884322678845</v>
      </c>
      <c r="I102" s="597">
        <f>AVERAGE(capBusAEmp2Utiliz+0,capBusBEmp2Utiliz+0)</f>
        <v>0.42767884322678845</v>
      </c>
    </row>
    <row r="103" spans="2:9" ht="11.25">
      <c r="B103" s="81"/>
      <c r="C103" s="18"/>
      <c r="D103" s="232" t="str">
        <f>DataNameProd5Seg3</f>
        <v>PM / Analyst</v>
      </c>
      <c r="E103" s="597">
        <f>AVERAGE(capBusAEmp3Utiliz+0,capBusBEmp3Utiliz+0)</f>
        <v>0.38822950819672131</v>
      </c>
      <c r="F103" s="597">
        <f>AVERAGE(capBusAEmp3Utiliz+0,capBusBEmp3Utiliz+0)</f>
        <v>0.38822950819672131</v>
      </c>
      <c r="G103" s="597">
        <f>AVERAGE(capBusAEmp3Utiliz+0,capBusBEmp3Utiliz+0)</f>
        <v>0.38822950819672131</v>
      </c>
      <c r="H103" s="597">
        <f>AVERAGE(capBusAEmp3Utiliz+0,capBusBEmp3Utiliz+0)</f>
        <v>0.38822950819672131</v>
      </c>
      <c r="I103" s="597">
        <f>AVERAGE(capBusAEmp3Utiliz+0,capBusBEmp3Utiliz+0)</f>
        <v>0.38822950819672131</v>
      </c>
    </row>
    <row r="104" spans="2:9" ht="11.25">
      <c r="B104" s="81"/>
      <c r="C104" s="18"/>
      <c r="D104" s="232" t="str">
        <f>DataNameProd5Seg4</f>
        <v>Director / EM</v>
      </c>
      <c r="E104" s="597">
        <f>AVERAGE(capBusAEmp4Utiliz+0,capBusBEmp4Utiliz+0)</f>
        <v>0.33902097902097905</v>
      </c>
      <c r="F104" s="597">
        <f>AVERAGE(capBusAEmp4Utiliz+0,capBusBEmp4Utiliz+0)</f>
        <v>0.33902097902097905</v>
      </c>
      <c r="G104" s="597">
        <f>AVERAGE(capBusAEmp4Utiliz+0,capBusBEmp4Utiliz+0)</f>
        <v>0.33902097902097905</v>
      </c>
      <c r="H104" s="597">
        <f>AVERAGE(capBusAEmp4Utiliz+0,capBusBEmp4Utiliz+0)</f>
        <v>0.33902097902097905</v>
      </c>
      <c r="I104" s="597">
        <f>AVERAGE(capBusAEmp4Utiliz+0,capBusBEmp4Utiliz+0)</f>
        <v>0.33902097902097905</v>
      </c>
    </row>
    <row r="105" spans="2:9" ht="11.25">
      <c r="B105" s="81"/>
      <c r="C105" s="18"/>
      <c r="D105" s="232"/>
      <c r="E105" s="594"/>
      <c r="F105" s="594"/>
      <c r="G105" s="594"/>
      <c r="H105" s="594"/>
      <c r="I105" s="594"/>
    </row>
    <row r="106" spans="2:9" ht="11.25">
      <c r="B106" s="81"/>
      <c r="C106" s="18"/>
      <c r="D106" s="235" t="s">
        <v>2540</v>
      </c>
      <c r="E106" s="595">
        <f>finPNLTotalRev</f>
        <v>200512505.05278993</v>
      </c>
      <c r="F106" s="595">
        <f>finPNLTotalRev</f>
        <v>200512505.05278993</v>
      </c>
      <c r="G106" s="595">
        <f>finPNLTotalRev</f>
        <v>200512505.05278993</v>
      </c>
      <c r="H106" s="595">
        <f>finPNLTotalRev</f>
        <v>200512505.05278993</v>
      </c>
      <c r="I106" s="595">
        <f>finPNLTotalRev</f>
        <v>200512505.05278993</v>
      </c>
    </row>
    <row r="107" spans="2:9" ht="11.25">
      <c r="B107" s="81"/>
      <c r="C107" s="18"/>
      <c r="D107" s="235" t="s">
        <v>2541</v>
      </c>
      <c r="E107" s="597">
        <f>finPNLTotalOpIncome/finPNLTotalRev</f>
        <v>-0.17954755335102615</v>
      </c>
      <c r="F107" s="597">
        <f>finPNLTotalOpIncome/finPNLTotalRev</f>
        <v>-0.17954755335102615</v>
      </c>
      <c r="G107" s="597">
        <f>finPNLTotalOpIncome/finPNLTotalRev</f>
        <v>-0.17954755335102615</v>
      </c>
      <c r="H107" s="597">
        <f>finPNLTotalOpIncome/finPNLTotalRev</f>
        <v>-0.17954755335102615</v>
      </c>
      <c r="I107" s="597">
        <f>finPNLTotalOpIncome/finPNLTotalRev</f>
        <v>-0.17954755335102615</v>
      </c>
    </row>
    <row r="108" spans="2:9" ht="8.25" customHeight="1" thickBot="1">
      <c r="B108" s="83"/>
      <c r="C108" s="84"/>
      <c r="D108" s="237"/>
      <c r="E108" s="238"/>
      <c r="F108" s="238"/>
      <c r="G108" s="238"/>
      <c r="H108" s="238"/>
      <c r="I108" s="238"/>
    </row>
    <row r="109" spans="2:9" ht="12" thickBot="1">
      <c r="E109" s="239"/>
      <c r="F109" s="239"/>
      <c r="G109" s="239"/>
      <c r="H109" s="239"/>
      <c r="I109" s="239"/>
    </row>
    <row r="110" spans="2:9" ht="11.25">
      <c r="B110" s="570"/>
      <c r="C110" s="571"/>
      <c r="D110" s="572" t="s">
        <v>691</v>
      </c>
      <c r="E110" s="573"/>
      <c r="F110" s="573"/>
      <c r="G110" s="573"/>
      <c r="H110" s="573"/>
      <c r="I110" s="573"/>
    </row>
    <row r="111" spans="2:9" ht="11.25">
      <c r="B111" s="574"/>
      <c r="C111" s="18"/>
      <c r="D111" s="232" t="s">
        <v>3614</v>
      </c>
      <c r="E111" s="575"/>
      <c r="F111" s="575"/>
      <c r="G111" s="575"/>
      <c r="H111" s="575"/>
      <c r="I111" s="575"/>
    </row>
    <row r="112" spans="2:9" ht="11.25">
      <c r="B112" s="574"/>
      <c r="C112" s="18"/>
      <c r="D112" s="232" t="s">
        <v>3907</v>
      </c>
      <c r="E112" s="575"/>
      <c r="F112" s="575"/>
      <c r="G112" s="575"/>
      <c r="H112" s="575"/>
      <c r="I112" s="575"/>
    </row>
    <row r="113" spans="2:9" ht="11.25">
      <c r="B113" s="574"/>
      <c r="C113" s="18"/>
      <c r="D113" s="232" t="s">
        <v>3617</v>
      </c>
      <c r="E113" s="575"/>
      <c r="F113" s="575"/>
      <c r="G113" s="575"/>
      <c r="H113" s="575"/>
      <c r="I113" s="575"/>
    </row>
    <row r="114" spans="2:9" ht="11.25">
      <c r="B114" s="574"/>
      <c r="C114" s="18"/>
      <c r="D114" s="232" t="s">
        <v>3619</v>
      </c>
      <c r="E114" s="575"/>
      <c r="F114" s="575"/>
      <c r="G114" s="575"/>
      <c r="H114" s="575"/>
      <c r="I114" s="575"/>
    </row>
    <row r="115" spans="2:9" ht="11.25">
      <c r="B115" s="574"/>
      <c r="C115" s="18"/>
      <c r="D115" s="232"/>
      <c r="E115" s="576"/>
      <c r="F115" s="576"/>
      <c r="G115" s="576"/>
      <c r="H115" s="576"/>
      <c r="I115" s="576"/>
    </row>
    <row r="116" spans="2:9" ht="11.25">
      <c r="B116" s="574"/>
      <c r="C116" s="18"/>
      <c r="D116" s="232" t="s">
        <v>3546</v>
      </c>
      <c r="E116" s="577">
        <f>finPNLTotalGrossProfit/finPNLTotalRev</f>
        <v>0.52056309616670515</v>
      </c>
      <c r="F116" s="577">
        <f>finPNLTotalGrossProfit/finPNLTotalRev</f>
        <v>0.52056309616670515</v>
      </c>
      <c r="G116" s="577">
        <f>finPNLTotalGrossProfit/finPNLTotalRev</f>
        <v>0.52056309616670515</v>
      </c>
      <c r="H116" s="577">
        <f>finPNLTotalGrossProfit/finPNLTotalRev</f>
        <v>0.52056309616670515</v>
      </c>
      <c r="I116" s="577">
        <f>finPNLTotalGrossProfit/finPNLTotalRev</f>
        <v>0.52056309616670515</v>
      </c>
    </row>
    <row r="117" spans="2:9" ht="11.25">
      <c r="B117" s="574"/>
      <c r="C117" s="18"/>
      <c r="D117" s="232" t="s">
        <v>4435</v>
      </c>
      <c r="E117" s="577">
        <f>finPNLTotalOpIncome/finPNLTotalRev</f>
        <v>-0.17954755335102615</v>
      </c>
      <c r="F117" s="577">
        <f>finPNLTotalOpIncome/finPNLTotalRev</f>
        <v>-0.17954755335102615</v>
      </c>
      <c r="G117" s="577">
        <f>finPNLTotalOpIncome/finPNLTotalRev</f>
        <v>-0.17954755335102615</v>
      </c>
      <c r="H117" s="577">
        <f>finPNLTotalOpIncome/finPNLTotalRev</f>
        <v>-0.17954755335102615</v>
      </c>
      <c r="I117" s="577">
        <f>finPNLTotalOpIncome/finPNLTotalRev</f>
        <v>-0.17954755335102615</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learManualAdj">
                <anchor moveWithCells="1" sizeWithCells="1">
                  <from>
                    <xdr:col>1</xdr:col>
                    <xdr:colOff>9525</xdr:colOff>
                    <xdr:row>2</xdr:row>
                    <xdr:rowOff>66675</xdr:rowOff>
                  </from>
                  <to>
                    <xdr:col>3</xdr:col>
                    <xdr:colOff>571500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bal">
    <tabColor rgb="FF0AAE02"/>
  </sheetPr>
  <dimension ref="A1:O660"/>
  <sheetViews>
    <sheetView topLeftCell="A151" workbookViewId="0">
      <selection activeCell="E176" sqref="E176:I176"/>
    </sheetView>
  </sheetViews>
  <sheetFormatPr defaultColWidth="18.83203125" defaultRowHeight="12.75" customHeight="1"/>
  <cols>
    <col min="1" max="1" width="1.83203125" customWidth="1"/>
    <col min="2" max="3" width="10.83203125" customWidth="1"/>
    <col min="4" max="4" width="15.83203125" customWidth="1"/>
    <col min="5" max="5" width="14" customWidth="1"/>
    <col min="6" max="6" width="14.83203125" customWidth="1"/>
    <col min="7" max="9" width="13.83203125" customWidth="1"/>
    <col min="10" max="10" width="29" bestFit="1" customWidth="1"/>
    <col min="11" max="11" width="16" customWidth="1"/>
    <col min="12" max="12" width="14.83203125" style="26" customWidth="1"/>
    <col min="13" max="13" width="12.33203125" customWidth="1"/>
    <col min="14" max="15" width="9.33203125" customWidth="1"/>
  </cols>
  <sheetData>
    <row r="1" spans="1:13" s="92" customFormat="1" ht="15.75">
      <c r="A1" s="91" t="s">
        <v>469</v>
      </c>
      <c r="B1" s="93"/>
      <c r="C1" s="93"/>
      <c r="D1" s="93"/>
      <c r="E1" s="91" t="s">
        <v>470</v>
      </c>
      <c r="F1" s="91" t="s">
        <v>470</v>
      </c>
      <c r="G1" s="91" t="s">
        <v>470</v>
      </c>
      <c r="H1" s="91" t="s">
        <v>470</v>
      </c>
      <c r="I1" s="91" t="s">
        <v>470</v>
      </c>
    </row>
    <row r="2" spans="1:13" ht="11.25">
      <c r="A2" s="2" t="s">
        <v>475</v>
      </c>
      <c r="E2" t="s">
        <v>1065</v>
      </c>
      <c r="F2" t="s">
        <v>1065</v>
      </c>
      <c r="G2" t="s">
        <v>1065</v>
      </c>
      <c r="H2" t="s">
        <v>1065</v>
      </c>
      <c r="I2" t="s">
        <v>1065</v>
      </c>
    </row>
    <row r="3" spans="1:13" ht="11.25">
      <c r="A3" s="2" t="s">
        <v>1778</v>
      </c>
      <c r="D3" s="4" t="s">
        <v>152</v>
      </c>
      <c r="E3" t="s">
        <v>3252</v>
      </c>
      <c r="F3" t="s">
        <v>3252</v>
      </c>
      <c r="G3" t="s">
        <v>3252</v>
      </c>
      <c r="H3" t="s">
        <v>3252</v>
      </c>
      <c r="I3" t="s">
        <v>3252</v>
      </c>
      <c r="K3" s="26" t="s">
        <v>3252</v>
      </c>
    </row>
    <row r="4" spans="1:13" ht="11.25">
      <c r="B4" t="s">
        <v>1776</v>
      </c>
      <c r="D4" s="14">
        <f>cbal!E4</f>
        <v>36818826.176124021</v>
      </c>
      <c r="E4" s="138">
        <v>42504808.081901476</v>
      </c>
      <c r="F4" s="139">
        <v>42504808.081901476</v>
      </c>
      <c r="G4" s="139">
        <v>42504808.081901476</v>
      </c>
      <c r="H4" s="139">
        <v>42504808.081901476</v>
      </c>
      <c r="I4" s="139">
        <v>42504808.081901476</v>
      </c>
      <c r="J4" t="s">
        <v>3486</v>
      </c>
      <c r="K4" s="67">
        <v>28575299.622772828</v>
      </c>
      <c r="L4" t="b">
        <f>MAX(E4:I4)=MIN(E4:I4)</f>
        <v>1</v>
      </c>
      <c r="M4" s="271">
        <v>0.16</v>
      </c>
    </row>
    <row r="5" spans="1:13" ht="11.25">
      <c r="B5" t="s">
        <v>2813</v>
      </c>
      <c r="D5" s="14">
        <f>cbal!E5</f>
        <v>48600521.605287351</v>
      </c>
      <c r="E5" s="138">
        <v>58046536.319444448</v>
      </c>
      <c r="F5" s="730">
        <v>58046536.319444448</v>
      </c>
      <c r="G5" s="730">
        <v>58046536.319444448</v>
      </c>
      <c r="H5" s="730">
        <v>58046536.319444448</v>
      </c>
      <c r="I5" s="730">
        <v>58046536.319444448</v>
      </c>
      <c r="J5" t="s">
        <v>3487</v>
      </c>
      <c r="K5" s="67">
        <v>85646565.277777776</v>
      </c>
      <c r="L5" t="b">
        <f t="shared" ref="L5:L36" si="0">MAX(E5:I5)=MIN(E5:I5)</f>
        <v>1</v>
      </c>
      <c r="M5" s="271">
        <v>0.125</v>
      </c>
    </row>
    <row r="6" spans="1:13" ht="11.25">
      <c r="B6" s="2" t="s">
        <v>4441</v>
      </c>
      <c r="D6" s="14">
        <f>cbal!E6</f>
        <v>85419347.78141138</v>
      </c>
      <c r="E6" s="106">
        <v>100551344.40134592</v>
      </c>
      <c r="F6" s="89">
        <v>100551344.40134592</v>
      </c>
      <c r="G6" s="89">
        <v>100551344.40134592</v>
      </c>
      <c r="H6" s="89">
        <v>100551344.40134592</v>
      </c>
      <c r="I6" s="89">
        <v>100551344.40134592</v>
      </c>
      <c r="K6" s="67">
        <v>114221864.9005506</v>
      </c>
      <c r="L6" t="b">
        <f t="shared" si="0"/>
        <v>1</v>
      </c>
      <c r="M6" s="271"/>
    </row>
    <row r="7" spans="1:13" s="26" customFormat="1" ht="11.25">
      <c r="D7" s="14"/>
      <c r="E7" s="730"/>
      <c r="F7" s="731"/>
      <c r="G7" s="731"/>
      <c r="H7" s="731"/>
      <c r="I7" s="731"/>
      <c r="K7" s="67"/>
      <c r="L7" s="26" t="b">
        <f t="shared" si="0"/>
        <v>1</v>
      </c>
      <c r="M7" s="419"/>
    </row>
    <row r="8" spans="1:13" ht="11.25">
      <c r="A8" s="2" t="s">
        <v>1777</v>
      </c>
      <c r="D8" s="14">
        <f>cbal!E8</f>
        <v>85419347.78141138</v>
      </c>
      <c r="E8" s="106">
        <v>100551344.40134592</v>
      </c>
      <c r="F8" s="89">
        <v>100551344.40134592</v>
      </c>
      <c r="G8" s="89">
        <v>100551344.40134592</v>
      </c>
      <c r="H8" s="89">
        <v>100551344.40134592</v>
      </c>
      <c r="I8" s="89">
        <v>100551344.40134592</v>
      </c>
      <c r="K8" s="68">
        <v>114221864.9005506</v>
      </c>
      <c r="L8" s="26" t="b">
        <f t="shared" si="0"/>
        <v>1</v>
      </c>
      <c r="M8" s="271"/>
    </row>
    <row r="9" spans="1:13" ht="11.25">
      <c r="A9" s="2" t="s">
        <v>628</v>
      </c>
      <c r="D9" s="14"/>
      <c r="E9" s="730"/>
      <c r="F9" s="731"/>
      <c r="G9" s="731"/>
      <c r="H9" s="731"/>
      <c r="I9" s="731"/>
      <c r="K9" s="67"/>
      <c r="L9" s="26" t="b">
        <f t="shared" si="0"/>
        <v>1</v>
      </c>
      <c r="M9" s="271"/>
    </row>
    <row r="10" spans="1:13" ht="11.25">
      <c r="B10" t="str">
        <f>"Total " &amp; DataNamePlant1</f>
        <v>Total Equipment</v>
      </c>
      <c r="D10" s="14">
        <f>cbal!E10</f>
        <v>74272974.953778863</v>
      </c>
      <c r="E10" s="138">
        <v>74272974.953778863</v>
      </c>
      <c r="F10" s="731">
        <v>74272974.953778863</v>
      </c>
      <c r="G10" s="731">
        <v>74272974.953778863</v>
      </c>
      <c r="H10" s="731">
        <v>74272974.953778863</v>
      </c>
      <c r="I10" s="731">
        <v>74272974.953778863</v>
      </c>
      <c r="J10" t="s">
        <v>2024</v>
      </c>
      <c r="K10" s="67">
        <v>74272974.953778863</v>
      </c>
      <c r="L10" s="26" t="b">
        <f t="shared" si="0"/>
        <v>1</v>
      </c>
      <c r="M10" s="271">
        <v>0.14613751849231363</v>
      </c>
    </row>
    <row r="11" spans="1:13" ht="11.25">
      <c r="A11" s="2" t="s">
        <v>629</v>
      </c>
      <c r="D11" s="14">
        <f>cbal!E11</f>
        <v>74272974.953778863</v>
      </c>
      <c r="E11" s="106">
        <v>74272974.953778863</v>
      </c>
      <c r="F11" s="89">
        <v>74272974.953778863</v>
      </c>
      <c r="G11" s="89">
        <v>74272974.953778863</v>
      </c>
      <c r="H11" s="89">
        <v>74272974.953778863</v>
      </c>
      <c r="I11" s="89">
        <v>74272974.953778863</v>
      </c>
      <c r="J11" t="s">
        <v>2423</v>
      </c>
      <c r="K11" s="68">
        <v>74272974.953778863</v>
      </c>
      <c r="L11" s="26" t="b">
        <f t="shared" si="0"/>
        <v>1</v>
      </c>
      <c r="M11" s="271"/>
    </row>
    <row r="12" spans="1:13" ht="11.25">
      <c r="A12" s="2"/>
      <c r="D12" s="14"/>
      <c r="E12" s="106"/>
      <c r="F12" s="89"/>
      <c r="G12" s="89"/>
      <c r="H12" s="89"/>
      <c r="I12" s="89"/>
      <c r="K12" s="68"/>
      <c r="L12" s="26" t="b">
        <f t="shared" si="0"/>
        <v>1</v>
      </c>
      <c r="M12" s="271"/>
    </row>
    <row r="13" spans="1:13" ht="11.25">
      <c r="A13" s="2"/>
      <c r="B13" t="s">
        <v>4401</v>
      </c>
      <c r="D13" s="14">
        <f>cbal!E13</f>
        <v>70575508.038221121</v>
      </c>
      <c r="E13" s="138">
        <v>70575508.038221121</v>
      </c>
      <c r="F13" s="89">
        <v>70575508.038221121</v>
      </c>
      <c r="G13" s="89">
        <v>70575508.038221121</v>
      </c>
      <c r="H13" s="89">
        <v>70575508.038221121</v>
      </c>
      <c r="I13" s="89">
        <v>70575508.038221121</v>
      </c>
      <c r="J13" t="s">
        <v>2612</v>
      </c>
      <c r="K13" s="68">
        <v>70575508.038221121</v>
      </c>
      <c r="L13" s="26" t="b">
        <f t="shared" si="0"/>
        <v>1</v>
      </c>
      <c r="M13" s="271">
        <v>0.13886248150768635</v>
      </c>
    </row>
    <row r="14" spans="1:13" ht="11.25">
      <c r="A14" s="2" t="s">
        <v>4402</v>
      </c>
      <c r="D14" s="14">
        <f>cbal!E14</f>
        <v>70575508.038221121</v>
      </c>
      <c r="E14" s="138">
        <v>70575508.038221121</v>
      </c>
      <c r="F14" s="89">
        <v>70575508.038221121</v>
      </c>
      <c r="G14" s="89">
        <v>70575508.038221121</v>
      </c>
      <c r="H14" s="89">
        <v>70575508.038221121</v>
      </c>
      <c r="I14" s="89">
        <v>70575508.038221121</v>
      </c>
      <c r="K14" s="68">
        <v>70575508.038221121</v>
      </c>
      <c r="L14" s="26" t="b">
        <f t="shared" si="0"/>
        <v>1</v>
      </c>
      <c r="M14" s="271"/>
    </row>
    <row r="15" spans="1:13" ht="11.25">
      <c r="A15" s="2"/>
      <c r="D15" s="14"/>
      <c r="E15" s="106"/>
      <c r="F15" s="89"/>
      <c r="G15" s="89"/>
      <c r="H15" s="89"/>
      <c r="I15" s="89"/>
      <c r="K15" s="68"/>
      <c r="L15" s="26" t="b">
        <f t="shared" si="0"/>
        <v>1</v>
      </c>
      <c r="M15" s="271"/>
    </row>
    <row r="16" spans="1:13" ht="11.25">
      <c r="A16" s="2" t="s">
        <v>1779</v>
      </c>
      <c r="D16" s="14">
        <f>cbal!E16</f>
        <v>230267830.77341136</v>
      </c>
      <c r="E16" s="106">
        <v>245399827.39334589</v>
      </c>
      <c r="F16" s="89">
        <v>245399827.39334589</v>
      </c>
      <c r="G16" s="89">
        <v>245399827.39334589</v>
      </c>
      <c r="H16" s="89">
        <v>245399827.39334589</v>
      </c>
      <c r="I16" s="89">
        <v>245399827.39334589</v>
      </c>
      <c r="J16" t="s">
        <v>3269</v>
      </c>
      <c r="K16" s="68">
        <v>259070347.89255059</v>
      </c>
      <c r="L16" s="26" t="b">
        <f t="shared" si="0"/>
        <v>1</v>
      </c>
      <c r="M16" s="271">
        <v>0.56999999999999995</v>
      </c>
    </row>
    <row r="17" spans="1:15" ht="11.25">
      <c r="D17" s="14"/>
      <c r="E17" s="730"/>
      <c r="F17" s="731"/>
      <c r="G17" s="731"/>
      <c r="H17" s="731"/>
      <c r="I17" s="731"/>
      <c r="K17" s="67"/>
      <c r="L17" s="26" t="b">
        <f t="shared" si="0"/>
        <v>1</v>
      </c>
    </row>
    <row r="18" spans="1:15" ht="11.25">
      <c r="A18" s="2" t="s">
        <v>1780</v>
      </c>
      <c r="D18" s="14"/>
      <c r="E18" s="730"/>
      <c r="F18" s="731"/>
      <c r="G18" s="731"/>
      <c r="H18" s="731"/>
      <c r="I18" s="731"/>
      <c r="K18" s="67"/>
      <c r="L18" t="b">
        <f t="shared" si="0"/>
        <v>1</v>
      </c>
    </row>
    <row r="19" spans="1:15" ht="11.25">
      <c r="A19" s="2" t="s">
        <v>1781</v>
      </c>
      <c r="D19" s="14"/>
      <c r="E19" s="730"/>
      <c r="F19" s="731"/>
      <c r="G19" s="731"/>
      <c r="H19" s="731"/>
      <c r="I19" s="731"/>
      <c r="K19" s="67"/>
      <c r="L19" t="b">
        <f t="shared" si="0"/>
        <v>1</v>
      </c>
    </row>
    <row r="20" spans="1:15" ht="11.25">
      <c r="B20" s="3" t="s">
        <v>1782</v>
      </c>
      <c r="D20" s="14">
        <f>cbal!E20</f>
        <v>29107878.943431728</v>
      </c>
      <c r="E20" s="730">
        <v>33850976.674897701</v>
      </c>
      <c r="F20" s="731">
        <v>33850976.674897701</v>
      </c>
      <c r="G20" s="731">
        <v>33850976.674897701</v>
      </c>
      <c r="H20" s="731">
        <v>33850976.674897701</v>
      </c>
      <c r="I20" s="731">
        <v>33850976.674897701</v>
      </c>
      <c r="J20" t="s">
        <v>2025</v>
      </c>
      <c r="K20" s="67">
        <v>43371607.853599586</v>
      </c>
      <c r="L20" t="b">
        <f t="shared" si="0"/>
        <v>1</v>
      </c>
    </row>
    <row r="21" spans="1:15" ht="11.25">
      <c r="B21" s="3" t="s">
        <v>1783</v>
      </c>
      <c r="D21" s="14">
        <f>cbal!E21</f>
        <v>137651886.67518741</v>
      </c>
      <c r="E21" s="730">
        <v>125138078.7956249</v>
      </c>
      <c r="F21" s="731">
        <v>125138078.7956249</v>
      </c>
      <c r="G21" s="731">
        <v>125138078.7956249</v>
      </c>
      <c r="H21" s="731">
        <v>125138078.7956249</v>
      </c>
      <c r="I21" s="731">
        <v>125138078.7956249</v>
      </c>
      <c r="J21" t="s">
        <v>2026</v>
      </c>
      <c r="K21" s="67">
        <v>113761889.81420444</v>
      </c>
      <c r="L21" t="b">
        <f t="shared" si="0"/>
        <v>1</v>
      </c>
    </row>
    <row r="22" spans="1:15" ht="11.25">
      <c r="B22" s="3" t="s">
        <v>1784</v>
      </c>
      <c r="D22" s="14"/>
      <c r="E22" s="730">
        <v>0</v>
      </c>
      <c r="F22" s="731">
        <v>0</v>
      </c>
      <c r="G22" s="731">
        <v>0</v>
      </c>
      <c r="H22" s="731">
        <v>0</v>
      </c>
      <c r="I22" s="731">
        <v>0</v>
      </c>
      <c r="J22" t="s">
        <v>2027</v>
      </c>
      <c r="K22" s="67">
        <v>0</v>
      </c>
      <c r="L22" t="b">
        <f t="shared" si="0"/>
        <v>1</v>
      </c>
    </row>
    <row r="23" spans="1:15" s="26" customFormat="1" ht="11.25">
      <c r="B23" s="413"/>
      <c r="D23" s="14"/>
      <c r="E23" s="730"/>
      <c r="F23" s="731"/>
      <c r="G23" s="731"/>
      <c r="H23" s="731"/>
      <c r="I23" s="731"/>
      <c r="K23" s="67"/>
      <c r="L23" t="b">
        <f t="shared" si="0"/>
        <v>1</v>
      </c>
    </row>
    <row r="24" spans="1:15" ht="11.25">
      <c r="A24" s="2" t="s">
        <v>1272</v>
      </c>
      <c r="D24" s="14">
        <f>cbal!E24</f>
        <v>166759765.61861914</v>
      </c>
      <c r="E24" s="106">
        <v>158989055.47052258</v>
      </c>
      <c r="F24" s="89">
        <v>158989055.47052258</v>
      </c>
      <c r="G24" s="89">
        <v>158989055.47052258</v>
      </c>
      <c r="H24" s="89">
        <v>158989055.47052258</v>
      </c>
      <c r="I24" s="89">
        <v>158989055.47052258</v>
      </c>
      <c r="K24" s="68">
        <v>157133497.66780403</v>
      </c>
      <c r="L24" t="b">
        <f t="shared" si="0"/>
        <v>1</v>
      </c>
    </row>
    <row r="25" spans="1:15" ht="11.25">
      <c r="B25" s="3" t="s">
        <v>1273</v>
      </c>
      <c r="D25" s="14">
        <f>cbal!E25</f>
        <v>14464321.654698594</v>
      </c>
      <c r="E25" s="730">
        <v>14464321.654698594</v>
      </c>
      <c r="F25" s="731">
        <v>14464321.654698594</v>
      </c>
      <c r="G25" s="731">
        <v>14464321.654698594</v>
      </c>
      <c r="H25" s="731">
        <v>14464321.654698594</v>
      </c>
      <c r="I25" s="731">
        <v>14464321.654698594</v>
      </c>
      <c r="J25" t="s">
        <v>2028</v>
      </c>
      <c r="K25" s="67">
        <v>14464321.654698594</v>
      </c>
      <c r="L25" t="b">
        <f t="shared" si="0"/>
        <v>1</v>
      </c>
    </row>
    <row r="26" spans="1:15" s="26" customFormat="1" ht="11.25">
      <c r="B26" s="413" t="s">
        <v>2611</v>
      </c>
      <c r="D26" s="14">
        <f>cbal!E26</f>
        <v>28928643.309397183</v>
      </c>
      <c r="E26" s="730">
        <v>28928643.309397183</v>
      </c>
      <c r="F26" s="731">
        <v>28928643.309397183</v>
      </c>
      <c r="G26" s="731">
        <v>28928643.309397183</v>
      </c>
      <c r="H26" s="731">
        <v>28928643.309397183</v>
      </c>
      <c r="I26" s="731">
        <v>28928643.309397183</v>
      </c>
      <c r="J26" t="s">
        <v>1926</v>
      </c>
      <c r="K26" s="67">
        <v>28928643.309397183</v>
      </c>
      <c r="L26" t="b">
        <f t="shared" si="0"/>
        <v>1</v>
      </c>
    </row>
    <row r="27" spans="1:15" ht="11.25">
      <c r="A27" s="2" t="s">
        <v>1274</v>
      </c>
      <c r="D27" s="14">
        <f>cbal!E27</f>
        <v>210152730.58271492</v>
      </c>
      <c r="E27" s="106">
        <v>202382020.43461835</v>
      </c>
      <c r="F27" s="89">
        <v>202382020.43461835</v>
      </c>
      <c r="G27" s="89">
        <v>202382020.43461835</v>
      </c>
      <c r="H27" s="89">
        <v>202382020.43461835</v>
      </c>
      <c r="I27" s="89">
        <v>202382020.43461835</v>
      </c>
      <c r="K27" s="68">
        <v>200526462.6318998</v>
      </c>
      <c r="L27" t="b">
        <f t="shared" si="0"/>
        <v>1</v>
      </c>
    </row>
    <row r="28" spans="1:15" ht="11.25">
      <c r="D28" s="14"/>
      <c r="E28" s="730"/>
      <c r="F28" s="731"/>
      <c r="G28" s="731"/>
      <c r="H28" s="731"/>
      <c r="I28" s="731"/>
      <c r="K28" s="67"/>
      <c r="L28" t="b">
        <f t="shared" si="0"/>
        <v>1</v>
      </c>
    </row>
    <row r="29" spans="1:15" ht="11.25">
      <c r="A29" s="2" t="s">
        <v>1275</v>
      </c>
      <c r="D29" s="14"/>
      <c r="E29" s="730"/>
      <c r="F29" s="731"/>
      <c r="G29" s="731"/>
      <c r="H29" s="731"/>
      <c r="I29" s="731"/>
      <c r="K29" s="67"/>
      <c r="L29" t="b">
        <f t="shared" si="0"/>
        <v>1</v>
      </c>
      <c r="M29" s="324">
        <v>8013484</v>
      </c>
      <c r="N29" t="s">
        <v>4471</v>
      </c>
    </row>
    <row r="30" spans="1:15" ht="11.25">
      <c r="B30" s="3" t="s">
        <v>2711</v>
      </c>
      <c r="D30" s="14">
        <f>cbal!E30</f>
        <v>15249117.670937739</v>
      </c>
      <c r="E30" s="730">
        <v>15249117.670937739</v>
      </c>
      <c r="F30" s="731">
        <v>15249117.670937739</v>
      </c>
      <c r="G30" s="731">
        <v>15249117.670937739</v>
      </c>
      <c r="H30" s="731">
        <v>15249117.670937739</v>
      </c>
      <c r="I30" s="731">
        <v>15249117.670937739</v>
      </c>
      <c r="J30" t="s">
        <v>2029</v>
      </c>
      <c r="K30" s="67">
        <v>15249117.670937739</v>
      </c>
      <c r="L30" t="b">
        <f t="shared" si="0"/>
        <v>1</v>
      </c>
      <c r="M30" s="324">
        <f>4393789+940963</f>
        <v>5334752</v>
      </c>
      <c r="N30" t="s">
        <v>2610</v>
      </c>
      <c r="O30">
        <f>M30/M29</f>
        <v>0.66572192569424238</v>
      </c>
    </row>
    <row r="31" spans="1:15" ht="11.25">
      <c r="B31" s="3" t="s">
        <v>2712</v>
      </c>
      <c r="D31" s="14">
        <f>cbal!E31</f>
        <v>27768689.287789788</v>
      </c>
      <c r="E31" s="730">
        <v>43294767.589713037</v>
      </c>
      <c r="F31" s="731">
        <v>43294767.589713037</v>
      </c>
      <c r="G31" s="731">
        <v>43294767.589713037</v>
      </c>
      <c r="H31" s="731">
        <v>43294767.589713037</v>
      </c>
      <c r="I31" s="731">
        <v>43294767.589713037</v>
      </c>
      <c r="J31" t="s">
        <v>186</v>
      </c>
      <c r="K31" s="67">
        <v>19815470.575102098</v>
      </c>
      <c r="L31" t="b">
        <f t="shared" si="0"/>
        <v>1</v>
      </c>
      <c r="M31" s="422">
        <f>M29-M30</f>
        <v>2678732</v>
      </c>
      <c r="N31" t="s">
        <v>1275</v>
      </c>
    </row>
    <row r="32" spans="1:15" ht="11.25">
      <c r="B32" s="3" t="s">
        <v>2713</v>
      </c>
      <c r="D32" s="14">
        <f>cbal!E32</f>
        <v>-22902706.768031094</v>
      </c>
      <c r="E32" s="730">
        <v>-15526078.301923249</v>
      </c>
      <c r="F32" s="731">
        <v>-15526078.301923249</v>
      </c>
      <c r="G32" s="731">
        <v>-15526078.301923249</v>
      </c>
      <c r="H32" s="731">
        <v>-15526078.301923249</v>
      </c>
      <c r="I32" s="731">
        <v>-15526078.301923249</v>
      </c>
      <c r="J32" t="s">
        <v>187</v>
      </c>
      <c r="K32" s="67">
        <v>23479297.014610939</v>
      </c>
      <c r="L32" t="b">
        <f t="shared" si="0"/>
        <v>1</v>
      </c>
    </row>
    <row r="33" spans="1:12" s="26" customFormat="1" ht="11.25">
      <c r="B33" s="413"/>
      <c r="D33" s="14"/>
      <c r="E33" s="730"/>
      <c r="F33" s="731"/>
      <c r="G33" s="731"/>
      <c r="H33" s="731"/>
      <c r="I33" s="731"/>
      <c r="K33" s="67"/>
      <c r="L33" t="b">
        <f t="shared" si="0"/>
        <v>1</v>
      </c>
    </row>
    <row r="34" spans="1:12" ht="11.25">
      <c r="A34" s="2" t="s">
        <v>2714</v>
      </c>
      <c r="D34" s="14">
        <f>cbal!E34</f>
        <v>20115100.190696429</v>
      </c>
      <c r="E34" s="106">
        <v>43017806.958727524</v>
      </c>
      <c r="F34" s="89">
        <v>43017806.958727524</v>
      </c>
      <c r="G34" s="89">
        <v>43017806.958727524</v>
      </c>
      <c r="H34" s="89">
        <v>43017806.958727524</v>
      </c>
      <c r="I34" s="89">
        <v>43017806.958727524</v>
      </c>
      <c r="J34" s="26"/>
      <c r="K34" s="68">
        <v>58543885.260650776</v>
      </c>
      <c r="L34" t="b">
        <f t="shared" si="0"/>
        <v>1</v>
      </c>
    </row>
    <row r="35" spans="1:12" ht="11.25">
      <c r="A35" s="2" t="s">
        <v>2715</v>
      </c>
      <c r="D35" s="14">
        <f>cbal!E35</f>
        <v>230267830.77341133</v>
      </c>
      <c r="E35" s="106">
        <v>245399827.39334589</v>
      </c>
      <c r="F35" s="89">
        <v>245399827.39334589</v>
      </c>
      <c r="G35" s="89">
        <v>245399827.39334589</v>
      </c>
      <c r="H35" s="89">
        <v>245399827.39334589</v>
      </c>
      <c r="I35" s="89">
        <v>245399827.39334589</v>
      </c>
      <c r="J35" s="26"/>
      <c r="K35" s="68">
        <v>259070347.89255059</v>
      </c>
      <c r="L35" t="b">
        <f t="shared" si="0"/>
        <v>1</v>
      </c>
    </row>
    <row r="36" spans="1:12" ht="11.25">
      <c r="A36" s="24" t="s">
        <v>2294</v>
      </c>
      <c r="D36" s="14" t="b">
        <f>cbal!E36</f>
        <v>1</v>
      </c>
      <c r="E36" s="106" t="b">
        <v>1</v>
      </c>
      <c r="F36" s="89" t="b">
        <v>1</v>
      </c>
      <c r="G36" s="89" t="b">
        <v>1</v>
      </c>
      <c r="H36" s="89" t="b">
        <v>1</v>
      </c>
      <c r="I36" s="89" t="b">
        <v>1</v>
      </c>
      <c r="J36" s="26"/>
      <c r="K36" s="25" t="b">
        <v>1</v>
      </c>
      <c r="L36" t="b">
        <f t="shared" si="0"/>
        <v>1</v>
      </c>
    </row>
    <row r="37" spans="1:12" ht="11.25">
      <c r="A37" s="2"/>
      <c r="D37" s="14"/>
      <c r="E37" s="106"/>
      <c r="F37" s="89"/>
      <c r="G37" s="89"/>
      <c r="H37" s="89"/>
      <c r="I37" s="89"/>
      <c r="K37" s="68"/>
      <c r="L37" t="b">
        <f t="shared" ref="L37:L43" si="1">MAX(E37:I37)=MIN(E37:I37)</f>
        <v>1</v>
      </c>
    </row>
    <row r="38" spans="1:12" ht="11.25">
      <c r="A38" s="2" t="s">
        <v>4558</v>
      </c>
      <c r="D38" s="14">
        <f>cbal!E38</f>
        <v>200512505.05278993</v>
      </c>
      <c r="E38" s="106">
        <v>262340965</v>
      </c>
      <c r="F38" s="89">
        <v>262340965</v>
      </c>
      <c r="G38" s="89">
        <v>262340965</v>
      </c>
      <c r="H38" s="89">
        <v>262340965</v>
      </c>
      <c r="I38" s="89">
        <v>262340965</v>
      </c>
      <c r="J38" t="s">
        <v>4560</v>
      </c>
      <c r="K38" s="68">
        <v>560595700</v>
      </c>
      <c r="L38" t="b">
        <f t="shared" si="1"/>
        <v>1</v>
      </c>
    </row>
    <row r="39" spans="1:12" ht="11.25">
      <c r="A39" s="2"/>
      <c r="B39" t="s">
        <v>635</v>
      </c>
      <c r="D39" s="14">
        <f>cbal!E39</f>
        <v>117600000</v>
      </c>
      <c r="E39" s="106">
        <v>117600000</v>
      </c>
      <c r="F39" s="89">
        <v>117600000</v>
      </c>
      <c r="G39" s="89">
        <v>117600000</v>
      </c>
      <c r="H39" s="89">
        <v>117600000</v>
      </c>
      <c r="I39" s="89">
        <v>117600000</v>
      </c>
      <c r="J39" t="s">
        <v>37</v>
      </c>
      <c r="K39" s="68">
        <v>117600000</v>
      </c>
      <c r="L39" t="b">
        <f t="shared" si="1"/>
        <v>1</v>
      </c>
    </row>
    <row r="40" spans="1:12" ht="11.25">
      <c r="A40" s="2"/>
      <c r="B40" t="s">
        <v>3293</v>
      </c>
      <c r="D40" s="14">
        <f>cbal!E40</f>
        <v>200512505.05278993</v>
      </c>
      <c r="E40" s="106">
        <v>262340965</v>
      </c>
      <c r="F40" s="89">
        <v>262340965</v>
      </c>
      <c r="G40" s="89">
        <v>262340965</v>
      </c>
      <c r="H40" s="89">
        <v>262340965</v>
      </c>
      <c r="I40" s="89">
        <v>262340965</v>
      </c>
      <c r="J40" t="s">
        <v>38</v>
      </c>
      <c r="K40" s="68">
        <v>442995700</v>
      </c>
      <c r="L40" t="b">
        <f t="shared" si="1"/>
        <v>1</v>
      </c>
    </row>
    <row r="41" spans="1:12" ht="11.25">
      <c r="A41" s="2" t="s">
        <v>983</v>
      </c>
      <c r="D41" s="14">
        <f>cbal!E41</f>
        <v>557461193.15301216</v>
      </c>
      <c r="E41" s="106">
        <v>379140965</v>
      </c>
      <c r="F41" s="89">
        <v>379140965</v>
      </c>
      <c r="G41" s="89">
        <v>379140965</v>
      </c>
      <c r="H41" s="89">
        <v>379140965</v>
      </c>
      <c r="I41" s="89">
        <v>379140965</v>
      </c>
      <c r="J41" t="s">
        <v>2058</v>
      </c>
      <c r="K41" s="68">
        <v>180000000</v>
      </c>
      <c r="L41" t="b">
        <f t="shared" si="1"/>
        <v>1</v>
      </c>
    </row>
    <row r="42" spans="1:12" ht="11.25">
      <c r="A42" s="2" t="s">
        <v>3519</v>
      </c>
      <c r="D42" s="14">
        <f>cbal!E42</f>
        <v>-36001529.698513702</v>
      </c>
      <c r="E42" s="106">
        <v>-23707148.921667293</v>
      </c>
      <c r="F42" s="89">
        <v>-23707148.921667293</v>
      </c>
      <c r="G42" s="89">
        <v>-23707148.921667293</v>
      </c>
      <c r="H42" s="89">
        <v>-23707148.921667293</v>
      </c>
      <c r="I42" s="89">
        <v>-23707148.921667293</v>
      </c>
      <c r="J42" t="s">
        <v>3520</v>
      </c>
      <c r="K42" s="68">
        <v>41301809.939223021</v>
      </c>
      <c r="L42" t="b">
        <f t="shared" si="1"/>
        <v>1</v>
      </c>
    </row>
    <row r="43" spans="1:12" ht="11.25">
      <c r="A43" s="2" t="s">
        <v>2179</v>
      </c>
      <c r="D43" s="15">
        <f>cbal!E43</f>
        <v>-0.17954755335102615</v>
      </c>
      <c r="E43" s="536">
        <v>-9.0367697327282809E-2</v>
      </c>
      <c r="F43" s="537">
        <v>-9.0367697327282809E-2</v>
      </c>
      <c r="G43" s="537">
        <v>-9.0367697327282809E-2</v>
      </c>
      <c r="H43" s="537">
        <v>-9.0367697327282809E-2</v>
      </c>
      <c r="I43" s="537">
        <v>-9.0367697327282809E-2</v>
      </c>
      <c r="J43" t="s">
        <v>2181</v>
      </c>
      <c r="K43" s="538">
        <v>7.3674860401574643E-2</v>
      </c>
      <c r="L43" t="b">
        <f t="shared" si="1"/>
        <v>1</v>
      </c>
    </row>
    <row r="44" spans="1:12" ht="11.25">
      <c r="B44" t="s">
        <v>2182</v>
      </c>
      <c r="D44" s="15">
        <f>cbal!E44</f>
        <v>-0.17954755335102615</v>
      </c>
      <c r="E44" s="732">
        <v>-9.0367697327282809E-2</v>
      </c>
      <c r="F44" s="733">
        <v>-9.0367697327282809E-2</v>
      </c>
      <c r="G44" s="733">
        <v>-9.0367697327282809E-2</v>
      </c>
      <c r="H44" s="733">
        <v>-9.0367697327282809E-2</v>
      </c>
      <c r="I44" s="733">
        <v>-9.0367697327282809E-2</v>
      </c>
      <c r="J44" t="s">
        <v>965</v>
      </c>
      <c r="K44" s="434">
        <v>7.3674860401574643E-2</v>
      </c>
      <c r="L44" t="b">
        <f t="shared" ref="L44:L232" si="2">MAX(E44:I44)=MIN(E44:I44)</f>
        <v>1</v>
      </c>
    </row>
    <row r="45" spans="1:12" ht="11.25">
      <c r="A45" s="2" t="s">
        <v>4448</v>
      </c>
      <c r="D45" s="15"/>
      <c r="E45" s="109"/>
      <c r="F45" s="26"/>
      <c r="G45" s="26"/>
      <c r="H45" s="26"/>
      <c r="I45" s="26"/>
      <c r="K45" s="25"/>
      <c r="L45" t="b">
        <f t="shared" si="2"/>
        <v>1</v>
      </c>
    </row>
    <row r="46" spans="1:12" ht="11.25">
      <c r="A46" s="700" t="s">
        <v>4641</v>
      </c>
      <c r="D46" s="15">
        <f ca="1">cbal!E46</f>
        <v>0.6174379006842422</v>
      </c>
      <c r="E46" s="1014">
        <v>0.65</v>
      </c>
      <c r="F46" s="735">
        <v>0.65</v>
      </c>
      <c r="G46" s="735">
        <v>0.65</v>
      </c>
      <c r="H46" s="735">
        <v>0.65</v>
      </c>
      <c r="I46" s="735">
        <v>0.65</v>
      </c>
      <c r="J46" t="s">
        <v>2722</v>
      </c>
      <c r="K46" s="1015">
        <v>0.65</v>
      </c>
      <c r="L46" t="b">
        <f t="shared" si="2"/>
        <v>1</v>
      </c>
    </row>
    <row r="47" spans="1:12" ht="11.25">
      <c r="A47" t="s">
        <v>291</v>
      </c>
      <c r="D47" s="15"/>
      <c r="E47" s="732">
        <v>0</v>
      </c>
      <c r="F47" s="733">
        <v>0</v>
      </c>
      <c r="G47" s="733">
        <v>0</v>
      </c>
      <c r="H47" s="733">
        <v>0</v>
      </c>
      <c r="I47" s="733">
        <v>0</v>
      </c>
      <c r="J47" t="s">
        <v>118</v>
      </c>
      <c r="K47" s="434">
        <v>0</v>
      </c>
      <c r="L47" t="b">
        <f t="shared" si="2"/>
        <v>1</v>
      </c>
    </row>
    <row r="48" spans="1:12" ht="11.25">
      <c r="A48" t="s">
        <v>364</v>
      </c>
      <c r="D48" s="15"/>
      <c r="E48" s="1014">
        <v>0.64303124999999983</v>
      </c>
      <c r="F48" s="1016">
        <v>0.64303124999999983</v>
      </c>
      <c r="G48" s="1016">
        <v>0.64303124999999983</v>
      </c>
      <c r="H48" s="1016">
        <v>0.64303124999999983</v>
      </c>
      <c r="I48" s="1016">
        <v>0.64303124999999983</v>
      </c>
      <c r="J48" t="s">
        <v>2638</v>
      </c>
      <c r="K48" s="434">
        <v>0.75</v>
      </c>
      <c r="L48" t="b">
        <f t="shared" si="2"/>
        <v>1</v>
      </c>
    </row>
    <row r="49" spans="1:12" ht="11.25">
      <c r="D49" s="15"/>
      <c r="E49" s="1014"/>
      <c r="F49" s="1016"/>
      <c r="G49" s="1016"/>
      <c r="H49" s="1016"/>
      <c r="I49" s="1016"/>
      <c r="K49" s="434"/>
      <c r="L49" t="b">
        <f t="shared" si="2"/>
        <v>1</v>
      </c>
    </row>
    <row r="50" spans="1:12" ht="11.25">
      <c r="A50" s="2" t="s">
        <v>4726</v>
      </c>
      <c r="D50" s="15"/>
      <c r="E50" s="1014"/>
      <c r="K50" s="434"/>
      <c r="L50" t="b">
        <f t="shared" si="2"/>
        <v>1</v>
      </c>
    </row>
    <row r="51" spans="1:12" ht="11.25">
      <c r="A51" s="2"/>
      <c r="B51" t="s">
        <v>1340</v>
      </c>
      <c r="D51" s="15"/>
      <c r="E51" s="1005">
        <v>338668633</v>
      </c>
      <c r="F51" s="1006">
        <v>338668633</v>
      </c>
      <c r="G51" s="1006">
        <v>338668633</v>
      </c>
      <c r="H51" s="1006">
        <v>338668633</v>
      </c>
      <c r="I51" s="1006">
        <v>338668633</v>
      </c>
      <c r="J51" t="s">
        <v>4728</v>
      </c>
      <c r="K51" s="373">
        <v>338668633</v>
      </c>
      <c r="L51" t="b">
        <f t="shared" si="2"/>
        <v>1</v>
      </c>
    </row>
    <row r="52" spans="1:12" ht="11.25">
      <c r="A52" s="2"/>
      <c r="B52" t="s">
        <v>4798</v>
      </c>
      <c r="D52" s="15"/>
      <c r="E52" s="1005">
        <v>182163408</v>
      </c>
      <c r="F52" s="1006">
        <v>182163408</v>
      </c>
      <c r="G52" s="1006">
        <v>182163408</v>
      </c>
      <c r="H52" s="1006">
        <v>182163408</v>
      </c>
      <c r="I52" s="1006">
        <v>182163408</v>
      </c>
      <c r="J52" t="s">
        <v>4801</v>
      </c>
      <c r="K52" s="373">
        <v>182163408</v>
      </c>
      <c r="L52" t="b">
        <f t="shared" si="2"/>
        <v>1</v>
      </c>
    </row>
    <row r="53" spans="1:12" ht="11.25">
      <c r="B53" t="s">
        <v>4799</v>
      </c>
      <c r="D53" s="15"/>
      <c r="E53" s="1005">
        <v>109921185</v>
      </c>
      <c r="F53" s="1006">
        <v>109921185</v>
      </c>
      <c r="G53" s="1006">
        <v>109921185</v>
      </c>
      <c r="H53" s="1006">
        <v>109921185</v>
      </c>
      <c r="I53" s="1006">
        <v>109921185</v>
      </c>
      <c r="J53" t="s">
        <v>4802</v>
      </c>
      <c r="K53" s="373">
        <v>109921185</v>
      </c>
      <c r="L53" t="b">
        <f t="shared" si="2"/>
        <v>1</v>
      </c>
    </row>
    <row r="54" spans="1:12" ht="11.25">
      <c r="B54" t="s">
        <v>4800</v>
      </c>
      <c r="D54" s="15"/>
      <c r="E54" s="1005">
        <v>46584040</v>
      </c>
      <c r="F54" s="1006">
        <v>46584040</v>
      </c>
      <c r="G54" s="1006">
        <v>46584040</v>
      </c>
      <c r="H54" s="1006">
        <v>46584040</v>
      </c>
      <c r="I54" s="1006">
        <v>46584040</v>
      </c>
      <c r="J54" t="s">
        <v>4803</v>
      </c>
      <c r="K54" s="373">
        <v>46584040</v>
      </c>
      <c r="L54" t="b">
        <f t="shared" si="2"/>
        <v>1</v>
      </c>
    </row>
    <row r="55" spans="1:12" ht="11.25">
      <c r="D55" s="15"/>
      <c r="E55" s="732"/>
      <c r="F55" s="733"/>
      <c r="G55" s="733"/>
      <c r="H55" s="733"/>
      <c r="I55" s="733"/>
      <c r="K55" s="434"/>
      <c r="L55" t="b">
        <f t="shared" si="2"/>
        <v>1</v>
      </c>
    </row>
    <row r="56" spans="1:12" ht="11.25">
      <c r="A56" s="2" t="s">
        <v>1013</v>
      </c>
      <c r="E56" s="109"/>
      <c r="F56" s="26"/>
      <c r="G56" s="26"/>
      <c r="H56" s="26"/>
      <c r="I56" s="26"/>
      <c r="K56" s="25"/>
      <c r="L56" t="b">
        <f t="shared" si="2"/>
        <v>1</v>
      </c>
    </row>
    <row r="57" spans="1:12" ht="11.25">
      <c r="B57" s="700" t="s">
        <v>5169</v>
      </c>
      <c r="D57" s="14">
        <f>cbal!E57</f>
        <v>0</v>
      </c>
      <c r="E57" s="109"/>
      <c r="F57" s="26"/>
      <c r="G57" s="26"/>
      <c r="H57" s="26"/>
      <c r="I57" s="26"/>
      <c r="K57" s="67"/>
      <c r="L57" t="b">
        <f t="shared" si="2"/>
        <v>1</v>
      </c>
    </row>
    <row r="58" spans="1:12" ht="11.25">
      <c r="C58" t="s">
        <v>4253</v>
      </c>
      <c r="D58" s="14">
        <f>cbal!E58</f>
        <v>0</v>
      </c>
      <c r="E58" s="423">
        <v>0</v>
      </c>
      <c r="F58" s="26">
        <v>0</v>
      </c>
      <c r="G58" s="26">
        <v>0</v>
      </c>
      <c r="H58" s="26">
        <v>0</v>
      </c>
      <c r="I58" s="26">
        <v>0</v>
      </c>
      <c r="J58" t="s">
        <v>3681</v>
      </c>
      <c r="K58" s="67">
        <v>0</v>
      </c>
      <c r="L58" t="b">
        <f t="shared" si="2"/>
        <v>1</v>
      </c>
    </row>
    <row r="59" spans="1:12" ht="11.25">
      <c r="C59" t="s">
        <v>1593</v>
      </c>
      <c r="D59" s="14">
        <f>cbal!E59</f>
        <v>0</v>
      </c>
      <c r="E59" s="109">
        <v>0</v>
      </c>
      <c r="F59" s="26">
        <v>0</v>
      </c>
      <c r="G59" s="26">
        <v>0</v>
      </c>
      <c r="H59" s="26">
        <v>0</v>
      </c>
      <c r="I59" s="26">
        <v>0</v>
      </c>
      <c r="J59" t="s">
        <v>3682</v>
      </c>
      <c r="K59" s="67">
        <v>0</v>
      </c>
      <c r="L59" t="b">
        <f t="shared" si="2"/>
        <v>1</v>
      </c>
    </row>
    <row r="60" spans="1:12" ht="11.25">
      <c r="B60" s="700" t="s">
        <v>4705</v>
      </c>
      <c r="D60" s="14">
        <f>cbal!E60</f>
        <v>0</v>
      </c>
      <c r="E60" s="109"/>
      <c r="F60" s="26"/>
      <c r="G60" s="26"/>
      <c r="H60" s="26"/>
      <c r="I60" s="26"/>
      <c r="K60" s="67"/>
      <c r="L60" t="b">
        <f t="shared" si="2"/>
        <v>1</v>
      </c>
    </row>
    <row r="61" spans="1:12" ht="11.25">
      <c r="C61" t="s">
        <v>4253</v>
      </c>
      <c r="D61" s="14">
        <f>cbal!E61</f>
        <v>0</v>
      </c>
      <c r="E61" s="109">
        <v>0</v>
      </c>
      <c r="F61" s="26">
        <v>0</v>
      </c>
      <c r="G61" s="26">
        <v>0</v>
      </c>
      <c r="H61" s="26">
        <v>0</v>
      </c>
      <c r="I61" s="26">
        <v>0</v>
      </c>
      <c r="J61" t="s">
        <v>3683</v>
      </c>
      <c r="K61" s="67">
        <v>63</v>
      </c>
      <c r="L61" t="b">
        <f t="shared" si="2"/>
        <v>1</v>
      </c>
    </row>
    <row r="62" spans="1:12" ht="11.25">
      <c r="C62" t="s">
        <v>1593</v>
      </c>
      <c r="D62" s="14">
        <f>cbal!E62</f>
        <v>0</v>
      </c>
      <c r="E62" s="109">
        <v>0</v>
      </c>
      <c r="F62" s="26">
        <v>0</v>
      </c>
      <c r="G62" s="26">
        <v>0</v>
      </c>
      <c r="H62" s="26">
        <v>0</v>
      </c>
      <c r="I62" s="26">
        <v>0</v>
      </c>
      <c r="J62" t="s">
        <v>3389</v>
      </c>
      <c r="K62" s="67">
        <v>0</v>
      </c>
      <c r="L62" t="b">
        <f t="shared" si="2"/>
        <v>1</v>
      </c>
    </row>
    <row r="63" spans="1:12" ht="11.25">
      <c r="B63" s="700" t="s">
        <v>4890</v>
      </c>
      <c r="D63" s="14">
        <f>cbal!E63</f>
        <v>0</v>
      </c>
      <c r="E63" s="109"/>
      <c r="F63" s="26"/>
      <c r="G63" s="26"/>
      <c r="H63" s="26"/>
      <c r="I63" s="26"/>
      <c r="K63" s="69"/>
      <c r="L63" t="b">
        <f t="shared" si="2"/>
        <v>1</v>
      </c>
    </row>
    <row r="64" spans="1:12" ht="11.25">
      <c r="C64" t="s">
        <v>4253</v>
      </c>
      <c r="D64" s="14">
        <f>cbal!E64</f>
        <v>0</v>
      </c>
      <c r="E64" s="109">
        <v>0</v>
      </c>
      <c r="F64" s="26">
        <v>0</v>
      </c>
      <c r="G64" s="26">
        <v>0</v>
      </c>
      <c r="H64" s="26">
        <v>0</v>
      </c>
      <c r="I64" s="26">
        <v>0</v>
      </c>
      <c r="J64" t="s">
        <v>3390</v>
      </c>
      <c r="K64" s="69">
        <v>0</v>
      </c>
      <c r="L64" t="b">
        <f t="shared" si="2"/>
        <v>1</v>
      </c>
    </row>
    <row r="65" spans="1:13" ht="11.25">
      <c r="C65" t="s">
        <v>1593</v>
      </c>
      <c r="D65" s="14">
        <f>cbal!E65</f>
        <v>0</v>
      </c>
      <c r="E65" s="109">
        <v>0</v>
      </c>
      <c r="F65" s="26">
        <v>0</v>
      </c>
      <c r="G65" s="26">
        <v>0</v>
      </c>
      <c r="H65" s="26">
        <v>0</v>
      </c>
      <c r="I65" s="26">
        <v>0</v>
      </c>
      <c r="J65" t="s">
        <v>3767</v>
      </c>
      <c r="K65" s="69">
        <v>0</v>
      </c>
      <c r="L65" t="b">
        <f t="shared" si="2"/>
        <v>1</v>
      </c>
    </row>
    <row r="66" spans="1:13" ht="11.25">
      <c r="B66" s="700" t="s">
        <v>4889</v>
      </c>
      <c r="D66" s="14">
        <f>cbal!E66</f>
        <v>0</v>
      </c>
      <c r="E66" s="109"/>
      <c r="F66" s="26"/>
      <c r="G66" s="26"/>
      <c r="H66" s="26"/>
      <c r="I66" s="26"/>
      <c r="K66" s="69"/>
      <c r="L66" t="b">
        <f t="shared" si="2"/>
        <v>1</v>
      </c>
    </row>
    <row r="67" spans="1:13" ht="11.25">
      <c r="C67" t="s">
        <v>4253</v>
      </c>
      <c r="D67" s="14">
        <f>cbal!E67</f>
        <v>0</v>
      </c>
      <c r="E67" s="109">
        <v>0</v>
      </c>
      <c r="F67" s="26">
        <v>0</v>
      </c>
      <c r="G67" s="26">
        <v>0</v>
      </c>
      <c r="H67" s="26">
        <v>0</v>
      </c>
      <c r="I67" s="26">
        <v>0</v>
      </c>
      <c r="J67" t="s">
        <v>3768</v>
      </c>
      <c r="K67" s="69">
        <v>0</v>
      </c>
      <c r="L67" t="b">
        <f t="shared" si="2"/>
        <v>1</v>
      </c>
    </row>
    <row r="68" spans="1:13" ht="11.25">
      <c r="C68" t="s">
        <v>1593</v>
      </c>
      <c r="D68" s="14">
        <f>cbal!E68</f>
        <v>0</v>
      </c>
      <c r="E68" s="109">
        <v>0</v>
      </c>
      <c r="F68" s="26">
        <v>0</v>
      </c>
      <c r="G68" s="26">
        <v>0</v>
      </c>
      <c r="H68" s="26">
        <v>0</v>
      </c>
      <c r="I68" s="26">
        <v>0</v>
      </c>
      <c r="J68" t="s">
        <v>3769</v>
      </c>
      <c r="K68" s="69">
        <v>0</v>
      </c>
      <c r="L68" t="b">
        <f t="shared" si="2"/>
        <v>1</v>
      </c>
    </row>
    <row r="69" spans="1:13" ht="11.25">
      <c r="B69" t="s">
        <v>2087</v>
      </c>
      <c r="D69" s="14">
        <f>cbal!E69</f>
        <v>0</v>
      </c>
      <c r="E69" s="144">
        <v>0</v>
      </c>
      <c r="F69" s="144">
        <v>0</v>
      </c>
      <c r="G69" s="144">
        <v>0</v>
      </c>
      <c r="H69" s="144">
        <v>0</v>
      </c>
      <c r="I69" s="144">
        <v>0</v>
      </c>
      <c r="J69" t="s">
        <v>2090</v>
      </c>
      <c r="K69" s="69">
        <v>4</v>
      </c>
      <c r="L69" t="b">
        <f t="shared" si="2"/>
        <v>1</v>
      </c>
      <c r="M69" t="s">
        <v>372</v>
      </c>
    </row>
    <row r="70" spans="1:13" ht="11.25">
      <c r="B70" t="s">
        <v>2088</v>
      </c>
      <c r="D70" s="14">
        <f>cbal!E70</f>
        <v>0</v>
      </c>
      <c r="E70" s="144">
        <v>0</v>
      </c>
      <c r="F70" s="144">
        <v>0</v>
      </c>
      <c r="G70" s="144">
        <v>0</v>
      </c>
      <c r="H70" s="144">
        <v>0</v>
      </c>
      <c r="I70" s="144">
        <v>0</v>
      </c>
      <c r="J70" t="s">
        <v>2091</v>
      </c>
      <c r="K70" s="69">
        <v>40</v>
      </c>
      <c r="L70" t="b">
        <f t="shared" si="2"/>
        <v>1</v>
      </c>
      <c r="M70" t="s">
        <v>373</v>
      </c>
    </row>
    <row r="71" spans="1:13" ht="11.25">
      <c r="B71" t="s">
        <v>2089</v>
      </c>
      <c r="D71" s="14">
        <f>cbal!E71</f>
        <v>26</v>
      </c>
      <c r="E71" s="144">
        <v>0</v>
      </c>
      <c r="F71" s="144">
        <v>0</v>
      </c>
      <c r="G71" s="144">
        <v>0</v>
      </c>
      <c r="H71" s="144">
        <v>0</v>
      </c>
      <c r="I71" s="144">
        <v>0</v>
      </c>
      <c r="J71" t="s">
        <v>3745</v>
      </c>
      <c r="K71" s="69">
        <v>160</v>
      </c>
      <c r="L71" t="b">
        <f t="shared" si="2"/>
        <v>1</v>
      </c>
      <c r="M71" t="s">
        <v>1578</v>
      </c>
    </row>
    <row r="72" spans="1:13" ht="11.25">
      <c r="B72" s="700" t="s">
        <v>4696</v>
      </c>
      <c r="D72" s="14">
        <f>cbal!E72</f>
        <v>0</v>
      </c>
      <c r="E72" s="109">
        <v>0</v>
      </c>
      <c r="F72" s="109">
        <v>0</v>
      </c>
      <c r="G72" s="109">
        <v>0</v>
      </c>
      <c r="H72" s="109">
        <v>0</v>
      </c>
      <c r="I72" s="109">
        <v>0</v>
      </c>
      <c r="J72" t="s">
        <v>3770</v>
      </c>
      <c r="K72" s="69">
        <v>20</v>
      </c>
      <c r="L72" t="b">
        <f t="shared" si="2"/>
        <v>1</v>
      </c>
      <c r="M72" t="s">
        <v>1579</v>
      </c>
    </row>
    <row r="73" spans="1:13" ht="11.25">
      <c r="B73" t="s">
        <v>1089</v>
      </c>
      <c r="D73" s="14">
        <f>cbal!E73</f>
        <v>26</v>
      </c>
      <c r="E73" s="109">
        <v>826</v>
      </c>
      <c r="F73" s="26">
        <v>826</v>
      </c>
      <c r="G73" s="26">
        <v>826</v>
      </c>
      <c r="H73" s="26">
        <v>826</v>
      </c>
      <c r="I73" s="26">
        <v>826</v>
      </c>
      <c r="J73" t="s">
        <v>1091</v>
      </c>
      <c r="K73" s="69">
        <v>434</v>
      </c>
      <c r="L73" t="b">
        <f t="shared" si="2"/>
        <v>1</v>
      </c>
      <c r="M73" t="s">
        <v>1580</v>
      </c>
    </row>
    <row r="74" spans="1:13" ht="11.25">
      <c r="A74" s="2" t="s">
        <v>3657</v>
      </c>
      <c r="D74" s="14">
        <f>cbal!E74</f>
        <v>0</v>
      </c>
      <c r="E74" s="730">
        <v>0</v>
      </c>
      <c r="F74" s="731">
        <v>0</v>
      </c>
      <c r="G74" s="731">
        <v>0</v>
      </c>
      <c r="H74" s="731">
        <v>0</v>
      </c>
      <c r="I74" s="731">
        <v>0</v>
      </c>
      <c r="J74" t="s">
        <v>704</v>
      </c>
      <c r="K74" s="69">
        <v>0</v>
      </c>
      <c r="L74" t="b">
        <f t="shared" si="2"/>
        <v>1</v>
      </c>
      <c r="M74" t="s">
        <v>1581</v>
      </c>
    </row>
    <row r="75" spans="1:13" ht="11.25">
      <c r="A75" s="2" t="s">
        <v>3680</v>
      </c>
      <c r="D75" s="14">
        <f>cbal!E75</f>
        <v>0</v>
      </c>
      <c r="E75" s="730"/>
      <c r="F75" s="731"/>
      <c r="G75" s="731"/>
      <c r="H75" s="731"/>
      <c r="I75" s="731"/>
      <c r="K75" s="69"/>
      <c r="L75" t="b">
        <f t="shared" si="2"/>
        <v>1</v>
      </c>
      <c r="M75" t="s">
        <v>1582</v>
      </c>
    </row>
    <row r="76" spans="1:13" ht="11.25">
      <c r="B76" s="700" t="s">
        <v>5169</v>
      </c>
      <c r="D76" s="14">
        <f>cbal!E76</f>
        <v>0</v>
      </c>
      <c r="E76" s="730"/>
      <c r="F76" s="731"/>
      <c r="G76" s="731"/>
      <c r="H76" s="731"/>
      <c r="I76" s="731"/>
      <c r="J76" t="s">
        <v>4270</v>
      </c>
      <c r="K76" s="67"/>
      <c r="L76" t="b">
        <f t="shared" si="2"/>
        <v>1</v>
      </c>
    </row>
    <row r="77" spans="1:13" ht="11.25">
      <c r="B77" s="448"/>
      <c r="C77" t="s">
        <v>4253</v>
      </c>
      <c r="D77" s="14">
        <f>cbal!E77</f>
        <v>234</v>
      </c>
      <c r="E77" s="1080">
        <v>312.5</v>
      </c>
      <c r="F77" s="1080">
        <v>312.5</v>
      </c>
      <c r="G77" s="1080">
        <v>312.5</v>
      </c>
      <c r="H77" s="1080">
        <v>312.5</v>
      </c>
      <c r="I77" s="1080">
        <v>312.5</v>
      </c>
      <c r="J77" t="s">
        <v>1036</v>
      </c>
      <c r="K77" s="67">
        <v>336</v>
      </c>
      <c r="L77" t="b">
        <f t="shared" si="2"/>
        <v>1</v>
      </c>
      <c r="M77" t="s">
        <v>1720</v>
      </c>
    </row>
    <row r="78" spans="1:13" ht="11.25">
      <c r="C78" t="s">
        <v>1593</v>
      </c>
      <c r="D78" s="14">
        <f>cbal!E78</f>
        <v>9</v>
      </c>
      <c r="E78" s="1080">
        <v>12.5</v>
      </c>
      <c r="F78" s="1080">
        <v>12.5</v>
      </c>
      <c r="G78" s="1080">
        <v>12.5</v>
      </c>
      <c r="H78" s="1080">
        <v>12.5</v>
      </c>
      <c r="I78" s="1080">
        <v>12.5</v>
      </c>
      <c r="J78" t="s">
        <v>1037</v>
      </c>
      <c r="K78" s="67">
        <v>14</v>
      </c>
      <c r="L78" t="b">
        <f t="shared" si="2"/>
        <v>1</v>
      </c>
    </row>
    <row r="79" spans="1:13" ht="11.25">
      <c r="B79" s="700" t="s">
        <v>4705</v>
      </c>
      <c r="D79" s="14">
        <f>cbal!E79</f>
        <v>0</v>
      </c>
      <c r="E79" s="1080">
        <v>0</v>
      </c>
      <c r="F79" s="1080">
        <v>0</v>
      </c>
      <c r="G79" s="1080">
        <v>0</v>
      </c>
      <c r="H79" s="1080">
        <v>0</v>
      </c>
      <c r="I79" s="1080">
        <v>0</v>
      </c>
      <c r="J79" t="s">
        <v>4271</v>
      </c>
      <c r="K79" s="67"/>
      <c r="L79" t="b">
        <f t="shared" si="2"/>
        <v>1</v>
      </c>
      <c r="M79" t="s">
        <v>1721</v>
      </c>
    </row>
    <row r="80" spans="1:13" ht="11.25">
      <c r="C80" t="s">
        <v>4253</v>
      </c>
      <c r="D80" s="14">
        <f>cbal!E80</f>
        <v>365</v>
      </c>
      <c r="E80" s="1080">
        <v>500</v>
      </c>
      <c r="F80" s="1080">
        <v>500</v>
      </c>
      <c r="G80" s="1080">
        <v>500</v>
      </c>
      <c r="H80" s="1080">
        <v>500</v>
      </c>
      <c r="I80" s="1080">
        <v>500</v>
      </c>
      <c r="J80" t="s">
        <v>3977</v>
      </c>
      <c r="K80" s="67">
        <v>300</v>
      </c>
      <c r="L80" t="b">
        <f t="shared" si="2"/>
        <v>1</v>
      </c>
      <c r="M80" t="s">
        <v>1722</v>
      </c>
    </row>
    <row r="81" spans="1:14" ht="11.25">
      <c r="C81" t="s">
        <v>1593</v>
      </c>
      <c r="D81" s="14">
        <f>cbal!E81</f>
        <v>18</v>
      </c>
      <c r="E81" s="1080">
        <v>22.5</v>
      </c>
      <c r="F81" s="1080">
        <v>22.5</v>
      </c>
      <c r="G81" s="1080">
        <v>22.5</v>
      </c>
      <c r="H81" s="1080">
        <v>22.5</v>
      </c>
      <c r="I81" s="1080">
        <v>22.5</v>
      </c>
      <c r="J81" t="s">
        <v>2893</v>
      </c>
      <c r="K81" s="67">
        <v>23</v>
      </c>
      <c r="L81" t="b">
        <f t="shared" si="2"/>
        <v>1</v>
      </c>
      <c r="M81" t="s">
        <v>1723</v>
      </c>
      <c r="N81" s="1080">
        <v>1.25</v>
      </c>
    </row>
    <row r="82" spans="1:14" ht="11.25">
      <c r="B82" s="700" t="s">
        <v>4890</v>
      </c>
      <c r="D82" s="14">
        <f>cbal!E82</f>
        <v>0</v>
      </c>
      <c r="E82" s="1080">
        <v>0</v>
      </c>
      <c r="F82" s="1080">
        <v>0</v>
      </c>
      <c r="G82" s="1080">
        <v>0</v>
      </c>
      <c r="H82" s="1080">
        <v>0</v>
      </c>
      <c r="I82" s="1080">
        <v>0</v>
      </c>
      <c r="J82" t="s">
        <v>4272</v>
      </c>
      <c r="K82" s="69"/>
      <c r="L82" t="b">
        <f t="shared" si="2"/>
        <v>1</v>
      </c>
    </row>
    <row r="83" spans="1:14" ht="11.25">
      <c r="C83" t="s">
        <v>4253</v>
      </c>
      <c r="D83" s="14">
        <f>cbal!E83</f>
        <v>244</v>
      </c>
      <c r="E83" s="1080">
        <v>312.5</v>
      </c>
      <c r="F83" s="1080">
        <v>312.5</v>
      </c>
      <c r="G83" s="1080">
        <v>312.5</v>
      </c>
      <c r="H83" s="1080">
        <v>312.5</v>
      </c>
      <c r="I83" s="1080">
        <v>312.5</v>
      </c>
      <c r="J83" t="s">
        <v>2894</v>
      </c>
      <c r="K83" s="69">
        <v>250</v>
      </c>
      <c r="L83" t="b">
        <f t="shared" si="2"/>
        <v>1</v>
      </c>
      <c r="M83" t="s">
        <v>2631</v>
      </c>
    </row>
    <row r="84" spans="1:14" ht="11.25">
      <c r="C84" t="s">
        <v>1593</v>
      </c>
      <c r="D84" s="14">
        <f>cbal!E84</f>
        <v>18</v>
      </c>
      <c r="E84" s="1080">
        <v>21.25</v>
      </c>
      <c r="F84" s="1080">
        <v>21.25</v>
      </c>
      <c r="G84" s="1080">
        <v>21.25</v>
      </c>
      <c r="H84" s="1080">
        <v>21.25</v>
      </c>
      <c r="I84" s="1080">
        <v>21.25</v>
      </c>
      <c r="J84" t="s">
        <v>2895</v>
      </c>
      <c r="K84" s="69">
        <v>21</v>
      </c>
      <c r="L84" t="b">
        <f t="shared" si="2"/>
        <v>1</v>
      </c>
    </row>
    <row r="85" spans="1:14" ht="11.25">
      <c r="B85" s="700" t="s">
        <v>4893</v>
      </c>
      <c r="D85" s="14">
        <f>cbal!E85</f>
        <v>0</v>
      </c>
      <c r="E85" s="1080">
        <v>0</v>
      </c>
      <c r="F85" s="1080">
        <v>0</v>
      </c>
      <c r="G85" s="1080">
        <v>0</v>
      </c>
      <c r="H85" s="1080">
        <v>0</v>
      </c>
      <c r="I85" s="1080">
        <v>0</v>
      </c>
      <c r="J85" t="s">
        <v>4440</v>
      </c>
      <c r="K85" s="69"/>
      <c r="L85" t="b">
        <f t="shared" si="2"/>
        <v>1</v>
      </c>
      <c r="M85" t="s">
        <v>1724</v>
      </c>
    </row>
    <row r="86" spans="1:14" ht="11.25">
      <c r="C86" t="s">
        <v>4253</v>
      </c>
      <c r="D86" s="14">
        <f>cbal!E86</f>
        <v>78</v>
      </c>
      <c r="E86" s="1080">
        <v>93.75</v>
      </c>
      <c r="F86" s="1080">
        <v>93.75</v>
      </c>
      <c r="G86" s="1080">
        <v>93.75</v>
      </c>
      <c r="H86" s="1080">
        <v>93.75</v>
      </c>
      <c r="I86" s="1080">
        <v>93.75</v>
      </c>
      <c r="J86" t="s">
        <v>1916</v>
      </c>
      <c r="K86" s="69">
        <v>75</v>
      </c>
      <c r="L86" t="b">
        <f t="shared" si="2"/>
        <v>1</v>
      </c>
      <c r="M86" t="s">
        <v>1725</v>
      </c>
    </row>
    <row r="87" spans="1:14" ht="11.25">
      <c r="C87" t="s">
        <v>1593</v>
      </c>
      <c r="D87" s="14">
        <f>cbal!E87</f>
        <v>11</v>
      </c>
      <c r="E87" s="1080">
        <v>12.5</v>
      </c>
      <c r="F87" s="1080">
        <v>12.5</v>
      </c>
      <c r="G87" s="1080">
        <v>12.5</v>
      </c>
      <c r="H87" s="1080">
        <v>12.5</v>
      </c>
      <c r="I87" s="1080">
        <v>12.5</v>
      </c>
      <c r="J87" t="s">
        <v>1917</v>
      </c>
      <c r="K87" s="69">
        <v>12</v>
      </c>
      <c r="L87" t="b">
        <f t="shared" si="2"/>
        <v>1</v>
      </c>
      <c r="M87" t="s">
        <v>1726</v>
      </c>
    </row>
    <row r="88" spans="1:14" ht="11.25">
      <c r="B88" t="s">
        <v>3083</v>
      </c>
      <c r="C88" t="s">
        <v>173</v>
      </c>
      <c r="D88" s="14">
        <f>cbal!E88</f>
        <v>61</v>
      </c>
      <c r="E88" s="773">
        <v>66.25</v>
      </c>
      <c r="F88" s="773">
        <v>66.25</v>
      </c>
      <c r="G88" s="773">
        <v>66.25</v>
      </c>
      <c r="H88" s="773">
        <v>66.25</v>
      </c>
      <c r="I88" s="773">
        <v>66.25</v>
      </c>
      <c r="J88" t="s">
        <v>3754</v>
      </c>
      <c r="K88" s="69">
        <v>54</v>
      </c>
      <c r="L88" t="b">
        <f t="shared" si="2"/>
        <v>1</v>
      </c>
    </row>
    <row r="89" spans="1:14" ht="11.25">
      <c r="B89" t="s">
        <v>3084</v>
      </c>
      <c r="C89" t="s">
        <v>173</v>
      </c>
      <c r="D89" s="14">
        <f>cbal!E89</f>
        <v>171</v>
      </c>
      <c r="E89" s="773">
        <v>201.25</v>
      </c>
      <c r="F89" s="773">
        <v>201.25</v>
      </c>
      <c r="G89" s="773">
        <v>201.25</v>
      </c>
      <c r="H89" s="773">
        <v>201.25</v>
      </c>
      <c r="I89" s="773">
        <v>201.25</v>
      </c>
      <c r="J89" t="s">
        <v>3755</v>
      </c>
      <c r="K89" s="69">
        <v>143</v>
      </c>
      <c r="L89" t="b">
        <f t="shared" si="2"/>
        <v>1</v>
      </c>
    </row>
    <row r="90" spans="1:14" ht="11.25">
      <c r="B90" s="700" t="s">
        <v>5178</v>
      </c>
      <c r="C90" t="s">
        <v>173</v>
      </c>
      <c r="D90" s="14">
        <f>cbal!E90</f>
        <v>328</v>
      </c>
      <c r="E90" s="773">
        <v>437.5</v>
      </c>
      <c r="F90" s="773">
        <v>437.5</v>
      </c>
      <c r="G90" s="773">
        <v>437.5</v>
      </c>
      <c r="H90" s="773">
        <v>437.5</v>
      </c>
      <c r="I90" s="773">
        <v>437.5</v>
      </c>
      <c r="J90" t="s">
        <v>4415</v>
      </c>
      <c r="K90" s="69">
        <v>160</v>
      </c>
      <c r="L90" t="b">
        <f t="shared" si="2"/>
        <v>1</v>
      </c>
    </row>
    <row r="91" spans="1:14" ht="11.25">
      <c r="B91" s="700"/>
      <c r="D91" s="14">
        <f>cbal!E91</f>
        <v>102</v>
      </c>
      <c r="E91" s="1080">
        <v>126.25</v>
      </c>
      <c r="F91" s="1080">
        <v>126.25</v>
      </c>
      <c r="G91" s="1080">
        <v>126.25</v>
      </c>
      <c r="H91" s="1080">
        <v>126.25</v>
      </c>
      <c r="I91" s="1080">
        <v>126.25</v>
      </c>
      <c r="J91" t="s">
        <v>2501</v>
      </c>
      <c r="K91" s="69">
        <v>100</v>
      </c>
      <c r="L91" t="b">
        <f t="shared" si="2"/>
        <v>1</v>
      </c>
    </row>
    <row r="92" spans="1:14" ht="11.25">
      <c r="D92" s="14">
        <f>cbal!E92</f>
        <v>1079</v>
      </c>
      <c r="E92" s="731">
        <v>946</v>
      </c>
      <c r="F92" s="731">
        <v>946</v>
      </c>
      <c r="G92" s="731">
        <v>946</v>
      </c>
      <c r="H92" s="731">
        <v>946</v>
      </c>
      <c r="I92" s="731">
        <v>946</v>
      </c>
      <c r="J92" t="s">
        <v>3130</v>
      </c>
      <c r="K92" s="69">
        <v>2133</v>
      </c>
      <c r="L92" t="b">
        <f t="shared" si="2"/>
        <v>1</v>
      </c>
    </row>
    <row r="93" spans="1:14" ht="11.25">
      <c r="D93" s="14"/>
      <c r="E93" s="730"/>
      <c r="F93" s="731"/>
      <c r="G93" s="731"/>
      <c r="H93" s="731"/>
      <c r="I93" s="731"/>
      <c r="K93" s="69"/>
      <c r="L93" t="b">
        <f t="shared" si="2"/>
        <v>1</v>
      </c>
    </row>
    <row r="94" spans="1:14" ht="11.25">
      <c r="A94" s="2" t="s">
        <v>4228</v>
      </c>
      <c r="D94" s="14"/>
      <c r="E94" s="730"/>
      <c r="F94" s="731"/>
      <c r="G94" s="731"/>
      <c r="H94" s="731"/>
      <c r="I94" s="731"/>
      <c r="K94" s="69"/>
      <c r="L94" t="b">
        <f t="shared" si="2"/>
        <v>1</v>
      </c>
    </row>
    <row r="95" spans="1:14" ht="11.25">
      <c r="A95" s="2"/>
      <c r="B95" t="s">
        <v>2022</v>
      </c>
      <c r="D95" s="14"/>
      <c r="E95" s="730"/>
      <c r="F95" s="731"/>
      <c r="G95" s="731"/>
      <c r="H95" s="731"/>
      <c r="I95" s="731"/>
      <c r="K95" s="69"/>
      <c r="L95" t="b">
        <f t="shared" si="2"/>
        <v>1</v>
      </c>
    </row>
    <row r="96" spans="1:14" ht="11.25">
      <c r="A96" s="2"/>
      <c r="C96" t="s">
        <v>4253</v>
      </c>
      <c r="D96" s="14"/>
      <c r="E96" s="734">
        <v>0.25850738608200485</v>
      </c>
      <c r="F96" s="735">
        <v>0.25850738608200485</v>
      </c>
      <c r="G96" s="735">
        <v>0.25850738608200485</v>
      </c>
      <c r="H96" s="735">
        <v>0.25850738608200485</v>
      </c>
      <c r="I96" s="735">
        <v>0.25850738608200485</v>
      </c>
      <c r="J96" s="15" t="s">
        <v>332</v>
      </c>
      <c r="K96" s="142">
        <v>0.85642857142857143</v>
      </c>
      <c r="L96" t="b">
        <f t="shared" si="2"/>
        <v>1</v>
      </c>
    </row>
    <row r="97" spans="1:12" ht="11.25">
      <c r="A97" s="2"/>
      <c r="C97" t="s">
        <v>1593</v>
      </c>
      <c r="D97" s="14"/>
      <c r="E97" s="734">
        <v>0.31111111111111112</v>
      </c>
      <c r="F97" s="735">
        <v>0.31111111111111112</v>
      </c>
      <c r="G97" s="735">
        <v>0.31111111111111112</v>
      </c>
      <c r="H97" s="735">
        <v>0.31111111111111112</v>
      </c>
      <c r="I97" s="735">
        <v>0.31111111111111112</v>
      </c>
      <c r="J97" s="15" t="s">
        <v>333</v>
      </c>
      <c r="K97" s="142">
        <v>0.19636363636363635</v>
      </c>
      <c r="L97" t="b">
        <f t="shared" si="2"/>
        <v>1</v>
      </c>
    </row>
    <row r="98" spans="1:12" ht="11.25">
      <c r="A98" s="2"/>
      <c r="B98" t="s">
        <v>3861</v>
      </c>
      <c r="D98" s="14"/>
      <c r="E98" s="734"/>
      <c r="F98" s="735"/>
      <c r="G98" s="735"/>
      <c r="H98" s="735"/>
      <c r="I98" s="735"/>
      <c r="J98" s="15"/>
      <c r="K98" s="142"/>
      <c r="L98" t="b">
        <f t="shared" si="2"/>
        <v>1</v>
      </c>
    </row>
    <row r="99" spans="1:12" ht="11.25">
      <c r="A99" s="2"/>
      <c r="C99" t="s">
        <v>4253</v>
      </c>
      <c r="D99" s="14"/>
      <c r="E99" s="734">
        <v>0.69148936170212771</v>
      </c>
      <c r="F99" s="735">
        <v>0.69148936170212771</v>
      </c>
      <c r="G99" s="735">
        <v>0.69148936170212771</v>
      </c>
      <c r="H99" s="735">
        <v>0.69148936170212771</v>
      </c>
      <c r="I99" s="735">
        <v>0.69148936170212771</v>
      </c>
      <c r="J99" s="15" t="s">
        <v>334</v>
      </c>
      <c r="K99" s="142">
        <v>0.91654596100278551</v>
      </c>
      <c r="L99" t="b">
        <f t="shared" si="2"/>
        <v>1</v>
      </c>
    </row>
    <row r="100" spans="1:12" ht="11.25">
      <c r="A100" s="2"/>
      <c r="C100" t="s">
        <v>1593</v>
      </c>
      <c r="D100" s="14"/>
      <c r="E100" s="734">
        <v>0.32111111111111112</v>
      </c>
      <c r="F100" s="735">
        <v>0.32111111111111112</v>
      </c>
      <c r="G100" s="735">
        <v>0.32111111111111112</v>
      </c>
      <c r="H100" s="735">
        <v>0.32111111111111112</v>
      </c>
      <c r="I100" s="735">
        <v>0.32111111111111112</v>
      </c>
      <c r="J100" s="15" t="s">
        <v>335</v>
      </c>
      <c r="K100" s="142">
        <v>0.24947368421052632</v>
      </c>
      <c r="L100" t="b">
        <f t="shared" si="2"/>
        <v>1</v>
      </c>
    </row>
    <row r="101" spans="1:12" ht="11.25">
      <c r="A101" s="2"/>
      <c r="B101" t="s">
        <v>3860</v>
      </c>
      <c r="D101" s="14"/>
      <c r="E101" s="734"/>
      <c r="F101" s="735"/>
      <c r="G101" s="735"/>
      <c r="H101" s="735"/>
      <c r="I101" s="735"/>
      <c r="J101" s="15"/>
      <c r="K101" s="142"/>
      <c r="L101" t="b">
        <f t="shared" si="2"/>
        <v>1</v>
      </c>
    </row>
    <row r="102" spans="1:12" ht="11.25">
      <c r="C102" t="s">
        <v>4253</v>
      </c>
      <c r="D102" s="14"/>
      <c r="E102" s="734">
        <v>0.68101030927835049</v>
      </c>
      <c r="F102" s="735">
        <v>0.68101030927835049</v>
      </c>
      <c r="G102" s="735">
        <v>0.68101030927835049</v>
      </c>
      <c r="H102" s="735">
        <v>0.68101030927835049</v>
      </c>
      <c r="I102" s="735">
        <v>0.68101030927835049</v>
      </c>
      <c r="J102" s="15" t="s">
        <v>336</v>
      </c>
      <c r="K102" s="142">
        <v>0.71173913043478265</v>
      </c>
      <c r="L102" t="b">
        <f t="shared" si="2"/>
        <v>1</v>
      </c>
    </row>
    <row r="103" spans="1:12" ht="11.25">
      <c r="C103" t="s">
        <v>1593</v>
      </c>
      <c r="D103" s="14"/>
      <c r="E103" s="734">
        <v>0.24529411764705883</v>
      </c>
      <c r="F103" s="735">
        <v>0.24529411764705883</v>
      </c>
      <c r="G103" s="735">
        <v>0.24529411764705883</v>
      </c>
      <c r="H103" s="735">
        <v>0.24529411764705883</v>
      </c>
      <c r="I103" s="735">
        <v>0.24529411764705883</v>
      </c>
      <c r="J103" s="15" t="s">
        <v>2682</v>
      </c>
      <c r="K103" s="142">
        <v>0.17249999999999999</v>
      </c>
      <c r="L103" t="b">
        <f t="shared" si="2"/>
        <v>1</v>
      </c>
    </row>
    <row r="104" spans="1:12" ht="11.25">
      <c r="B104" t="s">
        <v>4068</v>
      </c>
      <c r="D104" s="14"/>
      <c r="E104" s="734"/>
      <c r="F104" s="735"/>
      <c r="G104" s="735"/>
      <c r="H104" s="735"/>
      <c r="I104" s="735"/>
      <c r="J104" s="15"/>
      <c r="K104" s="142"/>
      <c r="L104" t="b">
        <f t="shared" si="2"/>
        <v>1</v>
      </c>
    </row>
    <row r="105" spans="1:12" ht="11.25">
      <c r="C105" t="s">
        <v>4253</v>
      </c>
      <c r="D105" s="14"/>
      <c r="E105" s="734">
        <v>0.57967741935483874</v>
      </c>
      <c r="F105" s="735">
        <v>0.57967741935483874</v>
      </c>
      <c r="G105" s="735">
        <v>0.57967741935483874</v>
      </c>
      <c r="H105" s="735">
        <v>0.57967741935483874</v>
      </c>
      <c r="I105" s="735">
        <v>0.57967741935483874</v>
      </c>
      <c r="J105" s="15" t="s">
        <v>2683</v>
      </c>
      <c r="K105" s="142">
        <v>0.6779310344827586</v>
      </c>
      <c r="L105" t="b">
        <f t="shared" si="2"/>
        <v>1</v>
      </c>
    </row>
    <row r="106" spans="1:12" ht="11.25">
      <c r="C106" t="s">
        <v>1593</v>
      </c>
      <c r="D106" s="14"/>
      <c r="E106" s="734">
        <v>0.23499999999999999</v>
      </c>
      <c r="F106" s="735">
        <v>0.23499999999999999</v>
      </c>
      <c r="G106" s="735">
        <v>0.23499999999999999</v>
      </c>
      <c r="H106" s="735">
        <v>0.23499999999999999</v>
      </c>
      <c r="I106" s="735">
        <v>0.23499999999999999</v>
      </c>
      <c r="J106" s="15" t="s">
        <v>2684</v>
      </c>
      <c r="K106" s="142">
        <v>6.4545454545454545E-2</v>
      </c>
      <c r="L106" t="b">
        <f t="shared" si="2"/>
        <v>1</v>
      </c>
    </row>
    <row r="107" spans="1:12" ht="11.25">
      <c r="B107" t="s">
        <v>4267</v>
      </c>
      <c r="D107" s="14"/>
      <c r="E107" s="734">
        <v>0.50756731512721964</v>
      </c>
      <c r="F107" s="735">
        <v>0.50756731512721964</v>
      </c>
      <c r="G107" s="735">
        <v>0.50756731512721964</v>
      </c>
      <c r="H107" s="735">
        <v>0.50756731512721964</v>
      </c>
      <c r="I107" s="735">
        <v>0.50756731512721964</v>
      </c>
      <c r="J107" s="15" t="s">
        <v>2503</v>
      </c>
      <c r="K107" s="142">
        <v>0.84854496888602304</v>
      </c>
      <c r="L107" t="b">
        <f t="shared" si="2"/>
        <v>1</v>
      </c>
    </row>
    <row r="108" spans="1:12" ht="11.25">
      <c r="B108" t="s">
        <v>3083</v>
      </c>
      <c r="C108" t="s">
        <v>173</v>
      </c>
      <c r="D108" s="14"/>
      <c r="E108" s="734">
        <v>0.82962264150943399</v>
      </c>
      <c r="F108" s="735">
        <v>0.82962264150943399</v>
      </c>
      <c r="G108" s="735">
        <v>0.82962264150943399</v>
      </c>
      <c r="H108" s="735">
        <v>0.82962264150943399</v>
      </c>
      <c r="I108" s="735">
        <v>0.82962264150943399</v>
      </c>
      <c r="J108" t="s">
        <v>4017</v>
      </c>
      <c r="K108" s="142">
        <v>1.3444117647058824</v>
      </c>
      <c r="L108" t="b">
        <f t="shared" si="2"/>
        <v>1</v>
      </c>
    </row>
    <row r="109" spans="1:12" ht="11.25">
      <c r="B109" t="s">
        <v>3084</v>
      </c>
      <c r="C109" t="s">
        <v>173</v>
      </c>
      <c r="D109" s="14"/>
      <c r="E109" s="734">
        <v>0.86962732919254659</v>
      </c>
      <c r="F109" s="735">
        <v>0.86962732919254659</v>
      </c>
      <c r="G109" s="735">
        <v>0.86962732919254659</v>
      </c>
      <c r="H109" s="735">
        <v>0.86962732919254659</v>
      </c>
      <c r="I109" s="735">
        <v>0.86962732919254659</v>
      </c>
      <c r="J109" t="s">
        <v>4018</v>
      </c>
      <c r="K109" s="142">
        <v>0.90466292134831461</v>
      </c>
      <c r="L109" t="b">
        <f t="shared" si="2"/>
        <v>1</v>
      </c>
    </row>
    <row r="110" spans="1:12" ht="11.25">
      <c r="B110" t="s">
        <v>3085</v>
      </c>
      <c r="C110" t="s">
        <v>173</v>
      </c>
      <c r="D110" s="14"/>
      <c r="E110" s="734">
        <v>0.68100358422939067</v>
      </c>
      <c r="F110" s="735">
        <v>0.68100358422939067</v>
      </c>
      <c r="G110" s="735">
        <v>0.68100358422939067</v>
      </c>
      <c r="H110" s="735">
        <v>0.68100358422939067</v>
      </c>
      <c r="I110" s="735">
        <v>0.68100358422939067</v>
      </c>
      <c r="J110" t="s">
        <v>4019</v>
      </c>
      <c r="K110" s="142">
        <v>0.80321503131524008</v>
      </c>
      <c r="L110" t="b">
        <f t="shared" si="2"/>
        <v>1</v>
      </c>
    </row>
    <row r="111" spans="1:12" ht="11.25">
      <c r="D111" s="14"/>
      <c r="E111" s="734"/>
      <c r="F111" s="735"/>
      <c r="G111" s="735"/>
      <c r="H111" s="735"/>
      <c r="I111" s="735"/>
      <c r="J111" s="15"/>
      <c r="K111" s="142"/>
      <c r="L111" t="b">
        <f t="shared" si="2"/>
        <v>1</v>
      </c>
    </row>
    <row r="112" spans="1:12" ht="11.25">
      <c r="A112" s="2" t="s">
        <v>2677</v>
      </c>
      <c r="D112" s="14"/>
      <c r="E112" s="730"/>
      <c r="F112" s="731"/>
      <c r="G112" s="731"/>
      <c r="H112" s="731"/>
      <c r="I112" s="731"/>
      <c r="K112" s="69"/>
      <c r="L112" t="b">
        <f t="shared" ref="L112:L125" si="3">MAX(E112:I112)=MIN(E112:I112)</f>
        <v>1</v>
      </c>
    </row>
    <row r="113" spans="1:12" ht="11.25">
      <c r="A113" s="2"/>
      <c r="B113" t="s">
        <v>2022</v>
      </c>
      <c r="D113" s="14"/>
      <c r="E113" s="730"/>
      <c r="F113" s="731"/>
      <c r="G113" s="731"/>
      <c r="H113" s="731"/>
      <c r="I113" s="731"/>
      <c r="K113" s="69"/>
      <c r="L113" t="b">
        <f t="shared" si="3"/>
        <v>1</v>
      </c>
    </row>
    <row r="114" spans="1:12" ht="11.25">
      <c r="A114" s="2"/>
      <c r="C114" t="s">
        <v>4253</v>
      </c>
      <c r="D114" s="14"/>
      <c r="E114" s="734">
        <v>0.25850738608200485</v>
      </c>
      <c r="F114" s="735">
        <v>0.25850738608200485</v>
      </c>
      <c r="G114" s="735">
        <v>0.25850738608200485</v>
      </c>
      <c r="H114" s="735">
        <v>0.25850738608200485</v>
      </c>
      <c r="I114" s="735">
        <v>0.25850738608200485</v>
      </c>
      <c r="J114" s="15" t="s">
        <v>1020</v>
      </c>
      <c r="K114" s="142">
        <v>0.85642857142857154</v>
      </c>
      <c r="L114" t="b">
        <f t="shared" si="3"/>
        <v>1</v>
      </c>
    </row>
    <row r="115" spans="1:12" ht="11.25">
      <c r="A115" s="2"/>
      <c r="C115" t="s">
        <v>1593</v>
      </c>
      <c r="D115" s="14"/>
      <c r="E115" s="734">
        <v>0.31111111111111112</v>
      </c>
      <c r="F115" s="735">
        <v>0.31111111111111112</v>
      </c>
      <c r="G115" s="735">
        <v>0.31111111111111112</v>
      </c>
      <c r="H115" s="735">
        <v>0.31111111111111112</v>
      </c>
      <c r="I115" s="735">
        <v>0.31111111111111112</v>
      </c>
      <c r="J115" s="15" t="s">
        <v>1021</v>
      </c>
      <c r="K115" s="142">
        <v>0.19636363636363635</v>
      </c>
      <c r="L115" t="b">
        <f t="shared" si="3"/>
        <v>1</v>
      </c>
    </row>
    <row r="116" spans="1:12" ht="11.25">
      <c r="A116" s="2"/>
      <c r="B116" t="s">
        <v>3861</v>
      </c>
      <c r="D116" s="14"/>
      <c r="E116" s="734"/>
      <c r="F116" s="735"/>
      <c r="G116" s="735"/>
      <c r="H116" s="735"/>
      <c r="I116" s="735"/>
      <c r="J116" s="15"/>
      <c r="K116" s="142"/>
      <c r="L116" t="b">
        <f t="shared" si="3"/>
        <v>1</v>
      </c>
    </row>
    <row r="117" spans="1:12" ht="11.25">
      <c r="A117" s="2"/>
      <c r="C117" t="s">
        <v>4253</v>
      </c>
      <c r="D117" s="14"/>
      <c r="E117" s="734">
        <v>0.69148936170212771</v>
      </c>
      <c r="F117" s="735">
        <v>0.69148936170212771</v>
      </c>
      <c r="G117" s="735">
        <v>0.69148936170212771</v>
      </c>
      <c r="H117" s="735">
        <v>0.69148936170212771</v>
      </c>
      <c r="I117" s="735">
        <v>0.69148936170212771</v>
      </c>
      <c r="J117" s="15" t="s">
        <v>1022</v>
      </c>
      <c r="K117" s="142">
        <v>0.91654596100278563</v>
      </c>
      <c r="L117" t="b">
        <f t="shared" si="3"/>
        <v>1</v>
      </c>
    </row>
    <row r="118" spans="1:12" ht="11.25">
      <c r="A118" s="2"/>
      <c r="C118" t="s">
        <v>1593</v>
      </c>
      <c r="D118" s="14"/>
      <c r="E118" s="734">
        <v>0.32111111111111112</v>
      </c>
      <c r="F118" s="735">
        <v>0.32111111111111112</v>
      </c>
      <c r="G118" s="735">
        <v>0.32111111111111112</v>
      </c>
      <c r="H118" s="735">
        <v>0.32111111111111112</v>
      </c>
      <c r="I118" s="735">
        <v>0.32111111111111112</v>
      </c>
      <c r="J118" s="15" t="s">
        <v>1023</v>
      </c>
      <c r="K118" s="142">
        <v>0.24947368421052635</v>
      </c>
      <c r="L118" t="b">
        <f t="shared" si="3"/>
        <v>1</v>
      </c>
    </row>
    <row r="119" spans="1:12" ht="11.25">
      <c r="A119" s="2"/>
      <c r="B119" t="s">
        <v>3860</v>
      </c>
      <c r="D119" s="14"/>
      <c r="E119" s="734"/>
      <c r="F119" s="735"/>
      <c r="G119" s="735"/>
      <c r="H119" s="735"/>
      <c r="I119" s="735"/>
      <c r="J119" s="15"/>
      <c r="K119" s="142"/>
      <c r="L119" t="b">
        <f t="shared" si="3"/>
        <v>1</v>
      </c>
    </row>
    <row r="120" spans="1:12" ht="11.25">
      <c r="C120" t="s">
        <v>4253</v>
      </c>
      <c r="D120" s="14"/>
      <c r="E120" s="734">
        <v>0.68101030927835049</v>
      </c>
      <c r="F120" s="735">
        <v>0.68101030927835049</v>
      </c>
      <c r="G120" s="735">
        <v>0.68101030927835049</v>
      </c>
      <c r="H120" s="735">
        <v>0.68101030927835049</v>
      </c>
      <c r="I120" s="735">
        <v>0.68101030927835049</v>
      </c>
      <c r="J120" s="15" t="s">
        <v>1024</v>
      </c>
      <c r="K120" s="142">
        <v>0.71173913043478265</v>
      </c>
      <c r="L120" t="b">
        <f t="shared" si="3"/>
        <v>1</v>
      </c>
    </row>
    <row r="121" spans="1:12" ht="11.25">
      <c r="C121" t="s">
        <v>1593</v>
      </c>
      <c r="D121" s="14"/>
      <c r="E121" s="734">
        <v>0.24529411764705883</v>
      </c>
      <c r="F121" s="735">
        <v>0.24529411764705883</v>
      </c>
      <c r="G121" s="735">
        <v>0.24529411764705883</v>
      </c>
      <c r="H121" s="735">
        <v>0.24529411764705883</v>
      </c>
      <c r="I121" s="735">
        <v>0.24529411764705883</v>
      </c>
      <c r="J121" s="15" t="s">
        <v>1025</v>
      </c>
      <c r="K121" s="142">
        <v>0.17249999999999999</v>
      </c>
      <c r="L121" t="b">
        <f t="shared" si="3"/>
        <v>1</v>
      </c>
    </row>
    <row r="122" spans="1:12" ht="11.25">
      <c r="B122" t="s">
        <v>4068</v>
      </c>
      <c r="D122" s="14"/>
      <c r="E122" s="734"/>
      <c r="F122" s="735"/>
      <c r="G122" s="735"/>
      <c r="H122" s="735"/>
      <c r="I122" s="735"/>
      <c r="J122" s="15"/>
      <c r="K122" s="142"/>
      <c r="L122" t="b">
        <f t="shared" si="3"/>
        <v>1</v>
      </c>
    </row>
    <row r="123" spans="1:12" ht="11.25">
      <c r="C123" t="s">
        <v>4253</v>
      </c>
      <c r="D123" s="14"/>
      <c r="E123" s="734">
        <v>0.57967741935483874</v>
      </c>
      <c r="F123" s="735">
        <v>0.57967741935483874</v>
      </c>
      <c r="G123" s="735">
        <v>0.57967741935483874</v>
      </c>
      <c r="H123" s="735">
        <v>0.57967741935483874</v>
      </c>
      <c r="I123" s="735">
        <v>0.57967741935483874</v>
      </c>
      <c r="J123" s="15" t="s">
        <v>1026</v>
      </c>
      <c r="K123" s="142">
        <v>0.6779310344827586</v>
      </c>
      <c r="L123" t="b">
        <f t="shared" si="3"/>
        <v>1</v>
      </c>
    </row>
    <row r="124" spans="1:12" ht="11.25">
      <c r="C124" t="s">
        <v>1593</v>
      </c>
      <c r="D124" s="14"/>
      <c r="E124" s="734">
        <v>0.23499999999999996</v>
      </c>
      <c r="F124" s="735">
        <v>0.23499999999999996</v>
      </c>
      <c r="G124" s="735">
        <v>0.23499999999999996</v>
      </c>
      <c r="H124" s="735">
        <v>0.23499999999999996</v>
      </c>
      <c r="I124" s="735">
        <v>0.23499999999999996</v>
      </c>
      <c r="J124" s="15" t="s">
        <v>1027</v>
      </c>
      <c r="K124" s="142">
        <v>6.4545454545454545E-2</v>
      </c>
      <c r="L124" t="b">
        <f t="shared" si="3"/>
        <v>1</v>
      </c>
    </row>
    <row r="125" spans="1:12" ht="11.25">
      <c r="B125" t="s">
        <v>4267</v>
      </c>
      <c r="D125" s="14"/>
      <c r="E125" s="734">
        <v>0.50756731512721964</v>
      </c>
      <c r="F125" s="735">
        <v>0.50756731512721964</v>
      </c>
      <c r="G125" s="735">
        <v>0.50756731512721964</v>
      </c>
      <c r="H125" s="735">
        <v>0.50756731512721964</v>
      </c>
      <c r="I125" s="735">
        <v>0.50756731512721964</v>
      </c>
      <c r="J125" s="15" t="s">
        <v>1028</v>
      </c>
      <c r="K125" s="142">
        <v>0.84854496888602304</v>
      </c>
      <c r="L125" t="b">
        <f t="shared" si="3"/>
        <v>1</v>
      </c>
    </row>
    <row r="126" spans="1:12" ht="11.25">
      <c r="D126" s="14"/>
      <c r="E126" s="734"/>
      <c r="F126" s="735"/>
      <c r="G126" s="735"/>
      <c r="H126" s="735"/>
      <c r="I126" s="735"/>
      <c r="J126" s="15"/>
      <c r="K126" s="142"/>
      <c r="L126" t="b">
        <f t="shared" si="2"/>
        <v>1</v>
      </c>
    </row>
    <row r="127" spans="1:12" ht="11.25">
      <c r="A127" s="2" t="s">
        <v>159</v>
      </c>
      <c r="D127" s="14"/>
      <c r="E127" s="734"/>
      <c r="F127" s="735"/>
      <c r="G127" s="735"/>
      <c r="H127" s="735"/>
      <c r="I127" s="735"/>
      <c r="J127" s="15"/>
      <c r="K127" s="142"/>
      <c r="L127" t="b">
        <f t="shared" si="2"/>
        <v>1</v>
      </c>
    </row>
    <row r="128" spans="1:12" ht="11.25">
      <c r="C128" t="s">
        <v>4253</v>
      </c>
      <c r="D128" s="14"/>
      <c r="E128" s="734">
        <v>0.73252044609665423</v>
      </c>
      <c r="F128" s="735">
        <v>0.73252044609665423</v>
      </c>
      <c r="G128" s="735">
        <v>0.73252044609665423</v>
      </c>
      <c r="H128" s="735">
        <v>0.73252044609665423</v>
      </c>
      <c r="I128" s="735">
        <v>0.73252044609665423</v>
      </c>
      <c r="J128" t="s">
        <v>3138</v>
      </c>
      <c r="K128" s="142">
        <v>0.82234930448222565</v>
      </c>
      <c r="L128" t="b">
        <f t="shared" si="2"/>
        <v>1</v>
      </c>
    </row>
    <row r="129" spans="1:12" ht="11.25">
      <c r="C129" t="s">
        <v>1593</v>
      </c>
      <c r="D129" s="14"/>
      <c r="E129" s="734">
        <v>0.25850738608200485</v>
      </c>
      <c r="F129" s="735">
        <v>0.25850738608200485</v>
      </c>
      <c r="G129" s="735">
        <v>0.25850738608200485</v>
      </c>
      <c r="H129" s="735">
        <v>0.25850738608200485</v>
      </c>
      <c r="I129" s="735">
        <v>0.25850738608200485</v>
      </c>
      <c r="J129" t="s">
        <v>3139</v>
      </c>
      <c r="K129" s="142">
        <v>0.85642857142857143</v>
      </c>
      <c r="L129" t="b">
        <f t="shared" si="2"/>
        <v>1</v>
      </c>
    </row>
    <row r="130" spans="1:12" ht="11.25">
      <c r="A130" s="2" t="s">
        <v>155</v>
      </c>
      <c r="D130" s="14"/>
      <c r="E130" s="734"/>
      <c r="F130" s="735"/>
      <c r="G130" s="735"/>
      <c r="H130" s="735"/>
      <c r="I130" s="735"/>
      <c r="K130" s="142"/>
      <c r="L130" t="b">
        <f t="shared" si="2"/>
        <v>1</v>
      </c>
    </row>
    <row r="131" spans="1:12" ht="11.25">
      <c r="C131" t="s">
        <v>4253</v>
      </c>
      <c r="D131" s="14"/>
      <c r="E131" s="734">
        <v>0.27333333333333332</v>
      </c>
      <c r="F131" s="735">
        <v>0.27333333333333332</v>
      </c>
      <c r="G131" s="735">
        <v>0.27333333333333332</v>
      </c>
      <c r="H131" s="735">
        <v>0.27333333333333332</v>
      </c>
      <c r="I131" s="735">
        <v>0.27333333333333332</v>
      </c>
      <c r="J131" t="s">
        <v>4498</v>
      </c>
      <c r="K131" s="142">
        <v>0.12489361702127659</v>
      </c>
      <c r="L131" t="b">
        <f t="shared" si="2"/>
        <v>1</v>
      </c>
    </row>
    <row r="132" spans="1:12" ht="11.25">
      <c r="C132" t="s">
        <v>1593</v>
      </c>
      <c r="E132" s="734">
        <v>0.31111111111111112</v>
      </c>
      <c r="F132" s="735">
        <v>0.31111111111111112</v>
      </c>
      <c r="G132" s="735">
        <v>0.31111111111111112</v>
      </c>
      <c r="H132" s="735">
        <v>0.31111111111111112</v>
      </c>
      <c r="I132" s="735">
        <v>0.31111111111111112</v>
      </c>
      <c r="J132" t="s">
        <v>4499</v>
      </c>
      <c r="K132" s="142">
        <v>0.19636363636363635</v>
      </c>
      <c r="L132" t="b">
        <f t="shared" si="2"/>
        <v>1</v>
      </c>
    </row>
    <row r="133" spans="1:12" ht="11.25">
      <c r="A133" s="2" t="s">
        <v>4500</v>
      </c>
      <c r="E133" s="734"/>
      <c r="F133" s="26"/>
      <c r="G133" s="26"/>
      <c r="H133" s="26"/>
      <c r="I133" s="26"/>
      <c r="K133" s="25"/>
      <c r="L133" t="b">
        <f t="shared" si="2"/>
        <v>1</v>
      </c>
    </row>
    <row r="134" spans="1:12" ht="11.25">
      <c r="B134" t="s">
        <v>5169</v>
      </c>
      <c r="E134" s="745">
        <v>40000</v>
      </c>
      <c r="F134" s="746">
        <v>40000</v>
      </c>
      <c r="G134" s="746">
        <v>40000</v>
      </c>
      <c r="H134" s="746">
        <v>40000</v>
      </c>
      <c r="I134" s="746">
        <v>40000</v>
      </c>
      <c r="J134" s="358" t="s">
        <v>3067</v>
      </c>
      <c r="K134" s="25">
        <v>40000</v>
      </c>
      <c r="L134" t="b">
        <f t="shared" si="2"/>
        <v>1</v>
      </c>
    </row>
    <row r="135" spans="1:12" ht="11.25">
      <c r="B135" t="s">
        <v>4705</v>
      </c>
      <c r="D135">
        <v>1.1000000000000001</v>
      </c>
      <c r="E135" s="745">
        <v>100000</v>
      </c>
      <c r="F135" s="746">
        <v>100000</v>
      </c>
      <c r="G135" s="746">
        <v>100000</v>
      </c>
      <c r="H135" s="746">
        <v>100000</v>
      </c>
      <c r="I135" s="746">
        <v>100000</v>
      </c>
      <c r="J135" s="358" t="s">
        <v>3068</v>
      </c>
      <c r="K135" s="373">
        <v>150000</v>
      </c>
      <c r="L135" t="b">
        <f t="shared" si="2"/>
        <v>1</v>
      </c>
    </row>
    <row r="136" spans="1:12" ht="11.25">
      <c r="B136" t="s">
        <v>4704</v>
      </c>
      <c r="E136" s="745">
        <v>150000</v>
      </c>
      <c r="F136" s="746">
        <v>150000</v>
      </c>
      <c r="G136" s="746">
        <v>150000</v>
      </c>
      <c r="H136" s="746">
        <v>150000</v>
      </c>
      <c r="I136" s="746">
        <v>150000</v>
      </c>
      <c r="J136" s="358" t="s">
        <v>3069</v>
      </c>
      <c r="K136" s="373">
        <v>200000</v>
      </c>
      <c r="L136" t="b">
        <f t="shared" si="2"/>
        <v>1</v>
      </c>
    </row>
    <row r="137" spans="1:12" ht="11.25">
      <c r="B137" t="s">
        <v>4703</v>
      </c>
      <c r="E137" s="745">
        <v>300000</v>
      </c>
      <c r="F137" s="746">
        <v>300000</v>
      </c>
      <c r="G137" s="746">
        <v>300000</v>
      </c>
      <c r="H137" s="746">
        <v>300000</v>
      </c>
      <c r="I137" s="746">
        <v>300000</v>
      </c>
      <c r="J137" s="358" t="s">
        <v>3070</v>
      </c>
      <c r="K137" s="373">
        <v>300000</v>
      </c>
      <c r="L137" t="b">
        <f t="shared" si="2"/>
        <v>1</v>
      </c>
    </row>
    <row r="138" spans="1:12" ht="11.25">
      <c r="E138" s="734"/>
      <c r="F138" s="737"/>
      <c r="G138" s="737"/>
      <c r="H138" s="737"/>
      <c r="I138" s="737"/>
      <c r="K138" s="373"/>
      <c r="L138" t="b">
        <f t="shared" si="2"/>
        <v>1</v>
      </c>
    </row>
    <row r="139" spans="1:12" ht="11.25">
      <c r="A139" s="2" t="s">
        <v>3417</v>
      </c>
      <c r="E139" s="734"/>
      <c r="F139" s="26"/>
      <c r="G139" s="26"/>
      <c r="H139" s="26"/>
      <c r="I139" s="26"/>
      <c r="K139" s="25"/>
      <c r="L139" t="b">
        <f t="shared" si="2"/>
        <v>1</v>
      </c>
    </row>
    <row r="140" spans="1:12" ht="11.25">
      <c r="B140" t="s">
        <v>708</v>
      </c>
      <c r="E140" s="738">
        <v>6</v>
      </c>
      <c r="F140" s="360">
        <v>6</v>
      </c>
      <c r="G140" s="360">
        <v>6</v>
      </c>
      <c r="H140" s="360">
        <v>6</v>
      </c>
      <c r="I140" s="360">
        <v>6</v>
      </c>
      <c r="J140" s="361" t="s">
        <v>3415</v>
      </c>
      <c r="K140" s="362">
        <v>3</v>
      </c>
      <c r="L140" t="b">
        <f t="shared" si="2"/>
        <v>1</v>
      </c>
    </row>
    <row r="141" spans="1:12" ht="11.25">
      <c r="C141" t="s">
        <v>946</v>
      </c>
      <c r="E141" s="738">
        <v>2</v>
      </c>
      <c r="F141" s="360">
        <v>2</v>
      </c>
      <c r="G141" s="360">
        <v>2</v>
      </c>
      <c r="H141" s="360">
        <v>2</v>
      </c>
      <c r="I141" s="360">
        <v>2</v>
      </c>
      <c r="J141" s="361" t="s">
        <v>1930</v>
      </c>
      <c r="K141" s="362">
        <v>1</v>
      </c>
      <c r="L141" t="b">
        <f t="shared" si="2"/>
        <v>1</v>
      </c>
    </row>
    <row r="142" spans="1:12" ht="11.25">
      <c r="C142" t="s">
        <v>947</v>
      </c>
      <c r="E142" s="738">
        <v>3</v>
      </c>
      <c r="F142" s="360">
        <v>3</v>
      </c>
      <c r="G142" s="360">
        <v>3</v>
      </c>
      <c r="H142" s="360">
        <v>3</v>
      </c>
      <c r="I142" s="360">
        <v>3</v>
      </c>
      <c r="J142" s="361" t="s">
        <v>2506</v>
      </c>
      <c r="K142" s="362">
        <v>1</v>
      </c>
      <c r="L142" t="b">
        <f t="shared" si="2"/>
        <v>1</v>
      </c>
    </row>
    <row r="143" spans="1:12" ht="11.25">
      <c r="C143" t="s">
        <v>948</v>
      </c>
      <c r="E143" s="738">
        <v>1</v>
      </c>
      <c r="F143" s="360">
        <v>1</v>
      </c>
      <c r="G143" s="360">
        <v>1</v>
      </c>
      <c r="H143" s="360">
        <v>1</v>
      </c>
      <c r="I143" s="360">
        <v>1</v>
      </c>
      <c r="J143" s="361" t="s">
        <v>2507</v>
      </c>
      <c r="K143" s="362">
        <v>1</v>
      </c>
      <c r="L143" t="b">
        <f t="shared" si="2"/>
        <v>1</v>
      </c>
    </row>
    <row r="144" spans="1:12" ht="11.25">
      <c r="B144" t="s">
        <v>709</v>
      </c>
      <c r="E144" s="738">
        <v>3</v>
      </c>
      <c r="F144" s="360">
        <v>3</v>
      </c>
      <c r="G144" s="360">
        <v>3</v>
      </c>
      <c r="H144" s="360">
        <v>3</v>
      </c>
      <c r="I144" s="360">
        <v>3</v>
      </c>
      <c r="J144" s="361" t="s">
        <v>710</v>
      </c>
      <c r="K144" s="25">
        <v>1</v>
      </c>
      <c r="L144" t="b">
        <f t="shared" si="2"/>
        <v>1</v>
      </c>
    </row>
    <row r="145" spans="1:15" ht="11.25">
      <c r="A145" s="2" t="s">
        <v>4701</v>
      </c>
      <c r="E145" s="734"/>
      <c r="F145" s="26"/>
      <c r="G145" s="26"/>
      <c r="H145" s="26"/>
      <c r="I145" s="26"/>
      <c r="K145" s="25"/>
      <c r="L145" t="b">
        <f>MAX(E145:I145)=MIN(E145:I145)</f>
        <v>1</v>
      </c>
    </row>
    <row r="146" spans="1:15" ht="11.25">
      <c r="C146" t="s">
        <v>946</v>
      </c>
      <c r="E146" s="734">
        <v>1</v>
      </c>
      <c r="F146" s="357">
        <v>1</v>
      </c>
      <c r="G146" s="357">
        <v>1</v>
      </c>
      <c r="H146" s="357">
        <v>1</v>
      </c>
      <c r="I146" s="357">
        <v>1</v>
      </c>
      <c r="J146" s="361" t="s">
        <v>4740</v>
      </c>
      <c r="K146" s="362">
        <v>1</v>
      </c>
      <c r="L146" t="b">
        <f>MAX(E146:I146)=MIN(E146:I146)</f>
        <v>1</v>
      </c>
    </row>
    <row r="147" spans="1:15" ht="11.25">
      <c r="C147" t="s">
        <v>947</v>
      </c>
      <c r="E147" s="734">
        <v>1</v>
      </c>
      <c r="F147" s="357">
        <v>1</v>
      </c>
      <c r="G147" s="357">
        <v>1</v>
      </c>
      <c r="H147" s="357">
        <v>1</v>
      </c>
      <c r="I147" s="357">
        <v>1</v>
      </c>
      <c r="J147" s="361" t="s">
        <v>4741</v>
      </c>
      <c r="K147" s="362">
        <v>1</v>
      </c>
      <c r="L147" t="b">
        <f>MAX(E147:I147)=MIN(E147:I147)</f>
        <v>1</v>
      </c>
    </row>
    <row r="148" spans="1:15" ht="11.25">
      <c r="C148" t="s">
        <v>948</v>
      </c>
      <c r="E148" s="734">
        <v>1</v>
      </c>
      <c r="F148" s="357">
        <v>1</v>
      </c>
      <c r="G148" s="357">
        <v>1</v>
      </c>
      <c r="H148" s="357">
        <v>1</v>
      </c>
      <c r="I148" s="357">
        <v>1</v>
      </c>
      <c r="J148" s="361" t="s">
        <v>4742</v>
      </c>
      <c r="K148" s="362">
        <v>1</v>
      </c>
      <c r="L148" t="b">
        <f>MAX(E148:I148)=MIN(E148:I148)</f>
        <v>1</v>
      </c>
    </row>
    <row r="149" spans="1:15" ht="11.25">
      <c r="A149" s="2" t="s">
        <v>4006</v>
      </c>
      <c r="C149" s="2"/>
      <c r="E149" s="734"/>
      <c r="F149" s="26"/>
      <c r="G149" s="26"/>
      <c r="H149" s="26"/>
      <c r="I149" s="26"/>
      <c r="K149" s="25"/>
      <c r="L149" t="b">
        <f t="shared" si="2"/>
        <v>1</v>
      </c>
      <c r="M149" s="2"/>
      <c r="O149" s="2"/>
    </row>
    <row r="150" spans="1:15" ht="11.25">
      <c r="B150" t="s">
        <v>2022</v>
      </c>
      <c r="E150" s="738">
        <v>120</v>
      </c>
      <c r="F150" s="360">
        <v>120</v>
      </c>
      <c r="G150" s="360">
        <v>120</v>
      </c>
      <c r="H150" s="360">
        <v>120</v>
      </c>
      <c r="I150" s="360">
        <v>120</v>
      </c>
      <c r="J150" t="s">
        <v>903</v>
      </c>
      <c r="K150" s="25">
        <v>120</v>
      </c>
      <c r="L150" t="b">
        <f t="shared" si="2"/>
        <v>1</v>
      </c>
    </row>
    <row r="151" spans="1:15" ht="11.25">
      <c r="B151" t="s">
        <v>3861</v>
      </c>
      <c r="E151" s="738">
        <v>120</v>
      </c>
      <c r="F151" s="360">
        <v>120</v>
      </c>
      <c r="G151" s="360">
        <v>120</v>
      </c>
      <c r="H151" s="360">
        <v>120</v>
      </c>
      <c r="I151" s="360">
        <v>120</v>
      </c>
      <c r="J151" t="s">
        <v>904</v>
      </c>
      <c r="K151" s="25">
        <v>120</v>
      </c>
      <c r="L151" t="b">
        <f t="shared" si="2"/>
        <v>1</v>
      </c>
    </row>
    <row r="152" spans="1:15" ht="11.25">
      <c r="B152" t="s">
        <v>3860</v>
      </c>
      <c r="E152" s="738">
        <v>120</v>
      </c>
      <c r="F152" s="360">
        <v>120</v>
      </c>
      <c r="G152" s="360">
        <v>120</v>
      </c>
      <c r="H152" s="360">
        <v>120</v>
      </c>
      <c r="I152" s="360">
        <v>120</v>
      </c>
      <c r="J152" t="s">
        <v>905</v>
      </c>
      <c r="K152" s="25">
        <v>120</v>
      </c>
      <c r="L152" t="b">
        <f t="shared" si="2"/>
        <v>1</v>
      </c>
    </row>
    <row r="153" spans="1:15" ht="11.25">
      <c r="B153" t="s">
        <v>3071</v>
      </c>
      <c r="E153" s="738">
        <v>80</v>
      </c>
      <c r="F153" s="360">
        <v>80</v>
      </c>
      <c r="G153" s="360">
        <v>80</v>
      </c>
      <c r="H153" s="360">
        <v>80</v>
      </c>
      <c r="I153" s="360">
        <v>80</v>
      </c>
      <c r="J153" t="s">
        <v>906</v>
      </c>
      <c r="K153" s="25">
        <v>80</v>
      </c>
      <c r="L153" t="b">
        <f t="shared" si="2"/>
        <v>1</v>
      </c>
    </row>
    <row r="154" spans="1:15" ht="11.25">
      <c r="B154" t="s">
        <v>4267</v>
      </c>
      <c r="E154" s="738">
        <v>120</v>
      </c>
      <c r="F154" s="360">
        <v>120</v>
      </c>
      <c r="G154" s="360">
        <v>120</v>
      </c>
      <c r="H154" s="360">
        <v>120</v>
      </c>
      <c r="I154" s="360">
        <v>120</v>
      </c>
      <c r="J154" t="s">
        <v>3652</v>
      </c>
      <c r="K154" s="25">
        <v>120</v>
      </c>
      <c r="L154" t="b">
        <f t="shared" si="2"/>
        <v>1</v>
      </c>
    </row>
    <row r="155" spans="1:15" ht="11.25">
      <c r="B155" t="s">
        <v>1340</v>
      </c>
      <c r="E155" s="730">
        <v>560</v>
      </c>
      <c r="F155" s="360">
        <v>560</v>
      </c>
      <c r="G155" s="360">
        <v>560</v>
      </c>
      <c r="H155" s="360">
        <v>560</v>
      </c>
      <c r="I155" s="360">
        <v>560</v>
      </c>
      <c r="J155" t="s">
        <v>3653</v>
      </c>
      <c r="K155" s="25">
        <v>560</v>
      </c>
      <c r="L155" t="b">
        <f t="shared" si="2"/>
        <v>1</v>
      </c>
    </row>
    <row r="156" spans="1:15" ht="11.25">
      <c r="A156" s="2" t="s">
        <v>960</v>
      </c>
      <c r="E156" s="734"/>
      <c r="F156" s="26"/>
      <c r="G156" s="26"/>
      <c r="H156" s="26"/>
      <c r="I156" s="26"/>
      <c r="K156" s="25"/>
      <c r="L156" t="b">
        <f t="shared" si="2"/>
        <v>1</v>
      </c>
    </row>
    <row r="157" spans="1:15" ht="11.25">
      <c r="B157" t="s">
        <v>2022</v>
      </c>
      <c r="E157" s="738">
        <v>80</v>
      </c>
      <c r="F157" s="360">
        <v>80</v>
      </c>
      <c r="G157" s="360">
        <v>80</v>
      </c>
      <c r="H157" s="360">
        <v>80</v>
      </c>
      <c r="I157" s="360">
        <v>80</v>
      </c>
      <c r="J157" t="s">
        <v>961</v>
      </c>
      <c r="K157" s="25">
        <v>0</v>
      </c>
      <c r="L157" t="b">
        <f t="shared" si="2"/>
        <v>1</v>
      </c>
    </row>
    <row r="158" spans="1:15" ht="11.25">
      <c r="B158" t="s">
        <v>3861</v>
      </c>
      <c r="E158" s="738">
        <v>120</v>
      </c>
      <c r="F158" s="360">
        <v>120</v>
      </c>
      <c r="G158" s="360">
        <v>120</v>
      </c>
      <c r="H158" s="360">
        <v>120</v>
      </c>
      <c r="I158" s="360">
        <v>120</v>
      </c>
      <c r="J158" t="s">
        <v>962</v>
      </c>
      <c r="K158" s="25">
        <v>0</v>
      </c>
      <c r="L158" t="b">
        <f t="shared" si="2"/>
        <v>1</v>
      </c>
    </row>
    <row r="159" spans="1:15" ht="11.25">
      <c r="B159" t="s">
        <v>3860</v>
      </c>
      <c r="E159" s="738">
        <v>120</v>
      </c>
      <c r="F159" s="360">
        <v>120</v>
      </c>
      <c r="G159" s="360">
        <v>120</v>
      </c>
      <c r="H159" s="360">
        <v>120</v>
      </c>
      <c r="I159" s="360">
        <v>120</v>
      </c>
      <c r="J159" t="s">
        <v>963</v>
      </c>
      <c r="K159" s="25">
        <v>0</v>
      </c>
      <c r="L159" t="b">
        <f t="shared" si="2"/>
        <v>1</v>
      </c>
    </row>
    <row r="160" spans="1:15" ht="11.25">
      <c r="B160" t="s">
        <v>3071</v>
      </c>
      <c r="E160" s="738">
        <v>80</v>
      </c>
      <c r="F160" s="360">
        <v>80</v>
      </c>
      <c r="G160" s="360">
        <v>80</v>
      </c>
      <c r="H160" s="360">
        <v>80</v>
      </c>
      <c r="I160" s="360">
        <v>80</v>
      </c>
      <c r="J160" t="s">
        <v>964</v>
      </c>
      <c r="K160" s="25">
        <v>0</v>
      </c>
      <c r="L160" t="b">
        <f t="shared" si="2"/>
        <v>1</v>
      </c>
    </row>
    <row r="161" spans="1:13" ht="11.25">
      <c r="B161" t="s">
        <v>4267</v>
      </c>
      <c r="E161" s="738">
        <v>120</v>
      </c>
      <c r="F161" s="360">
        <v>120</v>
      </c>
      <c r="G161" s="360">
        <v>120</v>
      </c>
      <c r="H161" s="360">
        <v>120</v>
      </c>
      <c r="I161" s="360">
        <v>120</v>
      </c>
      <c r="J161" t="s">
        <v>1810</v>
      </c>
      <c r="K161" s="25">
        <v>0</v>
      </c>
      <c r="L161" t="b">
        <f t="shared" si="2"/>
        <v>1</v>
      </c>
    </row>
    <row r="162" spans="1:13" ht="11.25">
      <c r="B162" t="s">
        <v>1340</v>
      </c>
      <c r="E162" s="730">
        <v>520</v>
      </c>
      <c r="F162" s="360">
        <v>520</v>
      </c>
      <c r="G162" s="360">
        <v>520</v>
      </c>
      <c r="H162" s="360">
        <v>520</v>
      </c>
      <c r="I162" s="360">
        <v>520</v>
      </c>
      <c r="J162" t="s">
        <v>4005</v>
      </c>
      <c r="K162" s="25">
        <v>0</v>
      </c>
      <c r="L162" t="b">
        <f t="shared" si="2"/>
        <v>1</v>
      </c>
    </row>
    <row r="163" spans="1:13" ht="11.25">
      <c r="A163" s="2" t="s">
        <v>3654</v>
      </c>
      <c r="E163" s="730">
        <v>0</v>
      </c>
      <c r="F163" s="360">
        <v>0</v>
      </c>
      <c r="G163" s="360">
        <v>0</v>
      </c>
      <c r="H163" s="360">
        <v>0</v>
      </c>
      <c r="I163" s="360">
        <v>0</v>
      </c>
      <c r="J163" t="s">
        <v>3655</v>
      </c>
      <c r="K163" s="25">
        <v>0</v>
      </c>
      <c r="L163" t="b">
        <f t="shared" si="2"/>
        <v>1</v>
      </c>
    </row>
    <row r="164" spans="1:13" ht="11.25">
      <c r="A164" s="2" t="s">
        <v>582</v>
      </c>
      <c r="E164" s="730"/>
      <c r="F164" s="360"/>
      <c r="G164" s="360"/>
      <c r="H164" s="360"/>
      <c r="I164" s="360"/>
      <c r="K164" s="25"/>
      <c r="L164" t="b">
        <f t="shared" si="2"/>
        <v>1</v>
      </c>
    </row>
    <row r="165" spans="1:13" ht="11.25">
      <c r="A165" s="2"/>
      <c r="B165" t="s">
        <v>2022</v>
      </c>
      <c r="E165" s="730">
        <v>0</v>
      </c>
      <c r="F165" s="360">
        <v>0</v>
      </c>
      <c r="G165" s="360">
        <v>0</v>
      </c>
      <c r="H165" s="360">
        <v>0</v>
      </c>
      <c r="I165" s="360">
        <v>0</v>
      </c>
      <c r="J165" t="s">
        <v>2841</v>
      </c>
      <c r="K165" s="25">
        <v>-1</v>
      </c>
      <c r="L165" t="b">
        <f t="shared" si="2"/>
        <v>1</v>
      </c>
    </row>
    <row r="166" spans="1:13" ht="11.25">
      <c r="A166" s="2"/>
      <c r="B166" t="s">
        <v>3861</v>
      </c>
      <c r="E166" s="730">
        <v>0</v>
      </c>
      <c r="F166" s="360">
        <v>0</v>
      </c>
      <c r="G166" s="360">
        <v>0</v>
      </c>
      <c r="H166" s="360">
        <v>0</v>
      </c>
      <c r="I166" s="360">
        <v>0</v>
      </c>
      <c r="J166" t="s">
        <v>2842</v>
      </c>
      <c r="K166" s="25">
        <v>-1</v>
      </c>
      <c r="L166" t="b">
        <f t="shared" si="2"/>
        <v>1</v>
      </c>
    </row>
    <row r="167" spans="1:13" ht="11.25">
      <c r="A167" s="2"/>
      <c r="B167" t="s">
        <v>3860</v>
      </c>
      <c r="E167" s="730">
        <v>0</v>
      </c>
      <c r="F167" s="360">
        <v>0</v>
      </c>
      <c r="G167" s="360">
        <v>0</v>
      </c>
      <c r="H167" s="360">
        <v>0</v>
      </c>
      <c r="I167" s="360">
        <v>0</v>
      </c>
      <c r="J167" t="s">
        <v>2843</v>
      </c>
      <c r="K167" s="25">
        <v>-1</v>
      </c>
      <c r="L167" t="b">
        <f t="shared" si="2"/>
        <v>1</v>
      </c>
    </row>
    <row r="168" spans="1:13" ht="11.25">
      <c r="A168" s="2"/>
      <c r="B168" t="s">
        <v>3071</v>
      </c>
      <c r="E168" s="730">
        <v>0</v>
      </c>
      <c r="F168" s="360">
        <v>0</v>
      </c>
      <c r="G168" s="360">
        <v>0</v>
      </c>
      <c r="H168" s="360">
        <v>0</v>
      </c>
      <c r="I168" s="360">
        <v>0</v>
      </c>
      <c r="J168" t="s">
        <v>2844</v>
      </c>
      <c r="K168" s="25">
        <v>-1</v>
      </c>
      <c r="L168" t="b">
        <f t="shared" si="2"/>
        <v>1</v>
      </c>
    </row>
    <row r="169" spans="1:13" ht="11.25">
      <c r="A169" s="2"/>
      <c r="B169" t="s">
        <v>4267</v>
      </c>
      <c r="E169" s="730">
        <v>0</v>
      </c>
      <c r="F169" s="360">
        <v>0</v>
      </c>
      <c r="G169" s="360">
        <v>0</v>
      </c>
      <c r="H169" s="360">
        <v>0</v>
      </c>
      <c r="I169" s="360">
        <v>0</v>
      </c>
      <c r="J169" t="s">
        <v>2845</v>
      </c>
      <c r="K169" s="25">
        <v>-1</v>
      </c>
      <c r="L169" t="b">
        <f t="shared" si="2"/>
        <v>1</v>
      </c>
    </row>
    <row r="170" spans="1:13" ht="11.25">
      <c r="B170" t="s">
        <v>1340</v>
      </c>
      <c r="E170" s="730">
        <v>0</v>
      </c>
      <c r="F170" s="360">
        <v>0</v>
      </c>
      <c r="G170" s="360">
        <v>0</v>
      </c>
      <c r="H170" s="360">
        <v>0</v>
      </c>
      <c r="I170" s="360">
        <v>0</v>
      </c>
      <c r="J170" t="s">
        <v>3670</v>
      </c>
      <c r="K170" s="25">
        <v>-1</v>
      </c>
      <c r="L170" t="b">
        <f t="shared" si="2"/>
        <v>1</v>
      </c>
    </row>
    <row r="171" spans="1:13" ht="11.25">
      <c r="A171" s="2" t="s">
        <v>2474</v>
      </c>
      <c r="E171" s="734"/>
      <c r="F171" s="26"/>
      <c r="G171" s="26"/>
      <c r="H171" s="26"/>
      <c r="I171" s="26"/>
      <c r="K171" s="25"/>
      <c r="L171" t="b">
        <f t="shared" si="2"/>
        <v>1</v>
      </c>
    </row>
    <row r="172" spans="1:13" ht="11.25">
      <c r="B172" t="s">
        <v>2022</v>
      </c>
      <c r="D172" s="452">
        <f>120/E172</f>
        <v>0.12</v>
      </c>
      <c r="E172" s="739">
        <v>1000</v>
      </c>
      <c r="F172" s="740">
        <v>1000</v>
      </c>
      <c r="G172" s="740">
        <v>1000</v>
      </c>
      <c r="H172" s="740">
        <v>1000</v>
      </c>
      <c r="I172" s="740">
        <v>1000</v>
      </c>
      <c r="J172" s="387" t="s">
        <v>2480</v>
      </c>
      <c r="K172" s="388">
        <v>4250</v>
      </c>
      <c r="L172" t="b">
        <f t="shared" si="2"/>
        <v>1</v>
      </c>
      <c r="M172" s="387"/>
    </row>
    <row r="173" spans="1:13" ht="11.25">
      <c r="B173" t="s">
        <v>3861</v>
      </c>
      <c r="D173" s="452">
        <f>120/E173</f>
        <v>2.823529411764706E-2</v>
      </c>
      <c r="E173" s="739">
        <v>4250</v>
      </c>
      <c r="F173" s="740">
        <v>4250</v>
      </c>
      <c r="G173" s="740">
        <v>4250</v>
      </c>
      <c r="H173" s="740">
        <v>4250</v>
      </c>
      <c r="I173" s="740">
        <v>4250</v>
      </c>
      <c r="J173" s="387" t="s">
        <v>2481</v>
      </c>
      <c r="K173" s="388">
        <v>4250</v>
      </c>
      <c r="L173" t="b">
        <f t="shared" si="2"/>
        <v>1</v>
      </c>
    </row>
    <row r="174" spans="1:13" ht="11.25">
      <c r="B174" t="s">
        <v>3860</v>
      </c>
      <c r="D174" s="452">
        <f>120/E174</f>
        <v>2.823529411764706E-2</v>
      </c>
      <c r="E174" s="739">
        <v>4250</v>
      </c>
      <c r="F174" s="740">
        <v>4250</v>
      </c>
      <c r="G174" s="740">
        <v>4250</v>
      </c>
      <c r="H174" s="740">
        <v>4250</v>
      </c>
      <c r="I174" s="740">
        <v>4250</v>
      </c>
      <c r="J174" s="387" t="s">
        <v>2482</v>
      </c>
      <c r="K174" s="388">
        <v>4250</v>
      </c>
      <c r="L174" t="b">
        <f t="shared" si="2"/>
        <v>1</v>
      </c>
    </row>
    <row r="175" spans="1:13" ht="11.25">
      <c r="B175" t="s">
        <v>3071</v>
      </c>
      <c r="D175" s="452">
        <f>80/E175</f>
        <v>1.8823529411764704E-2</v>
      </c>
      <c r="E175" s="739">
        <v>4250</v>
      </c>
      <c r="F175" s="740">
        <v>4250</v>
      </c>
      <c r="G175" s="740">
        <v>4250</v>
      </c>
      <c r="H175" s="740">
        <v>4250</v>
      </c>
      <c r="I175" s="740">
        <v>4250</v>
      </c>
      <c r="J175" s="387" t="s">
        <v>2198</v>
      </c>
      <c r="K175" s="388">
        <v>1000</v>
      </c>
      <c r="L175" t="b">
        <f t="shared" si="2"/>
        <v>1</v>
      </c>
    </row>
    <row r="176" spans="1:13" ht="11.25">
      <c r="B176" t="s">
        <v>4267</v>
      </c>
      <c r="D176" s="452">
        <f>120/E176</f>
        <v>0.08</v>
      </c>
      <c r="E176" s="739">
        <v>1500</v>
      </c>
      <c r="F176" s="740">
        <v>1500</v>
      </c>
      <c r="G176" s="740">
        <v>1500</v>
      </c>
      <c r="H176" s="740">
        <v>1500</v>
      </c>
      <c r="I176" s="740">
        <v>1500</v>
      </c>
      <c r="J176" s="387" t="s">
        <v>2199</v>
      </c>
      <c r="K176" s="388">
        <v>1500</v>
      </c>
      <c r="L176" t="b">
        <f t="shared" si="2"/>
        <v>1</v>
      </c>
    </row>
    <row r="177" spans="1:12" ht="11.25">
      <c r="E177" s="734"/>
      <c r="F177" s="26"/>
      <c r="G177" s="26"/>
      <c r="H177" s="26"/>
      <c r="I177" s="26"/>
      <c r="K177" s="25"/>
      <c r="L177" t="b">
        <f t="shared" si="2"/>
        <v>1</v>
      </c>
    </row>
    <row r="178" spans="1:12" ht="11.25">
      <c r="A178" s="2" t="s">
        <v>174</v>
      </c>
      <c r="E178" s="734"/>
      <c r="F178" s="26"/>
      <c r="G178" s="26"/>
      <c r="H178" s="26"/>
      <c r="I178" s="26"/>
      <c r="K178" s="25"/>
      <c r="L178" t="b">
        <f t="shared" si="2"/>
        <v>1</v>
      </c>
    </row>
    <row r="179" spans="1:12" ht="11.25">
      <c r="B179" t="s">
        <v>2022</v>
      </c>
      <c r="E179" s="734">
        <v>360</v>
      </c>
      <c r="F179" s="26">
        <v>360</v>
      </c>
      <c r="G179" s="26">
        <v>360</v>
      </c>
      <c r="H179" s="26">
        <v>360</v>
      </c>
      <c r="I179" s="26">
        <v>360</v>
      </c>
      <c r="J179" t="s">
        <v>175</v>
      </c>
      <c r="K179" s="25">
        <v>240</v>
      </c>
      <c r="L179" t="b">
        <f t="shared" si="2"/>
        <v>1</v>
      </c>
    </row>
    <row r="180" spans="1:12" ht="11.25">
      <c r="B180" t="s">
        <v>3861</v>
      </c>
      <c r="E180" s="734">
        <v>360</v>
      </c>
      <c r="F180" s="26">
        <v>360</v>
      </c>
      <c r="G180" s="26">
        <v>360</v>
      </c>
      <c r="H180" s="26">
        <v>360</v>
      </c>
      <c r="I180" s="26">
        <v>360</v>
      </c>
      <c r="J180" t="s">
        <v>176</v>
      </c>
      <c r="K180" s="25">
        <v>240</v>
      </c>
      <c r="L180" t="b">
        <f t="shared" si="2"/>
        <v>1</v>
      </c>
    </row>
    <row r="181" spans="1:12" ht="11.25">
      <c r="B181" t="s">
        <v>3860</v>
      </c>
      <c r="E181" s="734">
        <v>360</v>
      </c>
      <c r="F181" s="26">
        <v>360</v>
      </c>
      <c r="G181" s="26">
        <v>360</v>
      </c>
      <c r="H181" s="26">
        <v>360</v>
      </c>
      <c r="I181" s="26">
        <v>360</v>
      </c>
      <c r="J181" t="s">
        <v>177</v>
      </c>
      <c r="K181" s="25">
        <v>240</v>
      </c>
      <c r="L181" t="b">
        <f t="shared" si="2"/>
        <v>1</v>
      </c>
    </row>
    <row r="182" spans="1:12" ht="11.25">
      <c r="B182" t="s">
        <v>3071</v>
      </c>
      <c r="E182" s="734">
        <v>240</v>
      </c>
      <c r="F182" s="26">
        <v>240</v>
      </c>
      <c r="G182" s="26">
        <v>240</v>
      </c>
      <c r="H182" s="26">
        <v>240</v>
      </c>
      <c r="I182" s="26">
        <v>240</v>
      </c>
      <c r="J182" t="s">
        <v>2274</v>
      </c>
      <c r="K182" s="25">
        <v>160</v>
      </c>
      <c r="L182" t="b">
        <f t="shared" si="2"/>
        <v>1</v>
      </c>
    </row>
    <row r="183" spans="1:12" ht="11.25">
      <c r="B183" t="s">
        <v>4267</v>
      </c>
      <c r="E183" s="734">
        <v>360</v>
      </c>
      <c r="F183" s="26">
        <v>360</v>
      </c>
      <c r="G183" s="26">
        <v>360</v>
      </c>
      <c r="H183" s="26">
        <v>360</v>
      </c>
      <c r="I183" s="26">
        <v>360</v>
      </c>
      <c r="J183" t="s">
        <v>2275</v>
      </c>
      <c r="K183" s="25">
        <v>240</v>
      </c>
      <c r="L183" t="b">
        <f t="shared" si="2"/>
        <v>1</v>
      </c>
    </row>
    <row r="184" spans="1:12" ht="11.25">
      <c r="E184" s="734"/>
      <c r="F184" s="26"/>
      <c r="G184" s="26"/>
      <c r="H184" s="26"/>
      <c r="I184" s="26"/>
      <c r="K184" s="25"/>
      <c r="L184" t="b">
        <f t="shared" si="2"/>
        <v>1</v>
      </c>
    </row>
    <row r="185" spans="1:12" ht="11.25">
      <c r="A185" s="2" t="s">
        <v>361</v>
      </c>
      <c r="E185" s="109"/>
      <c r="F185" s="26"/>
      <c r="G185" s="26"/>
      <c r="H185" s="26"/>
      <c r="I185" s="26"/>
      <c r="K185" s="25"/>
      <c r="L185" t="b">
        <f t="shared" si="2"/>
        <v>1</v>
      </c>
    </row>
    <row r="186" spans="1:12" ht="11.25">
      <c r="A186" s="2"/>
      <c r="B186" t="s">
        <v>2636</v>
      </c>
      <c r="D186" s="14">
        <f>cbal!E186</f>
        <v>5</v>
      </c>
      <c r="E186" s="741">
        <v>5</v>
      </c>
      <c r="F186" s="742">
        <v>5</v>
      </c>
      <c r="G186" s="742">
        <v>5</v>
      </c>
      <c r="H186" s="742">
        <v>5</v>
      </c>
      <c r="I186" s="742">
        <v>5</v>
      </c>
      <c r="J186" t="s">
        <v>2637</v>
      </c>
      <c r="K186" s="69">
        <v>5</v>
      </c>
      <c r="L186" t="b">
        <f t="shared" si="2"/>
        <v>1</v>
      </c>
    </row>
    <row r="187" spans="1:12" ht="11.25">
      <c r="B187" t="s">
        <v>2634</v>
      </c>
      <c r="D187" s="14">
        <f>cbal!E187</f>
        <v>10000000</v>
      </c>
      <c r="E187" s="730">
        <v>10000000</v>
      </c>
      <c r="F187" s="731">
        <v>10000000</v>
      </c>
      <c r="G187" s="731">
        <v>10000000</v>
      </c>
      <c r="H187" s="731">
        <v>10000000</v>
      </c>
      <c r="I187" s="731">
        <v>10000000</v>
      </c>
      <c r="J187" t="s">
        <v>2635</v>
      </c>
      <c r="K187" s="67">
        <v>10000000</v>
      </c>
      <c r="L187" t="b">
        <f t="shared" si="2"/>
        <v>1</v>
      </c>
    </row>
    <row r="188" spans="1:12" ht="11.25">
      <c r="E188" s="109"/>
      <c r="F188" s="26"/>
      <c r="G188" s="26"/>
      <c r="H188" s="26"/>
      <c r="I188" s="26"/>
      <c r="K188" s="25"/>
      <c r="L188" t="b">
        <f t="shared" si="2"/>
        <v>1</v>
      </c>
    </row>
    <row r="189" spans="1:12" ht="11.25">
      <c r="A189" s="2" t="s">
        <v>363</v>
      </c>
      <c r="E189" s="109"/>
      <c r="F189" s="26"/>
      <c r="G189" s="26"/>
      <c r="H189" s="26"/>
      <c r="I189" s="26"/>
      <c r="K189" s="25"/>
      <c r="L189" t="b">
        <f t="shared" si="2"/>
        <v>1</v>
      </c>
    </row>
    <row r="190" spans="1:12" ht="11.25">
      <c r="B190" t="s">
        <v>364</v>
      </c>
      <c r="D190" s="15">
        <f>cbal!E190</f>
        <v>0.64303124999999983</v>
      </c>
      <c r="E190" s="123">
        <v>0.75</v>
      </c>
      <c r="F190" s="126">
        <v>0.75</v>
      </c>
      <c r="G190" s="126">
        <v>0.75</v>
      </c>
      <c r="H190" s="126">
        <v>0.75</v>
      </c>
      <c r="I190" s="126">
        <v>0.75</v>
      </c>
      <c r="J190" t="s">
        <v>2638</v>
      </c>
      <c r="K190" s="142">
        <v>0.5</v>
      </c>
      <c r="L190" t="b">
        <f t="shared" si="2"/>
        <v>1</v>
      </c>
    </row>
    <row r="191" spans="1:12" ht="11.25">
      <c r="D191" s="15"/>
      <c r="E191" s="123"/>
      <c r="F191" s="126"/>
      <c r="G191" s="126"/>
      <c r="H191" s="126"/>
      <c r="I191" s="126"/>
      <c r="K191" s="142"/>
      <c r="L191" t="b">
        <f t="shared" si="2"/>
        <v>1</v>
      </c>
    </row>
    <row r="192" spans="1:12" ht="11.25">
      <c r="A192" s="2" t="s">
        <v>4778</v>
      </c>
      <c r="D192" s="15"/>
      <c r="E192" s="123"/>
      <c r="F192" s="126"/>
      <c r="G192" s="126"/>
      <c r="H192" s="126"/>
      <c r="I192" s="126"/>
      <c r="K192" s="142"/>
      <c r="L192" t="b">
        <f t="shared" si="2"/>
        <v>1</v>
      </c>
    </row>
    <row r="193" spans="1:12" ht="11.25">
      <c r="B193" t="s">
        <v>4927</v>
      </c>
      <c r="D193" s="15"/>
      <c r="E193" s="1024">
        <v>1</v>
      </c>
      <c r="F193" s="1025">
        <v>1</v>
      </c>
      <c r="G193" s="1025">
        <v>1</v>
      </c>
      <c r="H193" s="1025">
        <v>1</v>
      </c>
      <c r="I193" s="1025">
        <v>1</v>
      </c>
      <c r="J193" t="s">
        <v>4928</v>
      </c>
      <c r="K193" s="142">
        <v>1</v>
      </c>
      <c r="L193" t="b">
        <f t="shared" si="2"/>
        <v>1</v>
      </c>
    </row>
    <row r="194" spans="1:12" ht="11.25">
      <c r="B194" t="s">
        <v>4774</v>
      </c>
      <c r="D194" s="15"/>
      <c r="E194" s="1024">
        <v>4</v>
      </c>
      <c r="F194" s="1025">
        <v>4</v>
      </c>
      <c r="G194" s="1025">
        <v>4</v>
      </c>
      <c r="H194" s="1025">
        <v>4</v>
      </c>
      <c r="I194" s="1025">
        <v>4</v>
      </c>
      <c r="J194" t="s">
        <v>4779</v>
      </c>
      <c r="K194" s="142">
        <v>1</v>
      </c>
      <c r="L194" t="b">
        <f t="shared" si="2"/>
        <v>1</v>
      </c>
    </row>
    <row r="195" spans="1:12" ht="11.25">
      <c r="D195" s="15"/>
      <c r="E195" s="123"/>
      <c r="F195" s="126"/>
      <c r="G195" s="126"/>
      <c r="H195" s="126"/>
      <c r="I195" s="126"/>
      <c r="K195" s="142"/>
      <c r="L195" t="b">
        <f t="shared" si="2"/>
        <v>1</v>
      </c>
    </row>
    <row r="196" spans="1:12" ht="11.25">
      <c r="A196" s="2" t="s">
        <v>1928</v>
      </c>
      <c r="D196" s="15"/>
      <c r="E196" s="123"/>
      <c r="F196" s="126"/>
      <c r="G196" s="126"/>
      <c r="H196" s="126"/>
      <c r="I196" s="126"/>
      <c r="K196" s="142"/>
      <c r="L196" t="b">
        <f t="shared" si="2"/>
        <v>1</v>
      </c>
    </row>
    <row r="197" spans="1:12" ht="11.25">
      <c r="A197" s="2"/>
      <c r="B197" t="s">
        <v>712</v>
      </c>
      <c r="D197" s="15"/>
      <c r="E197" s="393">
        <v>0</v>
      </c>
      <c r="F197" s="360">
        <v>0</v>
      </c>
      <c r="G197" s="360">
        <v>0</v>
      </c>
      <c r="H197" s="360">
        <v>0</v>
      </c>
      <c r="I197" s="360">
        <v>0</v>
      </c>
      <c r="J197" s="361"/>
      <c r="K197" s="394">
        <v>0</v>
      </c>
      <c r="L197" t="b">
        <f t="shared" si="2"/>
        <v>1</v>
      </c>
    </row>
    <row r="198" spans="1:12" ht="11.25">
      <c r="B198" t="s">
        <v>2072</v>
      </c>
      <c r="D198" s="311">
        <f>cbal!E198</f>
        <v>4</v>
      </c>
      <c r="E198" s="393">
        <v>4</v>
      </c>
      <c r="F198" s="360">
        <v>4</v>
      </c>
      <c r="G198" s="360">
        <v>4</v>
      </c>
      <c r="H198" s="360">
        <v>4</v>
      </c>
      <c r="I198" s="360">
        <v>4</v>
      </c>
      <c r="J198" t="s">
        <v>1621</v>
      </c>
      <c r="K198" s="394">
        <v>4</v>
      </c>
      <c r="L198" t="b">
        <f t="shared" si="2"/>
        <v>1</v>
      </c>
    </row>
    <row r="199" spans="1:12" ht="11.25">
      <c r="B199" t="s">
        <v>2073</v>
      </c>
      <c r="D199" s="311">
        <f>cbal!E199</f>
        <v>4</v>
      </c>
      <c r="E199" s="393">
        <v>4</v>
      </c>
      <c r="F199" s="360">
        <v>4</v>
      </c>
      <c r="G199" s="360">
        <v>4</v>
      </c>
      <c r="H199" s="360">
        <v>4</v>
      </c>
      <c r="I199" s="360">
        <v>4</v>
      </c>
      <c r="J199" t="s">
        <v>1622</v>
      </c>
      <c r="K199" s="394">
        <v>4</v>
      </c>
      <c r="L199" t="b">
        <f t="shared" si="2"/>
        <v>1</v>
      </c>
    </row>
    <row r="200" spans="1:12" ht="11.25">
      <c r="B200" t="s">
        <v>2074</v>
      </c>
      <c r="D200" s="311">
        <f>cbal!E200</f>
        <v>2</v>
      </c>
      <c r="E200" s="393">
        <v>2</v>
      </c>
      <c r="F200" s="360">
        <v>2</v>
      </c>
      <c r="G200" s="360">
        <v>2</v>
      </c>
      <c r="H200" s="360">
        <v>2</v>
      </c>
      <c r="I200" s="360">
        <v>2</v>
      </c>
      <c r="J200" t="s">
        <v>1623</v>
      </c>
      <c r="K200" s="394">
        <v>2</v>
      </c>
      <c r="L200" t="b">
        <f t="shared" si="2"/>
        <v>1</v>
      </c>
    </row>
    <row r="201" spans="1:12" ht="11.25">
      <c r="B201" t="s">
        <v>2075</v>
      </c>
      <c r="D201" s="311">
        <f>cbal!E201</f>
        <v>0</v>
      </c>
      <c r="E201" s="393">
        <v>0</v>
      </c>
      <c r="F201" s="360">
        <v>0</v>
      </c>
      <c r="G201" s="360">
        <v>0</v>
      </c>
      <c r="H201" s="360">
        <v>0</v>
      </c>
      <c r="I201" s="360">
        <v>0</v>
      </c>
      <c r="J201" t="s">
        <v>1624</v>
      </c>
      <c r="K201" s="394">
        <v>0</v>
      </c>
      <c r="L201" t="b">
        <f t="shared" si="2"/>
        <v>1</v>
      </c>
    </row>
    <row r="202" spans="1:12" ht="11.25">
      <c r="B202" t="s">
        <v>2076</v>
      </c>
      <c r="D202" s="311">
        <f>cbal!E202</f>
        <v>2</v>
      </c>
      <c r="E202" s="393">
        <v>2</v>
      </c>
      <c r="F202" s="360">
        <v>2</v>
      </c>
      <c r="G202" s="360">
        <v>2</v>
      </c>
      <c r="H202" s="360">
        <v>2</v>
      </c>
      <c r="I202" s="360">
        <v>2</v>
      </c>
      <c r="J202" t="s">
        <v>1625</v>
      </c>
      <c r="K202" s="394">
        <v>2</v>
      </c>
      <c r="L202" t="b">
        <f t="shared" si="2"/>
        <v>1</v>
      </c>
    </row>
    <row r="203" spans="1:12" ht="11.25">
      <c r="B203" t="s">
        <v>2077</v>
      </c>
      <c r="D203" s="311">
        <f>cbal!E203</f>
        <v>2</v>
      </c>
      <c r="E203" s="393">
        <v>2</v>
      </c>
      <c r="F203" s="360">
        <v>2</v>
      </c>
      <c r="G203" s="360">
        <v>2</v>
      </c>
      <c r="H203" s="360">
        <v>2</v>
      </c>
      <c r="I203" s="360">
        <v>2</v>
      </c>
      <c r="J203" t="s">
        <v>2302</v>
      </c>
      <c r="K203" s="394">
        <v>2</v>
      </c>
      <c r="L203" t="b">
        <f t="shared" si="2"/>
        <v>1</v>
      </c>
    </row>
    <row r="204" spans="1:12" ht="11.25">
      <c r="B204" t="s">
        <v>2078</v>
      </c>
      <c r="D204" s="311">
        <f>cbal!E204</f>
        <v>6</v>
      </c>
      <c r="E204" s="393">
        <v>6</v>
      </c>
      <c r="F204" s="360">
        <v>6</v>
      </c>
      <c r="G204" s="360">
        <v>6</v>
      </c>
      <c r="H204" s="360">
        <v>6</v>
      </c>
      <c r="I204" s="360">
        <v>6</v>
      </c>
      <c r="J204" t="s">
        <v>2300</v>
      </c>
      <c r="K204" s="394">
        <v>6</v>
      </c>
      <c r="L204" t="b">
        <f t="shared" si="2"/>
        <v>1</v>
      </c>
    </row>
    <row r="205" spans="1:12" ht="11.25">
      <c r="B205" t="s">
        <v>2079</v>
      </c>
      <c r="D205" s="311">
        <f>cbal!E205</f>
        <v>2</v>
      </c>
      <c r="E205" s="393">
        <v>2</v>
      </c>
      <c r="F205" s="360">
        <v>2</v>
      </c>
      <c r="G205" s="360">
        <v>2</v>
      </c>
      <c r="H205" s="360">
        <v>2</v>
      </c>
      <c r="I205" s="360">
        <v>2</v>
      </c>
      <c r="J205" t="s">
        <v>2301</v>
      </c>
      <c r="K205" s="394">
        <v>2</v>
      </c>
      <c r="L205" t="b">
        <f t="shared" si="2"/>
        <v>1</v>
      </c>
    </row>
    <row r="206" spans="1:12" ht="11.25">
      <c r="B206" t="s">
        <v>2080</v>
      </c>
      <c r="D206" s="311">
        <f>cbal!E206</f>
        <v>2</v>
      </c>
      <c r="E206" s="393">
        <v>2</v>
      </c>
      <c r="F206" s="360">
        <v>2</v>
      </c>
      <c r="G206" s="360">
        <v>2</v>
      </c>
      <c r="H206" s="360">
        <v>2</v>
      </c>
      <c r="I206" s="360">
        <v>2</v>
      </c>
      <c r="J206" t="s">
        <v>2303</v>
      </c>
      <c r="K206" s="394">
        <v>2</v>
      </c>
      <c r="L206" t="b">
        <f t="shared" si="2"/>
        <v>1</v>
      </c>
    </row>
    <row r="207" spans="1:12" ht="11.25">
      <c r="B207" t="s">
        <v>2322</v>
      </c>
      <c r="D207" s="311"/>
      <c r="E207" s="393">
        <v>24</v>
      </c>
      <c r="F207" s="360">
        <v>24</v>
      </c>
      <c r="G207" s="360">
        <v>24</v>
      </c>
      <c r="H207" s="360">
        <v>24</v>
      </c>
      <c r="I207" s="360">
        <v>24</v>
      </c>
      <c r="J207" t="s">
        <v>2324</v>
      </c>
      <c r="K207" s="394">
        <v>24</v>
      </c>
      <c r="L207" t="b">
        <f t="shared" si="2"/>
        <v>1</v>
      </c>
    </row>
    <row r="208" spans="1:12" ht="11.25">
      <c r="A208" s="2" t="s">
        <v>1929</v>
      </c>
      <c r="D208" s="311"/>
      <c r="E208" s="109"/>
      <c r="F208" s="26"/>
      <c r="G208" s="26"/>
      <c r="H208" s="26"/>
      <c r="I208" s="26"/>
      <c r="K208" s="25"/>
      <c r="L208" t="b">
        <f t="shared" si="2"/>
        <v>1</v>
      </c>
    </row>
    <row r="209" spans="1:12" ht="11.25">
      <c r="B209" t="s">
        <v>946</v>
      </c>
      <c r="D209" s="311">
        <f>cbal!E209</f>
        <v>10</v>
      </c>
      <c r="E209" s="109">
        <v>10</v>
      </c>
      <c r="F209" s="26">
        <v>10</v>
      </c>
      <c r="G209" s="26">
        <v>10</v>
      </c>
      <c r="H209" s="26">
        <v>10</v>
      </c>
      <c r="I209" s="26">
        <v>10</v>
      </c>
      <c r="J209" t="s">
        <v>3641</v>
      </c>
      <c r="K209" s="25">
        <v>10</v>
      </c>
      <c r="L209" t="b">
        <f t="shared" si="2"/>
        <v>1</v>
      </c>
    </row>
    <row r="210" spans="1:12" ht="11.25">
      <c r="B210" t="s">
        <v>947</v>
      </c>
      <c r="D210" s="311">
        <f>cbal!E210</f>
        <v>4</v>
      </c>
      <c r="E210" s="109">
        <v>4</v>
      </c>
      <c r="F210" s="26">
        <v>4</v>
      </c>
      <c r="G210" s="26">
        <v>4</v>
      </c>
      <c r="H210" s="26">
        <v>4</v>
      </c>
      <c r="I210" s="26">
        <v>4</v>
      </c>
      <c r="J210" t="s">
        <v>3642</v>
      </c>
      <c r="K210" s="25">
        <v>4</v>
      </c>
      <c r="L210" t="b">
        <f t="shared" si="2"/>
        <v>1</v>
      </c>
    </row>
    <row r="211" spans="1:12" ht="11.25">
      <c r="B211" t="s">
        <v>948</v>
      </c>
      <c r="D211" s="311">
        <f>cbal!E211</f>
        <v>10</v>
      </c>
      <c r="E211" s="109">
        <v>10</v>
      </c>
      <c r="F211" s="26">
        <v>10</v>
      </c>
      <c r="G211" s="26">
        <v>10</v>
      </c>
      <c r="H211" s="26">
        <v>10</v>
      </c>
      <c r="I211" s="26">
        <v>10</v>
      </c>
      <c r="J211" t="s">
        <v>3508</v>
      </c>
      <c r="K211" s="25">
        <v>10</v>
      </c>
      <c r="L211" t="b">
        <f t="shared" si="2"/>
        <v>1</v>
      </c>
    </row>
    <row r="212" spans="1:12" ht="11.25">
      <c r="B212" t="s">
        <v>942</v>
      </c>
      <c r="D212" s="311">
        <f>cbal!E212</f>
        <v>10</v>
      </c>
      <c r="E212" s="109">
        <v>10</v>
      </c>
      <c r="F212" s="26">
        <v>10</v>
      </c>
      <c r="G212" s="26">
        <v>10</v>
      </c>
      <c r="H212" s="26">
        <v>10</v>
      </c>
      <c r="I212" s="26">
        <v>10</v>
      </c>
      <c r="J212" t="s">
        <v>3509</v>
      </c>
      <c r="K212" s="25">
        <v>10</v>
      </c>
      <c r="L212" t="b">
        <f t="shared" si="2"/>
        <v>1</v>
      </c>
    </row>
    <row r="213" spans="1:12" ht="11.25">
      <c r="B213" t="s">
        <v>943</v>
      </c>
      <c r="D213" s="311">
        <f>cbal!E213</f>
        <v>8</v>
      </c>
      <c r="E213" s="109">
        <v>8</v>
      </c>
      <c r="F213" s="26">
        <v>8</v>
      </c>
      <c r="G213" s="26">
        <v>8</v>
      </c>
      <c r="H213" s="26">
        <v>8</v>
      </c>
      <c r="I213" s="26">
        <v>8</v>
      </c>
      <c r="J213" t="s">
        <v>3510</v>
      </c>
      <c r="K213" s="25">
        <v>8</v>
      </c>
      <c r="L213" t="b">
        <f t="shared" si="2"/>
        <v>1</v>
      </c>
    </row>
    <row r="214" spans="1:12" ht="11.25">
      <c r="B214" t="s">
        <v>944</v>
      </c>
      <c r="D214" s="311">
        <f>cbal!E214</f>
        <v>6</v>
      </c>
      <c r="E214" s="109">
        <v>6</v>
      </c>
      <c r="F214" s="26">
        <v>6</v>
      </c>
      <c r="G214" s="26">
        <v>6</v>
      </c>
      <c r="H214" s="26">
        <v>6</v>
      </c>
      <c r="I214" s="26">
        <v>6</v>
      </c>
      <c r="J214" t="s">
        <v>2071</v>
      </c>
      <c r="K214" s="25">
        <v>6</v>
      </c>
      <c r="L214" t="b">
        <f t="shared" si="2"/>
        <v>1</v>
      </c>
    </row>
    <row r="215" spans="1:12" ht="11.25">
      <c r="D215" s="311"/>
      <c r="E215" s="109"/>
      <c r="F215" s="26"/>
      <c r="G215" s="26"/>
      <c r="H215" s="26"/>
      <c r="I215" s="26"/>
      <c r="K215" s="25"/>
      <c r="L215" t="b">
        <f t="shared" si="2"/>
        <v>1</v>
      </c>
    </row>
    <row r="216" spans="1:12" ht="11.25">
      <c r="A216" s="2" t="s">
        <v>295</v>
      </c>
      <c r="D216" s="311"/>
      <c r="E216" s="109"/>
      <c r="F216" s="26"/>
      <c r="G216" s="26"/>
      <c r="H216" s="26"/>
      <c r="I216" s="26"/>
      <c r="K216" s="25"/>
      <c r="L216" t="b">
        <f t="shared" si="2"/>
        <v>1</v>
      </c>
    </row>
    <row r="217" spans="1:12" ht="11.25">
      <c r="B217" t="s">
        <v>296</v>
      </c>
      <c r="D217" s="311">
        <f>cbal!E217</f>
        <v>0.14448945294954241</v>
      </c>
      <c r="E217" s="743">
        <v>0.10692948048515807</v>
      </c>
      <c r="F217" s="744">
        <v>0.10692948048515807</v>
      </c>
      <c r="G217" s="744">
        <v>0.10692948048515807</v>
      </c>
      <c r="H217" s="744">
        <v>0.10692948048515807</v>
      </c>
      <c r="I217" s="744">
        <v>0.10692948048515807</v>
      </c>
      <c r="J217" s="87" t="s">
        <v>4404</v>
      </c>
      <c r="K217" s="379">
        <v>6.9369508020773726E-2</v>
      </c>
      <c r="L217" t="b">
        <f t="shared" si="2"/>
        <v>1</v>
      </c>
    </row>
    <row r="218" spans="1:12" ht="11.25">
      <c r="D218" s="311"/>
      <c r="E218" s="109"/>
      <c r="F218" s="26"/>
      <c r="G218" s="26"/>
      <c r="H218" s="26"/>
      <c r="I218" s="26"/>
      <c r="K218" s="25"/>
      <c r="L218" t="b">
        <f t="shared" si="2"/>
        <v>1</v>
      </c>
    </row>
    <row r="219" spans="1:12" ht="11.25">
      <c r="A219" s="2" t="s">
        <v>3802</v>
      </c>
      <c r="D219" s="311"/>
      <c r="E219" s="109"/>
      <c r="F219" s="26"/>
      <c r="G219" s="26"/>
      <c r="H219" s="26"/>
      <c r="I219" s="26"/>
      <c r="K219" s="25"/>
      <c r="L219" t="b">
        <f t="shared" si="2"/>
        <v>1</v>
      </c>
    </row>
    <row r="220" spans="1:12" ht="11.25">
      <c r="A220" s="2"/>
      <c r="B220" t="s">
        <v>946</v>
      </c>
      <c r="D220" s="311">
        <f>cbal!E220</f>
        <v>0.2</v>
      </c>
      <c r="E220" s="281">
        <v>0.2</v>
      </c>
      <c r="F220" s="282">
        <v>0.2</v>
      </c>
      <c r="G220" s="282">
        <v>0.2</v>
      </c>
      <c r="H220" s="282">
        <v>0.2</v>
      </c>
      <c r="I220" s="282">
        <v>0.2</v>
      </c>
      <c r="J220" t="s">
        <v>3803</v>
      </c>
      <c r="K220" s="25">
        <v>0.2</v>
      </c>
      <c r="L220" t="b">
        <f t="shared" si="2"/>
        <v>1</v>
      </c>
    </row>
    <row r="221" spans="1:12" ht="11.25">
      <c r="A221" s="2"/>
      <c r="B221" t="s">
        <v>947</v>
      </c>
      <c r="D221" s="311">
        <f>cbal!E221</f>
        <v>0.2</v>
      </c>
      <c r="E221" s="281">
        <v>0.2</v>
      </c>
      <c r="F221" s="282">
        <v>0.2</v>
      </c>
      <c r="G221" s="282">
        <v>0.2</v>
      </c>
      <c r="H221" s="282">
        <v>0.2</v>
      </c>
      <c r="I221" s="282">
        <v>0.2</v>
      </c>
      <c r="J221" t="s">
        <v>3804</v>
      </c>
      <c r="K221" s="25">
        <v>0.2</v>
      </c>
      <c r="L221" t="b">
        <f t="shared" si="2"/>
        <v>1</v>
      </c>
    </row>
    <row r="222" spans="1:12" ht="11.25">
      <c r="B222" t="s">
        <v>948</v>
      </c>
      <c r="D222" s="311">
        <f>cbal!E222</f>
        <v>0.2</v>
      </c>
      <c r="E222" s="281">
        <v>0.2</v>
      </c>
      <c r="F222" s="282">
        <v>0.2</v>
      </c>
      <c r="G222" s="282">
        <v>0.2</v>
      </c>
      <c r="H222" s="282">
        <v>0.2</v>
      </c>
      <c r="I222" s="282">
        <v>0.2</v>
      </c>
      <c r="J222" t="s">
        <v>2371</v>
      </c>
      <c r="K222" s="25">
        <v>0.2</v>
      </c>
      <c r="L222" t="b">
        <f t="shared" si="2"/>
        <v>1</v>
      </c>
    </row>
    <row r="223" spans="1:12" ht="11.25">
      <c r="D223" s="311"/>
      <c r="E223" s="109"/>
      <c r="F223" s="26"/>
      <c r="G223" s="26"/>
      <c r="H223" s="26"/>
      <c r="I223" s="26"/>
      <c r="K223" s="25"/>
      <c r="L223" t="b">
        <f t="shared" si="2"/>
        <v>1</v>
      </c>
    </row>
    <row r="224" spans="1:12" ht="11.25">
      <c r="A224" s="2" t="str">
        <f>DataNameProd1</f>
        <v>Consulting</v>
      </c>
      <c r="D224" s="311"/>
      <c r="E224" s="657"/>
      <c r="F224" s="26"/>
      <c r="G224" s="26"/>
      <c r="H224" s="26"/>
      <c r="I224" s="26"/>
      <c r="K224" s="25"/>
      <c r="L224" t="b">
        <f t="shared" si="2"/>
        <v>1</v>
      </c>
    </row>
    <row r="225" spans="1:12" ht="11.25">
      <c r="A225" s="2"/>
      <c r="B225" t="s">
        <v>42</v>
      </c>
      <c r="C225">
        <v>0.7</v>
      </c>
      <c r="D225" s="311">
        <f>cbal!E225</f>
        <v>852248.16297476855</v>
      </c>
      <c r="E225" s="657">
        <v>710601.6</v>
      </c>
      <c r="F225" s="26">
        <v>710601.6</v>
      </c>
      <c r="G225" s="26">
        <v>710601.6</v>
      </c>
      <c r="H225" s="26">
        <v>710601.6</v>
      </c>
      <c r="I225" s="26">
        <v>710601.6</v>
      </c>
      <c r="J225" s="420" t="s">
        <v>2121</v>
      </c>
      <c r="K225" s="421">
        <v>710601.6</v>
      </c>
      <c r="L225" t="b">
        <f t="shared" si="2"/>
        <v>1</v>
      </c>
    </row>
    <row r="226" spans="1:12" ht="11.25">
      <c r="A226" s="2"/>
      <c r="B226" t="s">
        <v>43</v>
      </c>
      <c r="D226" s="311">
        <f>cbal!E226</f>
        <v>539313.29063247086</v>
      </c>
      <c r="E226" s="657">
        <v>399713.4</v>
      </c>
      <c r="F226" s="26">
        <v>399713.4</v>
      </c>
      <c r="G226" s="26">
        <v>399713.4</v>
      </c>
      <c r="H226" s="26">
        <v>399713.4</v>
      </c>
      <c r="I226" s="26">
        <v>399713.4</v>
      </c>
      <c r="J226" s="420" t="s">
        <v>2122</v>
      </c>
      <c r="K226" s="421">
        <v>399713.4</v>
      </c>
      <c r="L226" t="b">
        <f t="shared" si="2"/>
        <v>1</v>
      </c>
    </row>
    <row r="227" spans="1:12" ht="11.25">
      <c r="A227" s="2"/>
      <c r="B227" t="s">
        <v>44</v>
      </c>
      <c r="D227" s="311">
        <f>cbal!E227</f>
        <v>251616.12430683646</v>
      </c>
      <c r="E227" s="657">
        <v>157912</v>
      </c>
      <c r="F227" s="26">
        <v>157912</v>
      </c>
      <c r="G227" s="26">
        <v>157912</v>
      </c>
      <c r="H227" s="26">
        <v>157912</v>
      </c>
      <c r="I227" s="26">
        <v>157912</v>
      </c>
      <c r="J227" s="420" t="s">
        <v>2123</v>
      </c>
      <c r="K227" s="421">
        <v>157912</v>
      </c>
      <c r="L227" t="b">
        <f t="shared" si="2"/>
        <v>1</v>
      </c>
    </row>
    <row r="228" spans="1:12" ht="11.25">
      <c r="A228" s="2" t="s">
        <v>913</v>
      </c>
      <c r="D228" s="311"/>
      <c r="E228" s="745"/>
      <c r="F228" s="746"/>
      <c r="G228" s="746"/>
      <c r="H228" s="746"/>
      <c r="I228" s="746"/>
      <c r="K228" s="25"/>
      <c r="L228" t="b">
        <f t="shared" si="2"/>
        <v>1</v>
      </c>
    </row>
    <row r="229" spans="1:12" ht="11.25">
      <c r="B229" t="s">
        <v>42</v>
      </c>
      <c r="C229">
        <v>0.95</v>
      </c>
      <c r="D229" s="311">
        <f>cbal!E229</f>
        <v>255</v>
      </c>
      <c r="E229" s="657">
        <v>255</v>
      </c>
      <c r="F229" s="26">
        <v>255</v>
      </c>
      <c r="G229" s="26">
        <v>255</v>
      </c>
      <c r="H229" s="26">
        <v>255</v>
      </c>
      <c r="I229" s="26">
        <v>255</v>
      </c>
      <c r="J229" t="s">
        <v>917</v>
      </c>
      <c r="K229" s="25">
        <v>255</v>
      </c>
      <c r="L229" t="b">
        <f t="shared" si="2"/>
        <v>1</v>
      </c>
    </row>
    <row r="230" spans="1:12" ht="11.25">
      <c r="B230" t="s">
        <v>43</v>
      </c>
      <c r="D230" s="311">
        <f>cbal!E230</f>
        <v>275</v>
      </c>
      <c r="E230" s="657">
        <v>275</v>
      </c>
      <c r="F230" s="26">
        <v>275</v>
      </c>
      <c r="G230" s="26">
        <v>275</v>
      </c>
      <c r="H230" s="26">
        <v>275</v>
      </c>
      <c r="I230" s="26">
        <v>275</v>
      </c>
      <c r="J230" t="s">
        <v>1223</v>
      </c>
      <c r="K230" s="25">
        <v>275</v>
      </c>
      <c r="L230" t="b">
        <f t="shared" si="2"/>
        <v>1</v>
      </c>
    </row>
    <row r="231" spans="1:12" ht="11.25">
      <c r="B231" t="s">
        <v>44</v>
      </c>
      <c r="D231" s="311">
        <f>cbal!E231</f>
        <v>295</v>
      </c>
      <c r="E231" s="657">
        <v>295</v>
      </c>
      <c r="F231" s="26">
        <v>295</v>
      </c>
      <c r="G231" s="26">
        <v>295</v>
      </c>
      <c r="H231" s="26">
        <v>295</v>
      </c>
      <c r="I231" s="26">
        <v>295</v>
      </c>
      <c r="J231" t="s">
        <v>1224</v>
      </c>
      <c r="K231" s="25">
        <v>295</v>
      </c>
      <c r="L231" t="b">
        <f t="shared" si="2"/>
        <v>1</v>
      </c>
    </row>
    <row r="232" spans="1:12" ht="11.25">
      <c r="A232" s="2" t="s">
        <v>1842</v>
      </c>
      <c r="D232" s="311"/>
      <c r="E232" s="109"/>
      <c r="F232" s="26"/>
      <c r="G232" s="26"/>
      <c r="H232" s="26"/>
      <c r="I232" s="26"/>
      <c r="K232" s="25"/>
      <c r="L232" t="b">
        <f t="shared" si="2"/>
        <v>1</v>
      </c>
    </row>
    <row r="233" spans="1:12" ht="11.25">
      <c r="B233" t="s">
        <v>3293</v>
      </c>
      <c r="D233" s="311"/>
      <c r="E233" s="109">
        <v>2000000</v>
      </c>
      <c r="F233" s="26">
        <v>2000000</v>
      </c>
      <c r="G233" s="26">
        <v>2000000</v>
      </c>
      <c r="H233" s="26">
        <v>2000000</v>
      </c>
      <c r="I233" s="26">
        <v>2000000</v>
      </c>
      <c r="J233" t="s">
        <v>1845</v>
      </c>
      <c r="K233" s="25">
        <v>2000000</v>
      </c>
      <c r="L233" t="b">
        <f>MAX(E233:I233)=MIN(E233:I233)</f>
        <v>1</v>
      </c>
    </row>
    <row r="234" spans="1:12" ht="11.25">
      <c r="B234" t="s">
        <v>635</v>
      </c>
      <c r="D234" s="311"/>
      <c r="E234" s="109">
        <v>825000</v>
      </c>
      <c r="F234" s="26">
        <v>825000</v>
      </c>
      <c r="G234" s="26">
        <v>825000</v>
      </c>
      <c r="H234" s="26">
        <v>825000</v>
      </c>
      <c r="I234" s="26">
        <v>825000</v>
      </c>
      <c r="J234" t="s">
        <v>1846</v>
      </c>
      <c r="K234" s="25">
        <v>825000</v>
      </c>
      <c r="L234" t="b">
        <f>MAX(E234:I234)=MIN(E234:I234)</f>
        <v>1</v>
      </c>
    </row>
    <row r="235" spans="1:12" ht="11.25">
      <c r="D235" s="311"/>
      <c r="E235" s="109"/>
      <c r="F235" s="26"/>
      <c r="G235" s="26"/>
      <c r="H235" s="26"/>
      <c r="I235" s="26"/>
      <c r="K235" s="25"/>
      <c r="L235" t="b">
        <f>MAX(E235:I235)=MIN(E235:I235)</f>
        <v>1</v>
      </c>
    </row>
    <row r="236" spans="1:12" ht="11.25">
      <c r="A236" s="2" t="s">
        <v>3219</v>
      </c>
      <c r="D236" s="311"/>
      <c r="E236" s="109"/>
      <c r="F236" s="26"/>
      <c r="G236" s="26"/>
      <c r="H236" s="26"/>
      <c r="I236" s="26"/>
      <c r="K236" s="25"/>
      <c r="L236" t="b">
        <f>MAX(E236:I236)=MIN(E236:I236)</f>
        <v>1</v>
      </c>
    </row>
    <row r="237" spans="1:12" ht="11.25">
      <c r="B237" t="s">
        <v>4064</v>
      </c>
      <c r="D237" s="311"/>
      <c r="E237" s="109"/>
      <c r="F237" s="26"/>
      <c r="G237" s="26"/>
      <c r="H237" s="26"/>
      <c r="I237" s="26"/>
      <c r="K237" s="25"/>
      <c r="L237" t="b">
        <f t="shared" ref="L237:L265" si="4">MAX(E237:I237)=MIN(E237:I237)</f>
        <v>1</v>
      </c>
    </row>
    <row r="238" spans="1:12" ht="11.25">
      <c r="C238" t="s">
        <v>42</v>
      </c>
      <c r="D238" s="311">
        <f>cbal!E238</f>
        <v>115165477.39585172</v>
      </c>
      <c r="E238" s="109">
        <v>0</v>
      </c>
      <c r="F238" s="26">
        <v>0</v>
      </c>
      <c r="G238" s="26">
        <v>0</v>
      </c>
      <c r="H238" s="26">
        <v>0</v>
      </c>
      <c r="I238" s="26">
        <v>0</v>
      </c>
      <c r="J238" t="s">
        <v>3223</v>
      </c>
      <c r="K238" s="25">
        <v>0</v>
      </c>
      <c r="L238" t="b">
        <f t="shared" si="4"/>
        <v>1</v>
      </c>
    </row>
    <row r="239" spans="1:12" ht="11.25">
      <c r="C239" t="s">
        <v>43</v>
      </c>
      <c r="D239" s="311">
        <f>cbal!E239</f>
        <v>62659656.377267309</v>
      </c>
      <c r="E239" s="109">
        <v>0</v>
      </c>
      <c r="F239" s="26">
        <v>0</v>
      </c>
      <c r="G239" s="26">
        <v>0</v>
      </c>
      <c r="H239" s="26">
        <v>0</v>
      </c>
      <c r="I239" s="26">
        <v>0</v>
      </c>
      <c r="J239" t="s">
        <v>3224</v>
      </c>
      <c r="K239" s="25">
        <v>0</v>
      </c>
      <c r="L239" t="b">
        <f t="shared" si="4"/>
        <v>1</v>
      </c>
    </row>
    <row r="240" spans="1:12" ht="11.25">
      <c r="C240" t="s">
        <v>44</v>
      </c>
      <c r="D240" s="311">
        <f>cbal!E240</f>
        <v>22687371.279670905</v>
      </c>
      <c r="E240" s="109">
        <v>0</v>
      </c>
      <c r="F240" s="26">
        <v>0</v>
      </c>
      <c r="G240" s="26">
        <v>0</v>
      </c>
      <c r="H240" s="26">
        <v>0</v>
      </c>
      <c r="I240" s="26">
        <v>0</v>
      </c>
      <c r="J240" t="s">
        <v>3225</v>
      </c>
      <c r="K240" s="25">
        <v>0</v>
      </c>
      <c r="L240" t="b">
        <f t="shared" si="4"/>
        <v>1</v>
      </c>
    </row>
    <row r="241" spans="1:12" ht="11.25">
      <c r="B241" t="s">
        <v>4065</v>
      </c>
      <c r="D241" s="311"/>
      <c r="E241" s="109"/>
      <c r="F241" s="26"/>
      <c r="G241" s="26"/>
      <c r="H241" s="26"/>
      <c r="I241" s="26"/>
      <c r="K241" s="25"/>
      <c r="L241" t="b">
        <f t="shared" si="4"/>
        <v>1</v>
      </c>
    </row>
    <row r="242" spans="1:12" ht="11.25">
      <c r="C242" t="s">
        <v>42</v>
      </c>
      <c r="D242" s="311">
        <f>cbal!E242</f>
        <v>0</v>
      </c>
      <c r="E242" s="109">
        <v>0</v>
      </c>
      <c r="F242" s="26">
        <v>0</v>
      </c>
      <c r="G242" s="26">
        <v>0</v>
      </c>
      <c r="H242" s="26">
        <v>0</v>
      </c>
      <c r="I242" s="26">
        <v>0</v>
      </c>
      <c r="J242" t="s">
        <v>3226</v>
      </c>
      <c r="K242" s="25">
        <v>0</v>
      </c>
      <c r="L242" t="b">
        <f t="shared" si="4"/>
        <v>1</v>
      </c>
    </row>
    <row r="243" spans="1:12" ht="11.25">
      <c r="C243" t="s">
        <v>43</v>
      </c>
      <c r="D243" s="311">
        <f>cbal!E243</f>
        <v>0</v>
      </c>
      <c r="E243" s="109">
        <v>0</v>
      </c>
      <c r="F243" s="26">
        <v>0</v>
      </c>
      <c r="G243" s="26">
        <v>0</v>
      </c>
      <c r="H243" s="26">
        <v>0</v>
      </c>
      <c r="I243" s="26">
        <v>0</v>
      </c>
      <c r="J243" t="s">
        <v>3227</v>
      </c>
      <c r="K243" s="25">
        <v>0</v>
      </c>
      <c r="L243" t="b">
        <f t="shared" si="4"/>
        <v>1</v>
      </c>
    </row>
    <row r="244" spans="1:12" ht="11.25">
      <c r="C244" t="s">
        <v>44</v>
      </c>
      <c r="D244" s="311">
        <f>cbal!E244</f>
        <v>0</v>
      </c>
      <c r="E244" s="109">
        <v>0</v>
      </c>
      <c r="F244" s="26">
        <v>0</v>
      </c>
      <c r="G244" s="26">
        <v>0</v>
      </c>
      <c r="H244" s="26">
        <v>0</v>
      </c>
      <c r="I244" s="26">
        <v>0</v>
      </c>
      <c r="J244" t="s">
        <v>3228</v>
      </c>
      <c r="K244" s="25">
        <v>0</v>
      </c>
      <c r="L244" t="b">
        <f t="shared" si="4"/>
        <v>1</v>
      </c>
    </row>
    <row r="245" spans="1:12" ht="11.25">
      <c r="B245" t="s">
        <v>4066</v>
      </c>
      <c r="D245" s="311"/>
      <c r="E245" s="109"/>
      <c r="F245" s="26"/>
      <c r="G245" s="26"/>
      <c r="H245" s="26"/>
      <c r="I245" s="26"/>
      <c r="K245" s="25"/>
      <c r="L245" t="b">
        <f t="shared" si="4"/>
        <v>1</v>
      </c>
    </row>
    <row r="246" spans="1:12" ht="11.25">
      <c r="C246" t="s">
        <v>42</v>
      </c>
      <c r="D246" s="311">
        <f>cbal!E246</f>
        <v>0</v>
      </c>
      <c r="E246" s="109">
        <v>0</v>
      </c>
      <c r="F246" s="26">
        <v>0</v>
      </c>
      <c r="G246" s="26">
        <v>0</v>
      </c>
      <c r="H246" s="26">
        <v>0</v>
      </c>
      <c r="I246" s="26">
        <v>0</v>
      </c>
      <c r="J246" t="s">
        <v>3229</v>
      </c>
      <c r="K246" s="25">
        <v>0</v>
      </c>
      <c r="L246" t="b">
        <f t="shared" si="4"/>
        <v>1</v>
      </c>
    </row>
    <row r="247" spans="1:12" ht="11.25">
      <c r="C247" t="s">
        <v>43</v>
      </c>
      <c r="D247" s="311">
        <f>cbal!E247</f>
        <v>0</v>
      </c>
      <c r="E247" s="109">
        <v>0</v>
      </c>
      <c r="F247" s="26">
        <v>0</v>
      </c>
      <c r="G247" s="26">
        <v>0</v>
      </c>
      <c r="H247" s="26">
        <v>0</v>
      </c>
      <c r="I247" s="26">
        <v>0</v>
      </c>
      <c r="J247" t="s">
        <v>2098</v>
      </c>
      <c r="K247" s="25">
        <v>0</v>
      </c>
      <c r="L247" t="b">
        <f t="shared" si="4"/>
        <v>1</v>
      </c>
    </row>
    <row r="248" spans="1:12" ht="11.25">
      <c r="C248" t="s">
        <v>44</v>
      </c>
      <c r="D248" s="311">
        <f>cbal!E248</f>
        <v>0</v>
      </c>
      <c r="E248" s="109">
        <v>0</v>
      </c>
      <c r="F248" s="26">
        <v>0</v>
      </c>
      <c r="G248" s="26">
        <v>0</v>
      </c>
      <c r="H248" s="26">
        <v>0</v>
      </c>
      <c r="I248" s="26">
        <v>0</v>
      </c>
      <c r="J248" t="s">
        <v>2099</v>
      </c>
      <c r="K248" s="25">
        <v>0</v>
      </c>
      <c r="L248" t="b">
        <f t="shared" si="4"/>
        <v>1</v>
      </c>
    </row>
    <row r="249" spans="1:12" ht="11.25">
      <c r="B249" t="s">
        <v>3220</v>
      </c>
      <c r="D249" s="311">
        <f>cbal!E249</f>
        <v>200512505.05278993</v>
      </c>
      <c r="E249" s="109">
        <v>0</v>
      </c>
      <c r="F249" s="26">
        <v>0</v>
      </c>
      <c r="G249" s="26">
        <v>0</v>
      </c>
      <c r="H249" s="26">
        <v>0</v>
      </c>
      <c r="I249" s="26">
        <v>0</v>
      </c>
      <c r="J249" t="s">
        <v>3221</v>
      </c>
      <c r="K249" s="25">
        <v>0</v>
      </c>
      <c r="L249" t="b">
        <f t="shared" si="4"/>
        <v>1</v>
      </c>
    </row>
    <row r="250" spans="1:12" ht="11.25">
      <c r="D250" s="311"/>
      <c r="E250" s="109"/>
      <c r="F250" s="26"/>
      <c r="G250" s="26"/>
      <c r="H250" s="26"/>
      <c r="I250" s="26"/>
      <c r="K250" s="25"/>
      <c r="L250" t="b">
        <f t="shared" si="4"/>
        <v>1</v>
      </c>
    </row>
    <row r="251" spans="1:12" ht="11.25">
      <c r="A251" s="2" t="s">
        <v>2109</v>
      </c>
      <c r="D251" s="311"/>
      <c r="E251" s="109"/>
      <c r="F251" s="26"/>
      <c r="G251" s="26"/>
      <c r="H251" s="26"/>
      <c r="I251" s="26"/>
      <c r="K251" s="25"/>
      <c r="L251" t="b">
        <f t="shared" si="4"/>
        <v>1</v>
      </c>
    </row>
    <row r="252" spans="1:12" ht="11.25">
      <c r="B252" t="s">
        <v>42</v>
      </c>
      <c r="D252" s="311">
        <f>cbal!E252</f>
        <v>-0.13070969816471451</v>
      </c>
      <c r="E252" s="732">
        <v>-5.0493988045148944E-2</v>
      </c>
      <c r="F252" s="733">
        <v>-5.0493988045148944E-2</v>
      </c>
      <c r="G252" s="733">
        <v>-5.0493988045148944E-2</v>
      </c>
      <c r="H252" s="733">
        <v>-5.0493988045148944E-2</v>
      </c>
      <c r="I252" s="733">
        <v>-5.0493988045148944E-2</v>
      </c>
      <c r="J252" t="s">
        <v>692</v>
      </c>
      <c r="K252" s="142">
        <v>0.11280373233570164</v>
      </c>
      <c r="L252" t="b">
        <f t="shared" si="4"/>
        <v>1</v>
      </c>
    </row>
    <row r="253" spans="1:12" ht="11.25">
      <c r="B253" t="s">
        <v>43</v>
      </c>
      <c r="D253" s="311">
        <f>cbal!E253</f>
        <v>-0.18202254386020991</v>
      </c>
      <c r="E253" s="732">
        <v>-9.7603769053142136E-2</v>
      </c>
      <c r="F253" s="733">
        <v>-9.7603769053142136E-2</v>
      </c>
      <c r="G253" s="733">
        <v>-9.7603769053142136E-2</v>
      </c>
      <c r="H253" s="733">
        <v>-9.7603769053142136E-2</v>
      </c>
      <c r="I253" s="733">
        <v>-9.7603769053142136E-2</v>
      </c>
      <c r="J253" t="s">
        <v>693</v>
      </c>
      <c r="K253" s="142">
        <v>0.10759472879286053</v>
      </c>
      <c r="L253" t="b">
        <f t="shared" si="4"/>
        <v>1</v>
      </c>
    </row>
    <row r="254" spans="1:12" ht="11.25">
      <c r="B254" t="s">
        <v>44</v>
      </c>
      <c r="D254" s="311">
        <f>cbal!E254</f>
        <v>-0.42062232509328745</v>
      </c>
      <c r="E254" s="732">
        <v>-0.27802884199813466</v>
      </c>
      <c r="F254" s="733">
        <v>-0.27802884199813466</v>
      </c>
      <c r="G254" s="733">
        <v>-0.27802884199813466</v>
      </c>
      <c r="H254" s="733">
        <v>-0.27802884199813466</v>
      </c>
      <c r="I254" s="733">
        <v>-0.27802884199813466</v>
      </c>
      <c r="J254" t="s">
        <v>694</v>
      </c>
      <c r="K254" s="142">
        <v>0.1370967615694704</v>
      </c>
      <c r="L254" t="b">
        <f t="shared" si="4"/>
        <v>1</v>
      </c>
    </row>
    <row r="255" spans="1:12" ht="11.25">
      <c r="D255" s="311"/>
      <c r="E255" s="109"/>
      <c r="F255" s="26"/>
      <c r="G255" s="26"/>
      <c r="H255" s="26"/>
      <c r="I255" s="26"/>
      <c r="K255" s="25"/>
      <c r="L255" t="b">
        <f t="shared" si="4"/>
        <v>1</v>
      </c>
    </row>
    <row r="256" spans="1:12" ht="11.25">
      <c r="A256" s="2" t="s">
        <v>1430</v>
      </c>
      <c r="D256" s="311"/>
      <c r="E256" s="109"/>
      <c r="F256" s="26"/>
      <c r="G256" s="26"/>
      <c r="H256" s="26"/>
      <c r="I256" s="26"/>
      <c r="K256" s="25"/>
      <c r="L256" t="b">
        <f>MAX(E256:I256)=MIN(E256:I256)</f>
        <v>1</v>
      </c>
    </row>
    <row r="257" spans="1:12" ht="11.25">
      <c r="B257" t="s">
        <v>946</v>
      </c>
      <c r="D257" s="311">
        <f>cbal!E257</f>
        <v>0</v>
      </c>
      <c r="E257" s="732">
        <v>-3.227412692396095E-2</v>
      </c>
      <c r="F257" s="733">
        <v>-3.227412692396095E-2</v>
      </c>
      <c r="G257" s="733">
        <v>-3.227412692396095E-2</v>
      </c>
      <c r="H257" s="733">
        <v>-3.227412692396095E-2</v>
      </c>
      <c r="I257" s="733">
        <v>-3.227412692396095E-2</v>
      </c>
      <c r="J257" t="s">
        <v>3635</v>
      </c>
      <c r="K257" s="142">
        <v>0</v>
      </c>
      <c r="L257" t="b">
        <f>MAX(E257:I257)=MIN(E257:I257)</f>
        <v>1</v>
      </c>
    </row>
    <row r="258" spans="1:12" ht="11.25">
      <c r="B258" t="s">
        <v>947</v>
      </c>
      <c r="D258" s="311">
        <f>cbal!E258</f>
        <v>0</v>
      </c>
      <c r="E258" s="732">
        <v>-6.700396996443557E-3</v>
      </c>
      <c r="F258" s="733">
        <v>-6.700396996443557E-3</v>
      </c>
      <c r="G258" s="733">
        <v>-6.700396996443557E-3</v>
      </c>
      <c r="H258" s="733">
        <v>-6.700396996443557E-3</v>
      </c>
      <c r="I258" s="733">
        <v>-6.700396996443557E-3</v>
      </c>
      <c r="J258" t="s">
        <v>4135</v>
      </c>
      <c r="K258" s="142">
        <v>0</v>
      </c>
      <c r="L258" t="b">
        <f>MAX(E258:I258)=MIN(E258:I258)</f>
        <v>1</v>
      </c>
    </row>
    <row r="259" spans="1:12" ht="11.25">
      <c r="B259" t="s">
        <v>948</v>
      </c>
      <c r="D259" s="311">
        <f>cbal!E259</f>
        <v>0</v>
      </c>
      <c r="E259" s="732">
        <v>3.6807589670241399E-2</v>
      </c>
      <c r="F259" s="733">
        <v>3.6807589670241399E-2</v>
      </c>
      <c r="G259" s="733">
        <v>3.6807589670241399E-2</v>
      </c>
      <c r="H259" s="733">
        <v>3.6807589670241399E-2</v>
      </c>
      <c r="I259" s="733">
        <v>3.6807589670241399E-2</v>
      </c>
      <c r="J259" t="s">
        <v>4136</v>
      </c>
      <c r="K259" s="142">
        <v>0</v>
      </c>
      <c r="L259" t="b">
        <f>MAX(E259:I259)=MIN(E259:I259)</f>
        <v>1</v>
      </c>
    </row>
    <row r="260" spans="1:12" ht="11.25">
      <c r="A260" s="2" t="s">
        <v>4137</v>
      </c>
      <c r="D260" s="311">
        <f>cbal!E260</f>
        <v>-0.11422084005185305</v>
      </c>
      <c r="E260" s="732">
        <v>-5.9182820730735851E-2</v>
      </c>
      <c r="F260" s="733">
        <v>-5.9182820730735851E-2</v>
      </c>
      <c r="G260" s="733">
        <v>-5.9182820730735851E-2</v>
      </c>
      <c r="H260" s="733">
        <v>-5.9182820730735851E-2</v>
      </c>
      <c r="I260" s="733">
        <v>-5.9182820730735851E-2</v>
      </c>
      <c r="J260" s="271" t="s">
        <v>4139</v>
      </c>
      <c r="K260" s="434">
        <v>4.1882763308050595E-2</v>
      </c>
      <c r="L260" t="b">
        <f t="shared" si="4"/>
        <v>1</v>
      </c>
    </row>
    <row r="261" spans="1:12" ht="11.25">
      <c r="A261" s="2" t="s">
        <v>2230</v>
      </c>
      <c r="D261" s="10"/>
      <c r="E261" s="741"/>
      <c r="F261" s="742"/>
      <c r="G261" s="742"/>
      <c r="H261" s="742"/>
      <c r="I261" s="742"/>
      <c r="K261" s="25"/>
      <c r="L261" t="b">
        <f t="shared" si="4"/>
        <v>1</v>
      </c>
    </row>
    <row r="262" spans="1:12" ht="11.25">
      <c r="B262" t="s">
        <v>1701</v>
      </c>
      <c r="D262" s="10"/>
      <c r="E262" s="741">
        <v>0</v>
      </c>
      <c r="F262" s="742">
        <v>0</v>
      </c>
      <c r="G262" s="742">
        <v>0</v>
      </c>
      <c r="H262" s="742">
        <v>0</v>
      </c>
      <c r="I262" s="742">
        <v>0</v>
      </c>
      <c r="J262" t="s">
        <v>2231</v>
      </c>
      <c r="K262" s="25">
        <v>0</v>
      </c>
      <c r="L262" t="b">
        <f t="shared" si="4"/>
        <v>1</v>
      </c>
    </row>
    <row r="263" spans="1:12" ht="11.25">
      <c r="B263" t="s">
        <v>2160</v>
      </c>
      <c r="D263" s="10"/>
      <c r="E263" s="741">
        <v>0</v>
      </c>
      <c r="F263" s="742">
        <v>0</v>
      </c>
      <c r="G263" s="742">
        <v>0</v>
      </c>
      <c r="H263" s="742">
        <v>0</v>
      </c>
      <c r="I263" s="742">
        <v>0</v>
      </c>
      <c r="J263" t="s">
        <v>2232</v>
      </c>
      <c r="K263" s="25">
        <v>0</v>
      </c>
      <c r="L263" t="b">
        <f t="shared" si="4"/>
        <v>1</v>
      </c>
    </row>
    <row r="264" spans="1:12" ht="11.25">
      <c r="B264" t="s">
        <v>2559</v>
      </c>
      <c r="D264" s="10"/>
      <c r="E264" s="741">
        <v>0</v>
      </c>
      <c r="F264" s="742">
        <v>0</v>
      </c>
      <c r="G264" s="742">
        <v>0</v>
      </c>
      <c r="H264" s="742">
        <v>0</v>
      </c>
      <c r="I264" s="742">
        <v>0</v>
      </c>
      <c r="J264" t="s">
        <v>2233</v>
      </c>
      <c r="K264" s="25">
        <v>0</v>
      </c>
      <c r="L264" t="b">
        <f t="shared" si="4"/>
        <v>1</v>
      </c>
    </row>
    <row r="265" spans="1:12" ht="11.25">
      <c r="B265" t="s">
        <v>2560</v>
      </c>
      <c r="D265" s="10"/>
      <c r="E265" s="741">
        <v>0</v>
      </c>
      <c r="F265" s="742">
        <v>0</v>
      </c>
      <c r="G265" s="742">
        <v>0</v>
      </c>
      <c r="H265" s="742">
        <v>0</v>
      </c>
      <c r="I265" s="742">
        <v>0</v>
      </c>
      <c r="J265" t="s">
        <v>2234</v>
      </c>
      <c r="K265" s="25">
        <v>0</v>
      </c>
      <c r="L265" t="b">
        <f t="shared" si="4"/>
        <v>1</v>
      </c>
    </row>
    <row r="266" spans="1:12" ht="11.25">
      <c r="B266" t="s">
        <v>2561</v>
      </c>
      <c r="D266" s="10"/>
      <c r="E266" s="741">
        <v>0</v>
      </c>
      <c r="F266" s="742">
        <v>0</v>
      </c>
      <c r="G266" s="742">
        <v>0</v>
      </c>
      <c r="H266" s="742">
        <v>0</v>
      </c>
      <c r="I266" s="742">
        <v>0</v>
      </c>
      <c r="J266" t="s">
        <v>2235</v>
      </c>
      <c r="K266" s="25">
        <v>0</v>
      </c>
      <c r="L266" t="b">
        <f t="shared" ref="L266:L289" si="5">MAX(E266:I266)=MIN(E266:I266)</f>
        <v>1</v>
      </c>
    </row>
    <row r="267" spans="1:12" ht="11.25">
      <c r="B267" t="s">
        <v>2562</v>
      </c>
      <c r="D267" s="10"/>
      <c r="E267" s="741">
        <v>0</v>
      </c>
      <c r="F267" s="742">
        <v>0</v>
      </c>
      <c r="G267" s="742">
        <v>0</v>
      </c>
      <c r="H267" s="742">
        <v>0</v>
      </c>
      <c r="I267" s="742">
        <v>0</v>
      </c>
      <c r="J267" t="s">
        <v>2236</v>
      </c>
      <c r="K267" s="25">
        <v>0</v>
      </c>
      <c r="L267" t="b">
        <f t="shared" si="5"/>
        <v>1</v>
      </c>
    </row>
    <row r="268" spans="1:12" ht="11.25">
      <c r="B268" t="s">
        <v>2563</v>
      </c>
      <c r="D268" s="10"/>
      <c r="E268" s="741">
        <v>0</v>
      </c>
      <c r="F268" s="742">
        <v>0</v>
      </c>
      <c r="G268" s="742">
        <v>0</v>
      </c>
      <c r="H268" s="742">
        <v>0</v>
      </c>
      <c r="I268" s="742">
        <v>0</v>
      </c>
      <c r="J268" t="s">
        <v>2237</v>
      </c>
      <c r="K268" s="25">
        <v>0</v>
      </c>
      <c r="L268" t="b">
        <f t="shared" si="5"/>
        <v>1</v>
      </c>
    </row>
    <row r="269" spans="1:12" ht="11.25">
      <c r="B269" t="s">
        <v>2564</v>
      </c>
      <c r="D269" s="10"/>
      <c r="E269" s="741">
        <v>0</v>
      </c>
      <c r="F269" s="742">
        <v>0</v>
      </c>
      <c r="G269" s="742">
        <v>0</v>
      </c>
      <c r="H269" s="742">
        <v>0</v>
      </c>
      <c r="I269" s="742">
        <v>0</v>
      </c>
      <c r="J269" t="s">
        <v>2238</v>
      </c>
      <c r="K269" s="25">
        <v>0</v>
      </c>
      <c r="L269" t="b">
        <f t="shared" si="5"/>
        <v>1</v>
      </c>
    </row>
    <row r="270" spans="1:12" ht="11.25">
      <c r="B270" t="s">
        <v>2565</v>
      </c>
      <c r="D270" s="10"/>
      <c r="E270" s="741">
        <v>0</v>
      </c>
      <c r="F270" s="742">
        <v>0</v>
      </c>
      <c r="G270" s="742">
        <v>0</v>
      </c>
      <c r="H270" s="742">
        <v>0</v>
      </c>
      <c r="I270" s="742">
        <v>0</v>
      </c>
      <c r="J270" t="s">
        <v>4251</v>
      </c>
      <c r="K270" s="25">
        <v>0</v>
      </c>
      <c r="L270" t="b">
        <f t="shared" si="5"/>
        <v>1</v>
      </c>
    </row>
    <row r="271" spans="1:12" ht="11.25">
      <c r="B271" t="s">
        <v>2566</v>
      </c>
      <c r="D271" s="10"/>
      <c r="E271" s="741">
        <v>0</v>
      </c>
      <c r="F271" s="742">
        <v>0</v>
      </c>
      <c r="G271" s="742">
        <v>0</v>
      </c>
      <c r="H271" s="742">
        <v>0</v>
      </c>
      <c r="I271" s="742">
        <v>0</v>
      </c>
      <c r="J271" t="s">
        <v>1533</v>
      </c>
      <c r="K271" s="25">
        <v>0</v>
      </c>
      <c r="L271" t="b">
        <f t="shared" si="5"/>
        <v>1</v>
      </c>
    </row>
    <row r="272" spans="1:12" ht="11.25">
      <c r="B272" t="s">
        <v>2567</v>
      </c>
      <c r="D272" s="10"/>
      <c r="E272" s="741">
        <v>0</v>
      </c>
      <c r="F272" s="742">
        <v>0</v>
      </c>
      <c r="G272" s="742">
        <v>0</v>
      </c>
      <c r="H272" s="742">
        <v>0</v>
      </c>
      <c r="I272" s="742">
        <v>0</v>
      </c>
      <c r="J272" t="s">
        <v>1534</v>
      </c>
      <c r="K272" s="25">
        <v>0</v>
      </c>
      <c r="L272" t="b">
        <f t="shared" si="5"/>
        <v>1</v>
      </c>
    </row>
    <row r="273" spans="2:12" ht="11.25">
      <c r="B273" t="s">
        <v>2568</v>
      </c>
      <c r="D273" s="10"/>
      <c r="E273" s="741">
        <v>0</v>
      </c>
      <c r="F273" s="742">
        <v>0</v>
      </c>
      <c r="G273" s="742">
        <v>0</v>
      </c>
      <c r="H273" s="742">
        <v>0</v>
      </c>
      <c r="I273" s="742">
        <v>0</v>
      </c>
      <c r="J273" t="s">
        <v>1535</v>
      </c>
      <c r="K273" s="25">
        <v>0</v>
      </c>
      <c r="L273" t="b">
        <f t="shared" si="5"/>
        <v>1</v>
      </c>
    </row>
    <row r="274" spans="2:12" ht="11.25">
      <c r="B274" t="s">
        <v>2128</v>
      </c>
      <c r="D274" s="10"/>
      <c r="E274" s="741">
        <v>0</v>
      </c>
      <c r="F274" s="742">
        <v>0</v>
      </c>
      <c r="G274" s="742">
        <v>0</v>
      </c>
      <c r="H274" s="742">
        <v>0</v>
      </c>
      <c r="I274" s="742">
        <v>0</v>
      </c>
      <c r="J274" t="s">
        <v>1536</v>
      </c>
      <c r="K274" s="25">
        <v>0</v>
      </c>
      <c r="L274" t="b">
        <f t="shared" si="5"/>
        <v>1</v>
      </c>
    </row>
    <row r="275" spans="2:12" ht="11.25">
      <c r="B275" t="s">
        <v>2129</v>
      </c>
      <c r="D275" s="10"/>
      <c r="E275" s="741">
        <v>0</v>
      </c>
      <c r="F275" s="742">
        <v>0</v>
      </c>
      <c r="G275" s="742">
        <v>0</v>
      </c>
      <c r="H275" s="742">
        <v>0</v>
      </c>
      <c r="I275" s="742">
        <v>0</v>
      </c>
      <c r="J275" t="s">
        <v>1537</v>
      </c>
      <c r="K275" s="25">
        <v>0</v>
      </c>
      <c r="L275" t="b">
        <f t="shared" si="5"/>
        <v>1</v>
      </c>
    </row>
    <row r="276" spans="2:12" ht="11.25">
      <c r="B276" t="s">
        <v>2130</v>
      </c>
      <c r="D276" s="10"/>
      <c r="E276" s="741">
        <v>0</v>
      </c>
      <c r="F276" s="742">
        <v>0</v>
      </c>
      <c r="G276" s="742">
        <v>0</v>
      </c>
      <c r="H276" s="742">
        <v>0</v>
      </c>
      <c r="I276" s="742">
        <v>0</v>
      </c>
      <c r="J276" t="s">
        <v>1538</v>
      </c>
      <c r="K276" s="25">
        <v>0</v>
      </c>
      <c r="L276" t="b">
        <f t="shared" si="5"/>
        <v>1</v>
      </c>
    </row>
    <row r="277" spans="2:12" ht="11.25">
      <c r="B277" t="s">
        <v>1992</v>
      </c>
      <c r="D277" s="10"/>
      <c r="E277" s="741">
        <v>0</v>
      </c>
      <c r="F277" s="742">
        <v>0</v>
      </c>
      <c r="G277" s="742">
        <v>0</v>
      </c>
      <c r="H277" s="742">
        <v>0</v>
      </c>
      <c r="I277" s="742">
        <v>0</v>
      </c>
      <c r="J277" t="s">
        <v>1539</v>
      </c>
      <c r="K277" s="25">
        <v>0</v>
      </c>
      <c r="L277" t="b">
        <f t="shared" si="5"/>
        <v>1</v>
      </c>
    </row>
    <row r="278" spans="2:12" ht="11.25">
      <c r="B278" t="s">
        <v>1786</v>
      </c>
      <c r="D278" s="10"/>
      <c r="E278" s="741">
        <v>0</v>
      </c>
      <c r="F278" s="742">
        <v>0</v>
      </c>
      <c r="G278" s="742">
        <v>0</v>
      </c>
      <c r="H278" s="742">
        <v>0</v>
      </c>
      <c r="I278" s="742">
        <v>0</v>
      </c>
      <c r="J278" t="s">
        <v>1540</v>
      </c>
      <c r="K278" s="25">
        <v>0</v>
      </c>
      <c r="L278" t="b">
        <f t="shared" si="5"/>
        <v>1</v>
      </c>
    </row>
    <row r="279" spans="2:12" ht="11.25">
      <c r="B279" t="s">
        <v>1787</v>
      </c>
      <c r="D279" s="10"/>
      <c r="E279" s="741">
        <v>0</v>
      </c>
      <c r="F279" s="742">
        <v>0</v>
      </c>
      <c r="G279" s="742">
        <v>0</v>
      </c>
      <c r="H279" s="742">
        <v>0</v>
      </c>
      <c r="I279" s="742">
        <v>0</v>
      </c>
      <c r="J279" t="s">
        <v>1945</v>
      </c>
      <c r="K279" s="25">
        <v>0</v>
      </c>
      <c r="L279" t="b">
        <f t="shared" si="5"/>
        <v>1</v>
      </c>
    </row>
    <row r="280" spans="2:12" ht="11.25">
      <c r="B280" t="s">
        <v>1788</v>
      </c>
      <c r="D280" s="10"/>
      <c r="E280" s="741">
        <v>0</v>
      </c>
      <c r="F280" s="742">
        <v>0</v>
      </c>
      <c r="G280" s="742">
        <v>0</v>
      </c>
      <c r="H280" s="742">
        <v>0</v>
      </c>
      <c r="I280" s="742">
        <v>0</v>
      </c>
      <c r="J280" t="s">
        <v>2254</v>
      </c>
      <c r="K280" s="25">
        <v>0</v>
      </c>
      <c r="L280" t="b">
        <f t="shared" si="5"/>
        <v>1</v>
      </c>
    </row>
    <row r="281" spans="2:12" ht="11.25">
      <c r="B281" t="s">
        <v>4505</v>
      </c>
      <c r="D281" s="10"/>
      <c r="E281" s="741">
        <v>0</v>
      </c>
      <c r="F281" s="742">
        <v>0</v>
      </c>
      <c r="G281" s="742">
        <v>0</v>
      </c>
      <c r="H281" s="742">
        <v>0</v>
      </c>
      <c r="I281" s="742">
        <v>0</v>
      </c>
      <c r="J281" t="s">
        <v>3364</v>
      </c>
      <c r="K281" s="25">
        <v>0</v>
      </c>
      <c r="L281" t="b">
        <f t="shared" si="5"/>
        <v>1</v>
      </c>
    </row>
    <row r="282" spans="2:12" ht="11.25">
      <c r="B282" t="s">
        <v>822</v>
      </c>
      <c r="D282" s="10"/>
      <c r="E282" s="741">
        <v>0</v>
      </c>
      <c r="F282" s="742">
        <v>0</v>
      </c>
      <c r="G282" s="742">
        <v>0</v>
      </c>
      <c r="H282" s="742">
        <v>0</v>
      </c>
      <c r="I282" s="742">
        <v>0</v>
      </c>
      <c r="J282" t="s">
        <v>3365</v>
      </c>
      <c r="K282" s="25">
        <v>0</v>
      </c>
      <c r="L282" t="b">
        <f t="shared" si="5"/>
        <v>1</v>
      </c>
    </row>
    <row r="283" spans="2:12" ht="11.25">
      <c r="B283" t="s">
        <v>823</v>
      </c>
      <c r="D283" s="10"/>
      <c r="E283" s="741">
        <v>0</v>
      </c>
      <c r="F283" s="742">
        <v>0</v>
      </c>
      <c r="G283" s="742">
        <v>0</v>
      </c>
      <c r="H283" s="742">
        <v>0</v>
      </c>
      <c r="I283" s="742">
        <v>0</v>
      </c>
      <c r="J283" t="s">
        <v>3366</v>
      </c>
      <c r="K283" s="25">
        <v>0</v>
      </c>
      <c r="L283" t="b">
        <f t="shared" si="5"/>
        <v>1</v>
      </c>
    </row>
    <row r="284" spans="2:12" ht="11.25">
      <c r="B284" t="s">
        <v>824</v>
      </c>
      <c r="D284" s="10"/>
      <c r="E284" s="741">
        <v>0</v>
      </c>
      <c r="F284" s="742">
        <v>0</v>
      </c>
      <c r="G284" s="742">
        <v>0</v>
      </c>
      <c r="H284" s="742">
        <v>0</v>
      </c>
      <c r="I284" s="742">
        <v>0</v>
      </c>
      <c r="J284" t="s">
        <v>3367</v>
      </c>
      <c r="K284" s="25">
        <v>0</v>
      </c>
      <c r="L284" t="b">
        <f t="shared" si="5"/>
        <v>1</v>
      </c>
    </row>
    <row r="285" spans="2:12" ht="11.25">
      <c r="B285" t="s">
        <v>825</v>
      </c>
      <c r="D285" s="10"/>
      <c r="E285" s="741">
        <v>0</v>
      </c>
      <c r="F285" s="742">
        <v>0</v>
      </c>
      <c r="G285" s="742">
        <v>0</v>
      </c>
      <c r="H285" s="742">
        <v>0</v>
      </c>
      <c r="I285" s="742">
        <v>0</v>
      </c>
      <c r="J285" t="s">
        <v>3368</v>
      </c>
      <c r="K285" s="25">
        <v>0</v>
      </c>
      <c r="L285" t="b">
        <f t="shared" si="5"/>
        <v>1</v>
      </c>
    </row>
    <row r="286" spans="2:12" ht="11.25">
      <c r="B286" t="s">
        <v>826</v>
      </c>
      <c r="D286" s="10"/>
      <c r="E286" s="741">
        <v>0</v>
      </c>
      <c r="F286" s="742">
        <v>0</v>
      </c>
      <c r="G286" s="742">
        <v>0</v>
      </c>
      <c r="H286" s="742">
        <v>0</v>
      </c>
      <c r="I286" s="742">
        <v>0</v>
      </c>
      <c r="J286" t="s">
        <v>1250</v>
      </c>
      <c r="K286" s="25">
        <v>0</v>
      </c>
      <c r="L286" t="b">
        <f t="shared" si="5"/>
        <v>1</v>
      </c>
    </row>
    <row r="287" spans="2:12" ht="11.25">
      <c r="B287" t="s">
        <v>827</v>
      </c>
      <c r="D287" s="10"/>
      <c r="E287" s="741">
        <v>0</v>
      </c>
      <c r="F287" s="742">
        <v>0</v>
      </c>
      <c r="G287" s="742">
        <v>0</v>
      </c>
      <c r="H287" s="742">
        <v>0</v>
      </c>
      <c r="I287" s="742">
        <v>0</v>
      </c>
      <c r="J287" t="s">
        <v>1251</v>
      </c>
      <c r="K287" s="25">
        <v>0</v>
      </c>
      <c r="L287" t="b">
        <f t="shared" si="5"/>
        <v>1</v>
      </c>
    </row>
    <row r="288" spans="2:12" ht="11.25">
      <c r="B288" t="s">
        <v>828</v>
      </c>
      <c r="D288" s="10"/>
      <c r="E288" s="741">
        <v>0</v>
      </c>
      <c r="F288" s="742">
        <v>0</v>
      </c>
      <c r="G288" s="742">
        <v>0</v>
      </c>
      <c r="H288" s="742">
        <v>0</v>
      </c>
      <c r="I288" s="742">
        <v>0</v>
      </c>
      <c r="J288" t="s">
        <v>1031</v>
      </c>
      <c r="K288" s="25">
        <v>0</v>
      </c>
      <c r="L288" t="b">
        <f t="shared" si="5"/>
        <v>1</v>
      </c>
    </row>
    <row r="289" spans="1:12" ht="11.25">
      <c r="D289" s="10"/>
      <c r="E289" s="741"/>
      <c r="F289" s="742"/>
      <c r="G289" s="742"/>
      <c r="H289" s="742"/>
      <c r="I289" s="742"/>
      <c r="K289" s="25"/>
      <c r="L289" t="b">
        <f t="shared" si="5"/>
        <v>1</v>
      </c>
    </row>
    <row r="290" spans="1:12" ht="11.25">
      <c r="A290" s="2" t="s">
        <v>4259</v>
      </c>
      <c r="D290" s="10"/>
      <c r="E290" s="741"/>
      <c r="F290" s="742"/>
      <c r="G290" s="742"/>
      <c r="H290" s="742"/>
      <c r="I290" s="742"/>
      <c r="K290" s="25"/>
      <c r="L290" t="b">
        <f t="shared" ref="L290:L317" si="6">MAX(E290:I290)=MIN(E290:I290)</f>
        <v>1</v>
      </c>
    </row>
    <row r="291" spans="1:12" ht="11.25">
      <c r="B291" t="s">
        <v>1701</v>
      </c>
      <c r="D291" s="311">
        <f>cbal!E291</f>
        <v>0</v>
      </c>
      <c r="E291" s="741">
        <v>0</v>
      </c>
      <c r="F291" s="742">
        <v>0</v>
      </c>
      <c r="G291" s="742">
        <v>0</v>
      </c>
      <c r="H291" s="742">
        <v>0</v>
      </c>
      <c r="I291" s="742">
        <v>0</v>
      </c>
      <c r="J291" t="s">
        <v>2623</v>
      </c>
      <c r="K291" s="25">
        <v>0</v>
      </c>
      <c r="L291" t="b">
        <f t="shared" si="6"/>
        <v>1</v>
      </c>
    </row>
    <row r="292" spans="1:12" ht="11.25">
      <c r="B292" t="s">
        <v>2160</v>
      </c>
      <c r="D292" s="311">
        <f>cbal!E292</f>
        <v>0</v>
      </c>
      <c r="E292" s="741">
        <v>0</v>
      </c>
      <c r="F292" s="742">
        <v>0</v>
      </c>
      <c r="G292" s="742">
        <v>0</v>
      </c>
      <c r="H292" s="742">
        <v>0</v>
      </c>
      <c r="I292" s="742">
        <v>0</v>
      </c>
      <c r="J292" t="s">
        <v>2624</v>
      </c>
      <c r="K292" s="25">
        <v>0</v>
      </c>
      <c r="L292" t="b">
        <f t="shared" si="6"/>
        <v>1</v>
      </c>
    </row>
    <row r="293" spans="1:12" ht="11.25">
      <c r="B293" t="s">
        <v>2559</v>
      </c>
      <c r="D293" s="311">
        <f>cbal!E293</f>
        <v>0</v>
      </c>
      <c r="E293" s="741">
        <v>0</v>
      </c>
      <c r="F293" s="742">
        <v>0</v>
      </c>
      <c r="G293" s="742">
        <v>0</v>
      </c>
      <c r="H293" s="742">
        <v>0</v>
      </c>
      <c r="I293" s="742">
        <v>0</v>
      </c>
      <c r="J293" t="s">
        <v>2625</v>
      </c>
      <c r="K293" s="25">
        <v>0</v>
      </c>
      <c r="L293" t="b">
        <f t="shared" si="6"/>
        <v>1</v>
      </c>
    </row>
    <row r="294" spans="1:12" ht="11.25">
      <c r="B294" t="s">
        <v>2560</v>
      </c>
      <c r="D294" s="311">
        <f>cbal!E294</f>
        <v>0</v>
      </c>
      <c r="E294" s="741">
        <v>0</v>
      </c>
      <c r="F294" s="742">
        <v>0</v>
      </c>
      <c r="G294" s="742">
        <v>0</v>
      </c>
      <c r="H294" s="742">
        <v>0</v>
      </c>
      <c r="I294" s="742">
        <v>0</v>
      </c>
      <c r="J294" t="s">
        <v>2626</v>
      </c>
      <c r="K294" s="25">
        <v>0</v>
      </c>
      <c r="L294" t="b">
        <f t="shared" si="6"/>
        <v>1</v>
      </c>
    </row>
    <row r="295" spans="1:12" ht="11.25">
      <c r="B295" t="s">
        <v>2561</v>
      </c>
      <c r="D295" s="311">
        <f>cbal!E295</f>
        <v>0</v>
      </c>
      <c r="E295" s="741">
        <v>0</v>
      </c>
      <c r="F295" s="742">
        <v>0</v>
      </c>
      <c r="G295" s="742">
        <v>0</v>
      </c>
      <c r="H295" s="742">
        <v>0</v>
      </c>
      <c r="I295" s="742">
        <v>0</v>
      </c>
      <c r="J295" t="s">
        <v>2627</v>
      </c>
      <c r="K295" s="25">
        <v>0</v>
      </c>
      <c r="L295" t="b">
        <f t="shared" si="6"/>
        <v>1</v>
      </c>
    </row>
    <row r="296" spans="1:12" ht="11.25">
      <c r="B296" t="s">
        <v>2562</v>
      </c>
      <c r="D296" s="311">
        <f>cbal!E296</f>
        <v>0</v>
      </c>
      <c r="E296" s="741">
        <v>0</v>
      </c>
      <c r="F296" s="742">
        <v>0</v>
      </c>
      <c r="G296" s="742">
        <v>0</v>
      </c>
      <c r="H296" s="742">
        <v>0</v>
      </c>
      <c r="I296" s="742">
        <v>0</v>
      </c>
      <c r="J296" t="s">
        <v>2628</v>
      </c>
      <c r="K296" s="25">
        <v>0</v>
      </c>
      <c r="L296" t="b">
        <f t="shared" si="6"/>
        <v>1</v>
      </c>
    </row>
    <row r="297" spans="1:12" ht="11.25">
      <c r="B297" t="s">
        <v>2563</v>
      </c>
      <c r="D297" s="311">
        <f>cbal!E297</f>
        <v>0</v>
      </c>
      <c r="E297" s="741">
        <v>0</v>
      </c>
      <c r="F297" s="742">
        <v>0</v>
      </c>
      <c r="G297" s="742">
        <v>0</v>
      </c>
      <c r="H297" s="742">
        <v>0</v>
      </c>
      <c r="I297" s="742">
        <v>0</v>
      </c>
      <c r="J297" t="s">
        <v>2629</v>
      </c>
      <c r="K297" s="25">
        <v>0</v>
      </c>
      <c r="L297" t="b">
        <f t="shared" si="6"/>
        <v>1</v>
      </c>
    </row>
    <row r="298" spans="1:12" ht="11.25">
      <c r="B298" t="s">
        <v>2564</v>
      </c>
      <c r="D298" s="311">
        <f>cbal!E298</f>
        <v>0</v>
      </c>
      <c r="E298" s="741">
        <v>0</v>
      </c>
      <c r="F298" s="742">
        <v>0</v>
      </c>
      <c r="G298" s="742">
        <v>0</v>
      </c>
      <c r="H298" s="742">
        <v>0</v>
      </c>
      <c r="I298" s="742">
        <v>0</v>
      </c>
      <c r="J298" t="s">
        <v>2630</v>
      </c>
      <c r="K298" s="25">
        <v>0</v>
      </c>
      <c r="L298" t="b">
        <f t="shared" si="6"/>
        <v>1</v>
      </c>
    </row>
    <row r="299" spans="1:12" ht="11.25">
      <c r="B299" t="s">
        <v>2565</v>
      </c>
      <c r="D299" s="311">
        <f>cbal!E299</f>
        <v>0</v>
      </c>
      <c r="E299" s="741">
        <v>0</v>
      </c>
      <c r="F299" s="742">
        <v>0</v>
      </c>
      <c r="G299" s="742">
        <v>0</v>
      </c>
      <c r="H299" s="742">
        <v>0</v>
      </c>
      <c r="I299" s="742">
        <v>0</v>
      </c>
      <c r="J299" t="s">
        <v>4310</v>
      </c>
      <c r="K299" s="25">
        <v>0</v>
      </c>
      <c r="L299" t="b">
        <f t="shared" si="6"/>
        <v>1</v>
      </c>
    </row>
    <row r="300" spans="1:12" ht="11.25">
      <c r="B300" t="s">
        <v>2566</v>
      </c>
      <c r="D300" s="311">
        <f>cbal!E300</f>
        <v>0</v>
      </c>
      <c r="E300" s="741">
        <v>0</v>
      </c>
      <c r="F300" s="742">
        <v>0</v>
      </c>
      <c r="G300" s="742">
        <v>0</v>
      </c>
      <c r="H300" s="742">
        <v>0</v>
      </c>
      <c r="I300" s="742">
        <v>0</v>
      </c>
      <c r="J300" t="s">
        <v>2573</v>
      </c>
      <c r="K300" s="25">
        <v>0</v>
      </c>
      <c r="L300" t="b">
        <f t="shared" si="6"/>
        <v>1</v>
      </c>
    </row>
    <row r="301" spans="1:12" ht="11.25">
      <c r="B301" t="s">
        <v>2567</v>
      </c>
      <c r="D301" s="311">
        <f>cbal!E301</f>
        <v>0</v>
      </c>
      <c r="E301" s="741">
        <v>0</v>
      </c>
      <c r="F301" s="742">
        <v>0</v>
      </c>
      <c r="G301" s="742">
        <v>0</v>
      </c>
      <c r="H301" s="742">
        <v>0</v>
      </c>
      <c r="I301" s="742">
        <v>0</v>
      </c>
      <c r="J301" t="s">
        <v>1420</v>
      </c>
      <c r="K301" s="25">
        <v>0</v>
      </c>
      <c r="L301" t="b">
        <f t="shared" si="6"/>
        <v>1</v>
      </c>
    </row>
    <row r="302" spans="1:12" ht="11.25">
      <c r="B302" t="s">
        <v>2568</v>
      </c>
      <c r="D302" s="311">
        <f>cbal!E302</f>
        <v>0</v>
      </c>
      <c r="E302" s="741">
        <v>0</v>
      </c>
      <c r="F302" s="742">
        <v>0</v>
      </c>
      <c r="G302" s="742">
        <v>0</v>
      </c>
      <c r="H302" s="742">
        <v>0</v>
      </c>
      <c r="I302" s="742">
        <v>0</v>
      </c>
      <c r="J302" t="s">
        <v>1421</v>
      </c>
      <c r="K302" s="25">
        <v>0</v>
      </c>
      <c r="L302" t="b">
        <f t="shared" si="6"/>
        <v>1</v>
      </c>
    </row>
    <row r="303" spans="1:12" ht="11.25">
      <c r="B303" t="s">
        <v>2128</v>
      </c>
      <c r="D303" s="311">
        <f>cbal!E303</f>
        <v>0</v>
      </c>
      <c r="E303" s="741">
        <v>0</v>
      </c>
      <c r="F303" s="742">
        <v>0</v>
      </c>
      <c r="G303" s="742">
        <v>0</v>
      </c>
      <c r="H303" s="742">
        <v>0</v>
      </c>
      <c r="I303" s="742">
        <v>0</v>
      </c>
      <c r="J303" t="s">
        <v>1422</v>
      </c>
      <c r="K303" s="25">
        <v>0</v>
      </c>
      <c r="L303" t="b">
        <f t="shared" si="6"/>
        <v>1</v>
      </c>
    </row>
    <row r="304" spans="1:12" ht="11.25">
      <c r="B304" t="s">
        <v>2129</v>
      </c>
      <c r="D304" s="311">
        <f>cbal!E304</f>
        <v>0</v>
      </c>
      <c r="E304" s="741">
        <v>0</v>
      </c>
      <c r="F304" s="742">
        <v>0</v>
      </c>
      <c r="G304" s="742">
        <v>0</v>
      </c>
      <c r="H304" s="742">
        <v>0</v>
      </c>
      <c r="I304" s="742">
        <v>0</v>
      </c>
      <c r="J304" t="s">
        <v>1423</v>
      </c>
      <c r="K304" s="25">
        <v>0</v>
      </c>
      <c r="L304" t="b">
        <f t="shared" si="6"/>
        <v>1</v>
      </c>
    </row>
    <row r="305" spans="1:12" ht="11.25">
      <c r="B305" t="s">
        <v>2130</v>
      </c>
      <c r="D305" s="311">
        <f>cbal!E305</f>
        <v>0</v>
      </c>
      <c r="E305" s="741">
        <v>0</v>
      </c>
      <c r="F305" s="742">
        <v>0</v>
      </c>
      <c r="G305" s="742">
        <v>0</v>
      </c>
      <c r="H305" s="742">
        <v>0</v>
      </c>
      <c r="I305" s="742">
        <v>0</v>
      </c>
      <c r="J305" t="s">
        <v>1424</v>
      </c>
      <c r="K305" s="25">
        <v>0</v>
      </c>
      <c r="L305" t="b">
        <f t="shared" si="6"/>
        <v>1</v>
      </c>
    </row>
    <row r="306" spans="1:12" ht="11.25">
      <c r="B306" t="s">
        <v>1992</v>
      </c>
      <c r="D306" s="311">
        <f>cbal!E306</f>
        <v>0</v>
      </c>
      <c r="E306" s="741">
        <v>0</v>
      </c>
      <c r="F306" s="742">
        <v>0</v>
      </c>
      <c r="G306" s="742">
        <v>0</v>
      </c>
      <c r="H306" s="742">
        <v>0</v>
      </c>
      <c r="I306" s="742">
        <v>0</v>
      </c>
      <c r="J306" t="s">
        <v>4048</v>
      </c>
      <c r="K306" s="25">
        <v>0</v>
      </c>
      <c r="L306" t="b">
        <f t="shared" si="6"/>
        <v>1</v>
      </c>
    </row>
    <row r="307" spans="1:12" ht="11.25">
      <c r="B307" t="s">
        <v>1786</v>
      </c>
      <c r="D307" s="311">
        <f>cbal!E307</f>
        <v>0</v>
      </c>
      <c r="E307" s="741">
        <v>0</v>
      </c>
      <c r="F307" s="742">
        <v>0</v>
      </c>
      <c r="G307" s="742">
        <v>0</v>
      </c>
      <c r="H307" s="742">
        <v>0</v>
      </c>
      <c r="I307" s="742">
        <v>0</v>
      </c>
      <c r="J307" t="s">
        <v>4049</v>
      </c>
      <c r="K307" s="25">
        <v>0</v>
      </c>
      <c r="L307" t="b">
        <f t="shared" si="6"/>
        <v>1</v>
      </c>
    </row>
    <row r="308" spans="1:12" ht="11.25">
      <c r="B308" t="s">
        <v>1787</v>
      </c>
      <c r="D308" s="311">
        <f>cbal!E308</f>
        <v>0</v>
      </c>
      <c r="E308" s="741">
        <v>0</v>
      </c>
      <c r="F308" s="742">
        <v>0</v>
      </c>
      <c r="G308" s="742">
        <v>0</v>
      </c>
      <c r="H308" s="742">
        <v>0</v>
      </c>
      <c r="I308" s="742">
        <v>0</v>
      </c>
      <c r="J308" t="s">
        <v>4050</v>
      </c>
      <c r="K308" s="25">
        <v>0</v>
      </c>
      <c r="L308" t="b">
        <f t="shared" si="6"/>
        <v>1</v>
      </c>
    </row>
    <row r="309" spans="1:12" ht="11.25">
      <c r="B309" t="s">
        <v>1788</v>
      </c>
      <c r="D309" s="311">
        <f>cbal!E309</f>
        <v>0</v>
      </c>
      <c r="E309" s="741">
        <v>0</v>
      </c>
      <c r="F309" s="742">
        <v>0</v>
      </c>
      <c r="G309" s="742">
        <v>0</v>
      </c>
      <c r="H309" s="742">
        <v>0</v>
      </c>
      <c r="I309" s="742">
        <v>0</v>
      </c>
      <c r="J309" t="s">
        <v>4368</v>
      </c>
      <c r="K309" s="25">
        <v>0</v>
      </c>
      <c r="L309" t="b">
        <f t="shared" si="6"/>
        <v>1</v>
      </c>
    </row>
    <row r="310" spans="1:12" ht="11.25">
      <c r="B310" t="s">
        <v>4505</v>
      </c>
      <c r="D310" s="311">
        <f>cbal!E310</f>
        <v>0</v>
      </c>
      <c r="E310" s="741">
        <v>0</v>
      </c>
      <c r="F310" s="742">
        <v>0</v>
      </c>
      <c r="G310" s="742">
        <v>0</v>
      </c>
      <c r="H310" s="742">
        <v>0</v>
      </c>
      <c r="I310" s="742">
        <v>0</v>
      </c>
      <c r="J310" t="s">
        <v>4369</v>
      </c>
      <c r="K310" s="25">
        <v>0</v>
      </c>
      <c r="L310" t="b">
        <f t="shared" si="6"/>
        <v>1</v>
      </c>
    </row>
    <row r="311" spans="1:12" ht="11.25">
      <c r="B311" t="s">
        <v>822</v>
      </c>
      <c r="D311" s="311">
        <f>cbal!E311</f>
        <v>0</v>
      </c>
      <c r="E311" s="741">
        <v>0</v>
      </c>
      <c r="F311" s="742">
        <v>0</v>
      </c>
      <c r="G311" s="742">
        <v>0</v>
      </c>
      <c r="H311" s="742">
        <v>0</v>
      </c>
      <c r="I311" s="742">
        <v>0</v>
      </c>
      <c r="J311" t="s">
        <v>1252</v>
      </c>
      <c r="K311" s="25">
        <v>0</v>
      </c>
      <c r="L311" t="b">
        <f t="shared" si="6"/>
        <v>1</v>
      </c>
    </row>
    <row r="312" spans="1:12" ht="11.25">
      <c r="B312" t="s">
        <v>823</v>
      </c>
      <c r="D312" s="311">
        <f>cbal!E312</f>
        <v>0</v>
      </c>
      <c r="E312" s="741">
        <v>0</v>
      </c>
      <c r="F312" s="742">
        <v>0</v>
      </c>
      <c r="G312" s="742">
        <v>0</v>
      </c>
      <c r="H312" s="742">
        <v>0</v>
      </c>
      <c r="I312" s="742">
        <v>0</v>
      </c>
      <c r="J312" t="s">
        <v>1253</v>
      </c>
      <c r="K312" s="25">
        <v>0</v>
      </c>
      <c r="L312" t="b">
        <f t="shared" si="6"/>
        <v>1</v>
      </c>
    </row>
    <row r="313" spans="1:12" ht="11.25">
      <c r="B313" t="s">
        <v>824</v>
      </c>
      <c r="D313" s="311">
        <f>cbal!E313</f>
        <v>0</v>
      </c>
      <c r="E313" s="741">
        <v>0</v>
      </c>
      <c r="F313" s="742">
        <v>0</v>
      </c>
      <c r="G313" s="742">
        <v>0</v>
      </c>
      <c r="H313" s="742">
        <v>0</v>
      </c>
      <c r="I313" s="742">
        <v>0</v>
      </c>
      <c r="J313" t="s">
        <v>1254</v>
      </c>
      <c r="K313" s="25">
        <v>0</v>
      </c>
      <c r="L313" t="b">
        <f t="shared" si="6"/>
        <v>1</v>
      </c>
    </row>
    <row r="314" spans="1:12" ht="11.25">
      <c r="B314" t="s">
        <v>825</v>
      </c>
      <c r="D314" s="311">
        <f>cbal!E314</f>
        <v>0</v>
      </c>
      <c r="E314" s="741">
        <v>0</v>
      </c>
      <c r="F314" s="742">
        <v>0</v>
      </c>
      <c r="G314" s="742">
        <v>0</v>
      </c>
      <c r="H314" s="742">
        <v>0</v>
      </c>
      <c r="I314" s="742">
        <v>0</v>
      </c>
      <c r="J314" t="s">
        <v>1255</v>
      </c>
      <c r="K314" s="25">
        <v>0</v>
      </c>
      <c r="L314" t="b">
        <f t="shared" si="6"/>
        <v>1</v>
      </c>
    </row>
    <row r="315" spans="1:12" ht="11.25">
      <c r="B315" t="s">
        <v>826</v>
      </c>
      <c r="D315" s="311">
        <f>cbal!E315</f>
        <v>0</v>
      </c>
      <c r="E315" s="741">
        <v>0</v>
      </c>
      <c r="F315" s="742">
        <v>0</v>
      </c>
      <c r="G315" s="742">
        <v>0</v>
      </c>
      <c r="H315" s="742">
        <v>0</v>
      </c>
      <c r="I315" s="742">
        <v>0</v>
      </c>
      <c r="J315" t="s">
        <v>1256</v>
      </c>
      <c r="K315" s="25">
        <v>0</v>
      </c>
      <c r="L315" t="b">
        <f t="shared" si="6"/>
        <v>1</v>
      </c>
    </row>
    <row r="316" spans="1:12" ht="11.25">
      <c r="B316" t="s">
        <v>827</v>
      </c>
      <c r="D316" s="311">
        <f>cbal!E316</f>
        <v>0</v>
      </c>
      <c r="E316" s="741">
        <v>0</v>
      </c>
      <c r="F316" s="742">
        <v>0</v>
      </c>
      <c r="G316" s="742">
        <v>0</v>
      </c>
      <c r="H316" s="742">
        <v>0</v>
      </c>
      <c r="I316" s="742">
        <v>0</v>
      </c>
      <c r="J316" t="s">
        <v>1257</v>
      </c>
      <c r="K316" s="25">
        <v>0</v>
      </c>
      <c r="L316" t="b">
        <f t="shared" si="6"/>
        <v>1</v>
      </c>
    </row>
    <row r="317" spans="1:12" ht="11.25">
      <c r="B317" t="s">
        <v>828</v>
      </c>
      <c r="D317" s="311">
        <f>cbal!E317</f>
        <v>0</v>
      </c>
      <c r="E317" s="747">
        <v>0</v>
      </c>
      <c r="F317" s="748">
        <v>0</v>
      </c>
      <c r="G317" s="748">
        <v>0</v>
      </c>
      <c r="H317" s="748">
        <v>0</v>
      </c>
      <c r="I317" s="748">
        <v>0</v>
      </c>
      <c r="J317" t="s">
        <v>1258</v>
      </c>
      <c r="K317" s="25">
        <v>0</v>
      </c>
      <c r="L317" t="b">
        <f t="shared" si="6"/>
        <v>1</v>
      </c>
    </row>
    <row r="318" spans="1:12" ht="11.25">
      <c r="B318" t="s">
        <v>1340</v>
      </c>
      <c r="D318" s="10"/>
      <c r="E318" s="736">
        <v>0</v>
      </c>
      <c r="F318" s="737">
        <v>0</v>
      </c>
      <c r="G318" s="737">
        <v>0</v>
      </c>
      <c r="H318" s="737">
        <v>0</v>
      </c>
      <c r="I318" s="737">
        <v>0</v>
      </c>
      <c r="J318" t="s">
        <v>98</v>
      </c>
      <c r="K318" s="25">
        <v>0</v>
      </c>
      <c r="L318" t="b">
        <f t="shared" ref="L318:L348" si="7">MAX(E318:I318)=MIN(E318:I318)</f>
        <v>1</v>
      </c>
    </row>
    <row r="319" spans="1:12" ht="11.25">
      <c r="A319" s="2" t="s">
        <v>829</v>
      </c>
      <c r="D319" s="10"/>
      <c r="E319" s="741"/>
      <c r="F319" s="742"/>
      <c r="G319" s="742"/>
      <c r="H319" s="742"/>
      <c r="I319" s="742"/>
      <c r="K319" s="25"/>
      <c r="L319" t="b">
        <f t="shared" si="7"/>
        <v>1</v>
      </c>
    </row>
    <row r="320" spans="1:12" ht="11.25">
      <c r="B320" t="s">
        <v>1701</v>
      </c>
      <c r="D320" s="10">
        <v>0.92</v>
      </c>
      <c r="E320" s="736">
        <v>350494849.90157366</v>
      </c>
      <c r="F320" s="736">
        <v>350494849.90157366</v>
      </c>
      <c r="G320" s="736">
        <v>350494849.90157366</v>
      </c>
      <c r="H320" s="736">
        <v>350494849.90157366</v>
      </c>
      <c r="I320" s="736">
        <v>350494849.90157366</v>
      </c>
      <c r="J320" t="s">
        <v>830</v>
      </c>
      <c r="K320" s="25">
        <v>361352769.97368616</v>
      </c>
      <c r="L320" t="b">
        <f t="shared" si="7"/>
        <v>1</v>
      </c>
    </row>
    <row r="321" spans="2:12" ht="11.25">
      <c r="B321" t="s">
        <v>2160</v>
      </c>
      <c r="D321" s="10"/>
      <c r="E321" s="736">
        <v>716064747.11074233</v>
      </c>
      <c r="F321" s="736">
        <v>716064747.11074233</v>
      </c>
      <c r="G321" s="736">
        <v>716064747.11074233</v>
      </c>
      <c r="H321" s="736">
        <v>716064747.11074233</v>
      </c>
      <c r="I321" s="736">
        <v>716064747.11074233</v>
      </c>
      <c r="J321" t="s">
        <v>831</v>
      </c>
      <c r="K321" s="25">
        <v>738247594.56989694</v>
      </c>
      <c r="L321" t="b">
        <f t="shared" si="7"/>
        <v>1</v>
      </c>
    </row>
    <row r="322" spans="2:12" ht="11.25">
      <c r="B322" t="s">
        <v>2559</v>
      </c>
      <c r="D322" s="10"/>
      <c r="E322" s="736">
        <v>184977573.81431642</v>
      </c>
      <c r="F322" s="736">
        <v>184977573.81431642</v>
      </c>
      <c r="G322" s="736">
        <v>184977573.81431642</v>
      </c>
      <c r="H322" s="736">
        <v>184977573.81431642</v>
      </c>
      <c r="I322" s="736">
        <v>184977573.81431642</v>
      </c>
      <c r="J322" t="s">
        <v>4354</v>
      </c>
      <c r="K322" s="25">
        <v>192196467.85469052</v>
      </c>
      <c r="L322" t="b">
        <f t="shared" si="7"/>
        <v>1</v>
      </c>
    </row>
    <row r="323" spans="2:12" ht="11.25">
      <c r="B323" t="s">
        <v>2560</v>
      </c>
      <c r="D323" s="10"/>
      <c r="E323" s="736">
        <v>305829588.70633566</v>
      </c>
      <c r="F323" s="736">
        <v>305829588.70633566</v>
      </c>
      <c r="G323" s="736">
        <v>305829588.70633566</v>
      </c>
      <c r="H323" s="736">
        <v>305829588.70633566</v>
      </c>
      <c r="I323" s="736">
        <v>305829588.70633566</v>
      </c>
      <c r="J323" t="s">
        <v>4355</v>
      </c>
      <c r="K323" s="25">
        <v>317764826.85308748</v>
      </c>
      <c r="L323" t="b">
        <f t="shared" si="7"/>
        <v>1</v>
      </c>
    </row>
    <row r="324" spans="2:12" ht="11.25">
      <c r="B324" t="s">
        <v>2561</v>
      </c>
      <c r="D324" s="10"/>
      <c r="E324" s="736">
        <v>480875592.5943976</v>
      </c>
      <c r="F324" s="736">
        <v>480875592.5943976</v>
      </c>
      <c r="G324" s="736">
        <v>480875592.5943976</v>
      </c>
      <c r="H324" s="736">
        <v>480875592.5943976</v>
      </c>
      <c r="I324" s="736">
        <v>480875592.5943976</v>
      </c>
      <c r="J324" t="s">
        <v>4356</v>
      </c>
      <c r="K324" s="25">
        <v>494814507.03891736</v>
      </c>
      <c r="L324" t="b">
        <f t="shared" si="7"/>
        <v>1</v>
      </c>
    </row>
    <row r="325" spans="2:12" ht="11.25">
      <c r="B325" t="s">
        <v>2562</v>
      </c>
      <c r="D325" s="10"/>
      <c r="E325" s="736">
        <v>150750473.07594559</v>
      </c>
      <c r="F325" s="736">
        <v>150750473.07594559</v>
      </c>
      <c r="G325" s="736">
        <v>150750473.07594559</v>
      </c>
      <c r="H325" s="736">
        <v>150750473.07594559</v>
      </c>
      <c r="I325" s="736">
        <v>150750473.07594559</v>
      </c>
      <c r="J325" t="s">
        <v>4357</v>
      </c>
      <c r="K325" s="25">
        <v>155420546.2252413</v>
      </c>
      <c r="L325" t="b">
        <f t="shared" si="7"/>
        <v>1</v>
      </c>
    </row>
    <row r="326" spans="2:12" ht="11.25">
      <c r="B326" t="s">
        <v>2563</v>
      </c>
      <c r="D326" s="10"/>
      <c r="E326" s="736">
        <v>313834597.27213341</v>
      </c>
      <c r="F326" s="736">
        <v>313834597.27213341</v>
      </c>
      <c r="G326" s="736">
        <v>313834597.27213341</v>
      </c>
      <c r="H326" s="736">
        <v>313834597.27213341</v>
      </c>
      <c r="I326" s="736">
        <v>313834597.27213341</v>
      </c>
      <c r="J326" t="s">
        <v>4358</v>
      </c>
      <c r="K326" s="25">
        <v>322931573.01487261</v>
      </c>
      <c r="L326" t="b">
        <f t="shared" si="7"/>
        <v>1</v>
      </c>
    </row>
    <row r="327" spans="2:12" ht="11.25">
      <c r="B327" t="s">
        <v>2564</v>
      </c>
      <c r="D327" s="10"/>
      <c r="E327" s="736">
        <v>400729660.49533105</v>
      </c>
      <c r="F327" s="736">
        <v>400729660.49533105</v>
      </c>
      <c r="G327" s="736">
        <v>400729660.49533105</v>
      </c>
      <c r="H327" s="736">
        <v>400729660.49533105</v>
      </c>
      <c r="I327" s="736">
        <v>400729660.49533105</v>
      </c>
      <c r="J327" t="s">
        <v>516</v>
      </c>
      <c r="K327" s="25">
        <v>412345422.53243083</v>
      </c>
      <c r="L327" t="b">
        <f t="shared" si="7"/>
        <v>1</v>
      </c>
    </row>
    <row r="328" spans="2:12" ht="11.25">
      <c r="B328" t="s">
        <v>2565</v>
      </c>
      <c r="D328" s="10"/>
      <c r="E328" s="736">
        <v>110986544.28858933</v>
      </c>
      <c r="F328" s="736">
        <v>110986544.28858933</v>
      </c>
      <c r="G328" s="736">
        <v>110986544.28858933</v>
      </c>
      <c r="H328" s="736">
        <v>110986544.28858933</v>
      </c>
      <c r="I328" s="736">
        <v>110986544.28858933</v>
      </c>
      <c r="J328" t="s">
        <v>517</v>
      </c>
      <c r="K328" s="25">
        <v>115317880.71281376</v>
      </c>
      <c r="L328" t="b">
        <f t="shared" si="7"/>
        <v>1</v>
      </c>
    </row>
    <row r="329" spans="2:12" ht="11.25">
      <c r="B329" t="s">
        <v>2566</v>
      </c>
      <c r="D329" s="10"/>
      <c r="E329" s="736">
        <v>311550977.69028759</v>
      </c>
      <c r="F329" s="736">
        <v>311550977.69028759</v>
      </c>
      <c r="G329" s="736">
        <v>311550977.69028759</v>
      </c>
      <c r="H329" s="736">
        <v>311550977.69028759</v>
      </c>
      <c r="I329" s="736">
        <v>311550977.69028759</v>
      </c>
      <c r="J329" t="s">
        <v>1201</v>
      </c>
      <c r="K329" s="25">
        <v>321202462.19883204</v>
      </c>
      <c r="L329" t="b">
        <f t="shared" si="7"/>
        <v>1</v>
      </c>
    </row>
    <row r="330" spans="2:12" ht="11.25">
      <c r="B330" t="s">
        <v>2567</v>
      </c>
      <c r="D330" s="10"/>
      <c r="E330" s="736">
        <v>480875592.5943976</v>
      </c>
      <c r="F330" s="736">
        <v>480875592.5943976</v>
      </c>
      <c r="G330" s="736">
        <v>480875592.5943976</v>
      </c>
      <c r="H330" s="736">
        <v>480875592.5943976</v>
      </c>
      <c r="I330" s="736">
        <v>480875592.5943976</v>
      </c>
      <c r="J330" t="s">
        <v>1202</v>
      </c>
      <c r="K330" s="25">
        <v>494814507.03891736</v>
      </c>
      <c r="L330" t="b">
        <f t="shared" si="7"/>
        <v>1</v>
      </c>
    </row>
    <row r="331" spans="2:12" ht="11.25">
      <c r="B331" t="s">
        <v>2568</v>
      </c>
      <c r="D331" s="10"/>
      <c r="E331" s="736">
        <v>150750473.07594559</v>
      </c>
      <c r="F331" s="736">
        <v>150750473.07594559</v>
      </c>
      <c r="G331" s="736">
        <v>150750473.07594559</v>
      </c>
      <c r="H331" s="736">
        <v>150750473.07594559</v>
      </c>
      <c r="I331" s="736">
        <v>150750473.07594559</v>
      </c>
      <c r="J331" t="s">
        <v>198</v>
      </c>
      <c r="K331" s="25">
        <v>155420546.2252413</v>
      </c>
      <c r="L331" t="b">
        <f t="shared" si="7"/>
        <v>1</v>
      </c>
    </row>
    <row r="332" spans="2:12" ht="11.25">
      <c r="B332" t="s">
        <v>2128</v>
      </c>
      <c r="D332" s="10"/>
      <c r="E332" s="736">
        <v>313834597.27213341</v>
      </c>
      <c r="F332" s="736">
        <v>313834597.27213341</v>
      </c>
      <c r="G332" s="736">
        <v>313834597.27213341</v>
      </c>
      <c r="H332" s="736">
        <v>313834597.27213341</v>
      </c>
      <c r="I332" s="736">
        <v>313834597.27213341</v>
      </c>
      <c r="J332" t="s">
        <v>199</v>
      </c>
      <c r="K332" s="25">
        <v>322931573.01487261</v>
      </c>
      <c r="L332" t="b">
        <f t="shared" si="7"/>
        <v>1</v>
      </c>
    </row>
    <row r="333" spans="2:12" ht="11.25">
      <c r="B333" t="s">
        <v>2129</v>
      </c>
      <c r="D333" s="10"/>
      <c r="E333" s="736">
        <v>390508211.38577855</v>
      </c>
      <c r="F333" s="736">
        <v>390508211.38577855</v>
      </c>
      <c r="G333" s="736">
        <v>390508211.38577855</v>
      </c>
      <c r="H333" s="736">
        <v>390508211.38577855</v>
      </c>
      <c r="I333" s="736">
        <v>390508211.38577855</v>
      </c>
      <c r="J333" t="s">
        <v>200</v>
      </c>
      <c r="K333" s="25">
        <v>405748098.80434608</v>
      </c>
      <c r="L333" t="b">
        <f t="shared" si="7"/>
        <v>1</v>
      </c>
    </row>
    <row r="334" spans="2:12" ht="11.25">
      <c r="B334" t="s">
        <v>2130</v>
      </c>
      <c r="D334" s="10"/>
      <c r="E334" s="736">
        <v>226125709.61391839</v>
      </c>
      <c r="F334" s="736">
        <v>226125709.61391839</v>
      </c>
      <c r="G334" s="736">
        <v>226125709.61391839</v>
      </c>
      <c r="H334" s="736">
        <v>226125709.61391839</v>
      </c>
      <c r="I334" s="736">
        <v>226125709.61391839</v>
      </c>
      <c r="J334" t="s">
        <v>2279</v>
      </c>
      <c r="K334" s="25">
        <v>233130819.33786196</v>
      </c>
      <c r="L334" t="b">
        <f t="shared" si="7"/>
        <v>1</v>
      </c>
    </row>
    <row r="335" spans="2:12" ht="11.25">
      <c r="B335" t="s">
        <v>1992</v>
      </c>
      <c r="D335" s="10"/>
      <c r="E335" s="736">
        <v>458744383.05950397</v>
      </c>
      <c r="F335" s="736">
        <v>458744383.05950397</v>
      </c>
      <c r="G335" s="736">
        <v>458744383.05950397</v>
      </c>
      <c r="H335" s="736">
        <v>458744383.05950397</v>
      </c>
      <c r="I335" s="736">
        <v>458744383.05950397</v>
      </c>
      <c r="J335" t="s">
        <v>2273</v>
      </c>
      <c r="K335" s="25">
        <v>476647240.27963173</v>
      </c>
      <c r="L335" t="b">
        <f t="shared" si="7"/>
        <v>1</v>
      </c>
    </row>
    <row r="336" spans="2:12" ht="11.25">
      <c r="B336" t="s">
        <v>1786</v>
      </c>
      <c r="D336" s="10"/>
      <c r="E336" s="736">
        <v>400729660.49533105</v>
      </c>
      <c r="F336" s="736">
        <v>400729660.49533105</v>
      </c>
      <c r="G336" s="736">
        <v>400729660.49533105</v>
      </c>
      <c r="H336" s="736">
        <v>400729660.49533105</v>
      </c>
      <c r="I336" s="736">
        <v>400729660.49533105</v>
      </c>
      <c r="J336" t="s">
        <v>87</v>
      </c>
      <c r="K336" s="25">
        <v>412345422.53243083</v>
      </c>
      <c r="L336" t="b">
        <f t="shared" si="7"/>
        <v>1</v>
      </c>
    </row>
    <row r="337" spans="1:12" ht="11.25">
      <c r="B337" t="s">
        <v>1787</v>
      </c>
      <c r="D337" s="10"/>
      <c r="E337" s="736">
        <v>226125709.61391839</v>
      </c>
      <c r="F337" s="736">
        <v>226125709.61391839</v>
      </c>
      <c r="G337" s="736">
        <v>226125709.61391839</v>
      </c>
      <c r="H337" s="736">
        <v>226125709.61391839</v>
      </c>
      <c r="I337" s="736">
        <v>226125709.61391839</v>
      </c>
      <c r="J337" t="s">
        <v>88</v>
      </c>
      <c r="K337" s="25">
        <v>233130819.33786196</v>
      </c>
      <c r="L337" t="b">
        <f t="shared" si="7"/>
        <v>1</v>
      </c>
    </row>
    <row r="338" spans="1:12" ht="11.25">
      <c r="B338" t="s">
        <v>1788</v>
      </c>
      <c r="D338" s="10"/>
      <c r="E338" s="736">
        <v>155775488.84514424</v>
      </c>
      <c r="F338" s="736">
        <v>155775488.84514424</v>
      </c>
      <c r="G338" s="736">
        <v>155775488.84514424</v>
      </c>
      <c r="H338" s="736">
        <v>155775488.84514424</v>
      </c>
      <c r="I338" s="736">
        <v>155775488.84514424</v>
      </c>
      <c r="J338" t="s">
        <v>89</v>
      </c>
      <c r="K338" s="25">
        <v>160601231.09941649</v>
      </c>
      <c r="L338" t="b">
        <f t="shared" si="7"/>
        <v>1</v>
      </c>
    </row>
    <row r="339" spans="1:12" ht="11.25">
      <c r="B339" t="s">
        <v>4505</v>
      </c>
      <c r="D339" s="10"/>
      <c r="E339" s="736">
        <v>390508211.38577855</v>
      </c>
      <c r="F339" s="736">
        <v>390508211.38577855</v>
      </c>
      <c r="G339" s="736">
        <v>390508211.38577855</v>
      </c>
      <c r="H339" s="736">
        <v>390508211.38577855</v>
      </c>
      <c r="I339" s="736">
        <v>390508211.38577855</v>
      </c>
      <c r="J339" t="s">
        <v>90</v>
      </c>
      <c r="K339" s="25">
        <v>405748098.80434608</v>
      </c>
      <c r="L339" t="b">
        <f t="shared" si="7"/>
        <v>1</v>
      </c>
    </row>
    <row r="340" spans="1:12" ht="11.25">
      <c r="B340" t="s">
        <v>822</v>
      </c>
      <c r="D340" s="10"/>
      <c r="E340" s="736">
        <v>110986544.28858933</v>
      </c>
      <c r="F340" s="736">
        <v>110986544.28858933</v>
      </c>
      <c r="G340" s="736">
        <v>110986544.28858933</v>
      </c>
      <c r="H340" s="736">
        <v>110986544.28858933</v>
      </c>
      <c r="I340" s="736">
        <v>110986544.28858933</v>
      </c>
      <c r="J340" t="s">
        <v>91</v>
      </c>
      <c r="K340" s="25">
        <v>115317880.71281376</v>
      </c>
      <c r="L340" t="b">
        <f t="shared" si="7"/>
        <v>1</v>
      </c>
    </row>
    <row r="341" spans="1:12" ht="11.25">
      <c r="B341" t="s">
        <v>823</v>
      </c>
      <c r="D341" s="10"/>
      <c r="E341" s="736">
        <v>305829588.70633566</v>
      </c>
      <c r="F341" s="736">
        <v>305829588.70633566</v>
      </c>
      <c r="G341" s="736">
        <v>305829588.70633566</v>
      </c>
      <c r="H341" s="736">
        <v>305829588.70633566</v>
      </c>
      <c r="I341" s="736">
        <v>305829588.70633566</v>
      </c>
      <c r="J341" t="s">
        <v>92</v>
      </c>
      <c r="K341" s="25">
        <v>317764826.85308748</v>
      </c>
      <c r="L341" t="b">
        <f t="shared" si="7"/>
        <v>1</v>
      </c>
    </row>
    <row r="342" spans="1:12" ht="11.25">
      <c r="B342" t="s">
        <v>824</v>
      </c>
      <c r="D342" s="10"/>
      <c r="E342" s="736">
        <v>397813748.39485663</v>
      </c>
      <c r="F342" s="736">
        <v>397813748.39485663</v>
      </c>
      <c r="G342" s="736">
        <v>397813748.39485663</v>
      </c>
      <c r="H342" s="736">
        <v>397813748.39485663</v>
      </c>
      <c r="I342" s="736">
        <v>397813748.39485663</v>
      </c>
      <c r="J342" t="s">
        <v>93</v>
      </c>
      <c r="K342" s="25">
        <v>410137552.53883141</v>
      </c>
      <c r="L342" t="b">
        <f t="shared" si="7"/>
        <v>1</v>
      </c>
    </row>
    <row r="343" spans="1:12" ht="11.25">
      <c r="B343" t="s">
        <v>825</v>
      </c>
      <c r="D343" s="10"/>
      <c r="E343" s="736">
        <v>303710900.58593518</v>
      </c>
      <c r="F343" s="736">
        <v>303710900.58593518</v>
      </c>
      <c r="G343" s="736">
        <v>303710900.58593518</v>
      </c>
      <c r="H343" s="736">
        <v>303710900.58593518</v>
      </c>
      <c r="I343" s="736">
        <v>303710900.58593518</v>
      </c>
      <c r="J343" t="s">
        <v>1129</v>
      </c>
      <c r="K343" s="25">
        <v>312514425.49826342</v>
      </c>
      <c r="L343" t="b">
        <f t="shared" si="7"/>
        <v>1</v>
      </c>
    </row>
    <row r="344" spans="1:12" ht="11.25">
      <c r="B344" t="s">
        <v>826</v>
      </c>
      <c r="D344" s="10"/>
      <c r="E344" s="736">
        <v>382286985.88292027</v>
      </c>
      <c r="F344" s="736">
        <v>382286985.88292027</v>
      </c>
      <c r="G344" s="736">
        <v>382286985.88292027</v>
      </c>
      <c r="H344" s="736">
        <v>382286985.88292027</v>
      </c>
      <c r="I344" s="736">
        <v>382286985.88292027</v>
      </c>
      <c r="J344" t="s">
        <v>4026</v>
      </c>
      <c r="K344" s="25">
        <v>397206033.56636006</v>
      </c>
      <c r="L344" t="b">
        <f t="shared" si="7"/>
        <v>1</v>
      </c>
    </row>
    <row r="345" spans="1:12" ht="11.25">
      <c r="B345" t="s">
        <v>827</v>
      </c>
      <c r="D345" s="10"/>
      <c r="E345" s="736">
        <v>546711495.94008923</v>
      </c>
      <c r="F345" s="736">
        <v>546711495.94008923</v>
      </c>
      <c r="G345" s="736">
        <v>546711495.94008923</v>
      </c>
      <c r="H345" s="736">
        <v>546711495.94008923</v>
      </c>
      <c r="I345" s="736">
        <v>546711495.94008923</v>
      </c>
      <c r="J345" t="s">
        <v>4027</v>
      </c>
      <c r="K345" s="25">
        <v>568047338.32608378</v>
      </c>
      <c r="L345" t="b">
        <f t="shared" si="7"/>
        <v>1</v>
      </c>
    </row>
    <row r="346" spans="1:12" ht="11.25">
      <c r="B346" t="s">
        <v>828</v>
      </c>
      <c r="D346" s="10"/>
      <c r="E346" s="736">
        <v>295964118.10290575</v>
      </c>
      <c r="F346" s="736">
        <v>295964118.10290575</v>
      </c>
      <c r="G346" s="736">
        <v>295964118.10290575</v>
      </c>
      <c r="H346" s="736">
        <v>295964118.10290575</v>
      </c>
      <c r="I346" s="736">
        <v>295964118.10290575</v>
      </c>
      <c r="J346" t="s">
        <v>4028</v>
      </c>
      <c r="K346" s="25">
        <v>307514348.56750429</v>
      </c>
      <c r="L346" t="b">
        <f t="shared" si="7"/>
        <v>1</v>
      </c>
    </row>
    <row r="347" spans="1:12" ht="11.25">
      <c r="D347" s="10">
        <f>cbal!E347</f>
        <v>0</v>
      </c>
      <c r="E347" s="109"/>
      <c r="F347" s="26"/>
      <c r="G347" s="26"/>
      <c r="H347" s="26"/>
      <c r="I347" s="26"/>
      <c r="K347" s="25"/>
      <c r="L347" t="b">
        <f t="shared" si="7"/>
        <v>1</v>
      </c>
    </row>
    <row r="348" spans="1:12" ht="11.25">
      <c r="D348" s="10"/>
      <c r="E348" s="736"/>
      <c r="F348" s="737"/>
      <c r="G348" s="737"/>
      <c r="H348" s="737"/>
      <c r="I348" s="737"/>
      <c r="K348" s="25"/>
      <c r="L348" t="b">
        <f t="shared" si="7"/>
        <v>1</v>
      </c>
    </row>
    <row r="349" spans="1:12" ht="11.25">
      <c r="A349" s="2" t="s">
        <v>424</v>
      </c>
      <c r="D349" s="10"/>
      <c r="E349" s="741"/>
      <c r="F349" s="742"/>
      <c r="G349" s="742"/>
      <c r="H349" s="742"/>
      <c r="I349" s="742"/>
      <c r="K349" s="25"/>
      <c r="L349" t="b">
        <f t="shared" ref="L349:L473" si="8">MAX(E349:I349)=MIN(E349:I349)</f>
        <v>1</v>
      </c>
    </row>
    <row r="350" spans="1:12" ht="11.25">
      <c r="B350" t="s">
        <v>1701</v>
      </c>
      <c r="D350" s="10"/>
      <c r="E350" s="741">
        <v>0</v>
      </c>
      <c r="F350" s="742">
        <v>0</v>
      </c>
      <c r="G350" s="742">
        <v>0</v>
      </c>
      <c r="H350" s="742">
        <v>0</v>
      </c>
      <c r="I350" s="742">
        <v>0</v>
      </c>
      <c r="J350" t="s">
        <v>4088</v>
      </c>
      <c r="K350" s="25">
        <v>0</v>
      </c>
      <c r="L350" t="b">
        <f t="shared" si="8"/>
        <v>1</v>
      </c>
    </row>
    <row r="351" spans="1:12" ht="11.25">
      <c r="B351" t="s">
        <v>2160</v>
      </c>
      <c r="D351" s="10"/>
      <c r="E351" s="741">
        <v>0</v>
      </c>
      <c r="F351" s="742">
        <v>0</v>
      </c>
      <c r="G351" s="742">
        <v>0</v>
      </c>
      <c r="H351" s="742">
        <v>0</v>
      </c>
      <c r="I351" s="742">
        <v>0</v>
      </c>
      <c r="J351" t="s">
        <v>4089</v>
      </c>
      <c r="K351" s="25">
        <v>0</v>
      </c>
      <c r="L351" t="b">
        <f t="shared" si="8"/>
        <v>1</v>
      </c>
    </row>
    <row r="352" spans="1:12" ht="11.25">
      <c r="B352" t="s">
        <v>2559</v>
      </c>
      <c r="D352" s="10"/>
      <c r="E352" s="741">
        <v>0</v>
      </c>
      <c r="F352" s="742">
        <v>0</v>
      </c>
      <c r="G352" s="742">
        <v>0</v>
      </c>
      <c r="H352" s="742">
        <v>0</v>
      </c>
      <c r="I352" s="742">
        <v>0</v>
      </c>
      <c r="J352" t="s">
        <v>4090</v>
      </c>
      <c r="K352" s="25">
        <v>0</v>
      </c>
      <c r="L352" t="b">
        <f t="shared" si="8"/>
        <v>1</v>
      </c>
    </row>
    <row r="353" spans="2:12" ht="11.25">
      <c r="B353" t="s">
        <v>2560</v>
      </c>
      <c r="D353" s="10"/>
      <c r="E353" s="741">
        <v>0</v>
      </c>
      <c r="F353" s="742">
        <v>0</v>
      </c>
      <c r="G353" s="742">
        <v>0</v>
      </c>
      <c r="H353" s="742">
        <v>0</v>
      </c>
      <c r="I353" s="742">
        <v>0</v>
      </c>
      <c r="J353" t="s">
        <v>4091</v>
      </c>
      <c r="K353" s="25">
        <v>0</v>
      </c>
      <c r="L353" t="b">
        <f t="shared" si="8"/>
        <v>1</v>
      </c>
    </row>
    <row r="354" spans="2:12" ht="11.25">
      <c r="B354" t="s">
        <v>2561</v>
      </c>
      <c r="D354" s="10"/>
      <c r="E354" s="741">
        <v>0</v>
      </c>
      <c r="F354" s="742">
        <v>0</v>
      </c>
      <c r="G354" s="742">
        <v>0</v>
      </c>
      <c r="H354" s="742">
        <v>0</v>
      </c>
      <c r="I354" s="742">
        <v>0</v>
      </c>
      <c r="J354" t="s">
        <v>4092</v>
      </c>
      <c r="K354" s="25">
        <v>0</v>
      </c>
      <c r="L354" t="b">
        <f t="shared" si="8"/>
        <v>1</v>
      </c>
    </row>
    <row r="355" spans="2:12" ht="11.25">
      <c r="B355" t="s">
        <v>2562</v>
      </c>
      <c r="D355" s="10"/>
      <c r="E355" s="741">
        <v>0</v>
      </c>
      <c r="F355" s="742">
        <v>0</v>
      </c>
      <c r="G355" s="742">
        <v>0</v>
      </c>
      <c r="H355" s="742">
        <v>0</v>
      </c>
      <c r="I355" s="742">
        <v>0</v>
      </c>
      <c r="J355" t="s">
        <v>1934</v>
      </c>
      <c r="K355" s="25">
        <v>0</v>
      </c>
      <c r="L355" t="b">
        <f t="shared" si="8"/>
        <v>1</v>
      </c>
    </row>
    <row r="356" spans="2:12" ht="11.25">
      <c r="B356" t="s">
        <v>2563</v>
      </c>
      <c r="D356" s="10"/>
      <c r="E356" s="741">
        <v>0</v>
      </c>
      <c r="F356" s="742">
        <v>0</v>
      </c>
      <c r="G356" s="742">
        <v>0</v>
      </c>
      <c r="H356" s="742">
        <v>0</v>
      </c>
      <c r="I356" s="742">
        <v>0</v>
      </c>
      <c r="J356" t="s">
        <v>1935</v>
      </c>
      <c r="K356" s="25">
        <v>0</v>
      </c>
      <c r="L356" t="b">
        <f t="shared" si="8"/>
        <v>1</v>
      </c>
    </row>
    <row r="357" spans="2:12" ht="11.25">
      <c r="B357" t="s">
        <v>2564</v>
      </c>
      <c r="D357" s="10"/>
      <c r="E357" s="741">
        <v>0</v>
      </c>
      <c r="F357" s="742">
        <v>0</v>
      </c>
      <c r="G357" s="742">
        <v>0</v>
      </c>
      <c r="H357" s="742">
        <v>0</v>
      </c>
      <c r="I357" s="742">
        <v>0</v>
      </c>
      <c r="J357" t="s">
        <v>1936</v>
      </c>
      <c r="K357" s="25">
        <v>0</v>
      </c>
      <c r="L357" t="b">
        <f t="shared" si="8"/>
        <v>1</v>
      </c>
    </row>
    <row r="358" spans="2:12" ht="11.25">
      <c r="B358" t="s">
        <v>2565</v>
      </c>
      <c r="D358" s="10"/>
      <c r="E358" s="741">
        <v>0</v>
      </c>
      <c r="F358" s="742">
        <v>0</v>
      </c>
      <c r="G358" s="742">
        <v>0</v>
      </c>
      <c r="H358" s="742">
        <v>0</v>
      </c>
      <c r="I358" s="742">
        <v>0</v>
      </c>
      <c r="J358" t="s">
        <v>1937</v>
      </c>
      <c r="K358" s="25">
        <v>0</v>
      </c>
      <c r="L358" t="b">
        <f t="shared" si="8"/>
        <v>1</v>
      </c>
    </row>
    <row r="359" spans="2:12" ht="11.25">
      <c r="B359" t="s">
        <v>2566</v>
      </c>
      <c r="D359" s="10"/>
      <c r="E359" s="741">
        <v>0</v>
      </c>
      <c r="F359" s="742">
        <v>0</v>
      </c>
      <c r="G359" s="742">
        <v>0</v>
      </c>
      <c r="H359" s="742">
        <v>0</v>
      </c>
      <c r="I359" s="742">
        <v>0</v>
      </c>
      <c r="J359" t="s">
        <v>1938</v>
      </c>
      <c r="K359" s="25">
        <v>0</v>
      </c>
      <c r="L359" t="b">
        <f t="shared" si="8"/>
        <v>1</v>
      </c>
    </row>
    <row r="360" spans="2:12" ht="11.25">
      <c r="B360" t="s">
        <v>2567</v>
      </c>
      <c r="D360" s="10"/>
      <c r="E360" s="741">
        <v>0</v>
      </c>
      <c r="F360" s="742">
        <v>0</v>
      </c>
      <c r="G360" s="742">
        <v>0</v>
      </c>
      <c r="H360" s="742">
        <v>0</v>
      </c>
      <c r="I360" s="742">
        <v>0</v>
      </c>
      <c r="J360" t="s">
        <v>1939</v>
      </c>
      <c r="K360" s="25">
        <v>0</v>
      </c>
      <c r="L360" t="b">
        <f t="shared" si="8"/>
        <v>1</v>
      </c>
    </row>
    <row r="361" spans="2:12" ht="11.25">
      <c r="B361" t="s">
        <v>2568</v>
      </c>
      <c r="D361" s="10"/>
      <c r="E361" s="741">
        <v>0</v>
      </c>
      <c r="F361" s="742">
        <v>0</v>
      </c>
      <c r="G361" s="742">
        <v>0</v>
      </c>
      <c r="H361" s="742">
        <v>0</v>
      </c>
      <c r="I361" s="742">
        <v>0</v>
      </c>
      <c r="J361" t="s">
        <v>1940</v>
      </c>
      <c r="K361" s="25">
        <v>0</v>
      </c>
      <c r="L361" t="b">
        <f t="shared" si="8"/>
        <v>1</v>
      </c>
    </row>
    <row r="362" spans="2:12" ht="11.25">
      <c r="B362" t="s">
        <v>2128</v>
      </c>
      <c r="D362" s="10"/>
      <c r="E362" s="741">
        <v>0</v>
      </c>
      <c r="F362" s="742">
        <v>0</v>
      </c>
      <c r="G362" s="742">
        <v>0</v>
      </c>
      <c r="H362" s="742">
        <v>0</v>
      </c>
      <c r="I362" s="742">
        <v>0</v>
      </c>
      <c r="J362" t="s">
        <v>1941</v>
      </c>
      <c r="K362" s="25">
        <v>0</v>
      </c>
      <c r="L362" t="b">
        <f t="shared" si="8"/>
        <v>1</v>
      </c>
    </row>
    <row r="363" spans="2:12" ht="11.25">
      <c r="B363" t="s">
        <v>2129</v>
      </c>
      <c r="D363" s="10"/>
      <c r="E363" s="741">
        <v>0</v>
      </c>
      <c r="F363" s="742">
        <v>0</v>
      </c>
      <c r="G363" s="742">
        <v>0</v>
      </c>
      <c r="H363" s="742">
        <v>0</v>
      </c>
      <c r="I363" s="742">
        <v>0</v>
      </c>
      <c r="J363" t="s">
        <v>1942</v>
      </c>
      <c r="K363" s="25">
        <v>0</v>
      </c>
      <c r="L363" t="b">
        <f t="shared" si="8"/>
        <v>1</v>
      </c>
    </row>
    <row r="364" spans="2:12" ht="11.25">
      <c r="B364" t="s">
        <v>2130</v>
      </c>
      <c r="D364" s="10"/>
      <c r="E364" s="741">
        <v>0</v>
      </c>
      <c r="F364" s="742">
        <v>0</v>
      </c>
      <c r="G364" s="742">
        <v>0</v>
      </c>
      <c r="H364" s="742">
        <v>0</v>
      </c>
      <c r="I364" s="742">
        <v>0</v>
      </c>
      <c r="J364" t="s">
        <v>1943</v>
      </c>
      <c r="K364" s="25">
        <v>0</v>
      </c>
      <c r="L364" t="b">
        <f t="shared" si="8"/>
        <v>1</v>
      </c>
    </row>
    <row r="365" spans="2:12" ht="11.25">
      <c r="B365" t="s">
        <v>1992</v>
      </c>
      <c r="D365" s="10"/>
      <c r="E365" s="741">
        <v>0</v>
      </c>
      <c r="F365" s="742">
        <v>0</v>
      </c>
      <c r="G365" s="742">
        <v>0</v>
      </c>
      <c r="H365" s="742">
        <v>0</v>
      </c>
      <c r="I365" s="742">
        <v>0</v>
      </c>
      <c r="J365" t="s">
        <v>1944</v>
      </c>
      <c r="K365" s="25">
        <v>0</v>
      </c>
      <c r="L365" t="b">
        <f t="shared" si="8"/>
        <v>1</v>
      </c>
    </row>
    <row r="366" spans="2:12" ht="11.25">
      <c r="B366" t="s">
        <v>1786</v>
      </c>
      <c r="D366" s="10"/>
      <c r="E366" s="741">
        <v>0</v>
      </c>
      <c r="F366" s="742">
        <v>0</v>
      </c>
      <c r="G366" s="742">
        <v>0</v>
      </c>
      <c r="H366" s="742">
        <v>0</v>
      </c>
      <c r="I366" s="742">
        <v>0</v>
      </c>
      <c r="J366" t="s">
        <v>2368</v>
      </c>
      <c r="K366" s="25">
        <v>0</v>
      </c>
      <c r="L366" t="b">
        <f t="shared" si="8"/>
        <v>1</v>
      </c>
    </row>
    <row r="367" spans="2:12" ht="11.25">
      <c r="B367" t="s">
        <v>1787</v>
      </c>
      <c r="D367" s="10"/>
      <c r="E367" s="741">
        <v>0</v>
      </c>
      <c r="F367" s="742">
        <v>0</v>
      </c>
      <c r="G367" s="742">
        <v>0</v>
      </c>
      <c r="H367" s="742">
        <v>0</v>
      </c>
      <c r="I367" s="742">
        <v>0</v>
      </c>
      <c r="J367" t="s">
        <v>2369</v>
      </c>
      <c r="K367" s="25">
        <v>0</v>
      </c>
      <c r="L367" t="b">
        <f t="shared" si="8"/>
        <v>1</v>
      </c>
    </row>
    <row r="368" spans="2:12" ht="11.25">
      <c r="B368" t="s">
        <v>1788</v>
      </c>
      <c r="D368" s="10"/>
      <c r="E368" s="741">
        <v>0</v>
      </c>
      <c r="F368" s="742">
        <v>0</v>
      </c>
      <c r="G368" s="742">
        <v>0</v>
      </c>
      <c r="H368" s="742">
        <v>0</v>
      </c>
      <c r="I368" s="742">
        <v>0</v>
      </c>
      <c r="J368" t="s">
        <v>2370</v>
      </c>
      <c r="K368" s="25">
        <v>0</v>
      </c>
      <c r="L368" t="b">
        <f t="shared" si="8"/>
        <v>1</v>
      </c>
    </row>
    <row r="369" spans="1:12" ht="11.25">
      <c r="B369" t="s">
        <v>4505</v>
      </c>
      <c r="D369" s="10"/>
      <c r="E369" s="741">
        <v>0</v>
      </c>
      <c r="F369" s="742">
        <v>0</v>
      </c>
      <c r="G369" s="742">
        <v>0</v>
      </c>
      <c r="H369" s="742">
        <v>0</v>
      </c>
      <c r="I369" s="742">
        <v>0</v>
      </c>
      <c r="J369" t="s">
        <v>4538</v>
      </c>
      <c r="K369" s="25">
        <v>0</v>
      </c>
      <c r="L369" t="b">
        <f t="shared" si="8"/>
        <v>1</v>
      </c>
    </row>
    <row r="370" spans="1:12" ht="11.25">
      <c r="B370" t="s">
        <v>822</v>
      </c>
      <c r="D370" s="10"/>
      <c r="E370" s="741">
        <v>0</v>
      </c>
      <c r="F370" s="742">
        <v>0</v>
      </c>
      <c r="G370" s="742">
        <v>0</v>
      </c>
      <c r="H370" s="742">
        <v>0</v>
      </c>
      <c r="I370" s="742">
        <v>0</v>
      </c>
      <c r="J370" t="s">
        <v>4539</v>
      </c>
      <c r="K370" s="25">
        <v>0</v>
      </c>
      <c r="L370" t="b">
        <f t="shared" si="8"/>
        <v>1</v>
      </c>
    </row>
    <row r="371" spans="1:12" ht="11.25">
      <c r="B371" t="s">
        <v>823</v>
      </c>
      <c r="D371" s="10"/>
      <c r="E371" s="741">
        <v>0</v>
      </c>
      <c r="F371" s="742">
        <v>0</v>
      </c>
      <c r="G371" s="742">
        <v>0</v>
      </c>
      <c r="H371" s="742">
        <v>0</v>
      </c>
      <c r="I371" s="742">
        <v>0</v>
      </c>
      <c r="J371" t="s">
        <v>4540</v>
      </c>
      <c r="K371" s="25">
        <v>0</v>
      </c>
      <c r="L371" t="b">
        <f t="shared" si="8"/>
        <v>1</v>
      </c>
    </row>
    <row r="372" spans="1:12" ht="11.25">
      <c r="B372" t="s">
        <v>824</v>
      </c>
      <c r="D372" s="10"/>
      <c r="E372" s="741">
        <v>0</v>
      </c>
      <c r="F372" s="742">
        <v>0</v>
      </c>
      <c r="G372" s="742">
        <v>0</v>
      </c>
      <c r="H372" s="742">
        <v>0</v>
      </c>
      <c r="I372" s="742">
        <v>0</v>
      </c>
      <c r="J372" t="s">
        <v>1319</v>
      </c>
      <c r="K372" s="25">
        <v>0</v>
      </c>
      <c r="L372" t="b">
        <f t="shared" si="8"/>
        <v>1</v>
      </c>
    </row>
    <row r="373" spans="1:12" ht="11.25">
      <c r="B373" t="s">
        <v>825</v>
      </c>
      <c r="D373" s="10"/>
      <c r="E373" s="741">
        <v>0</v>
      </c>
      <c r="F373" s="742">
        <v>0</v>
      </c>
      <c r="G373" s="742">
        <v>0</v>
      </c>
      <c r="H373" s="742">
        <v>0</v>
      </c>
      <c r="I373" s="742">
        <v>0</v>
      </c>
      <c r="J373" t="s">
        <v>1320</v>
      </c>
      <c r="K373" s="25">
        <v>0</v>
      </c>
      <c r="L373" t="b">
        <f t="shared" si="8"/>
        <v>1</v>
      </c>
    </row>
    <row r="374" spans="1:12" ht="11.25">
      <c r="B374" t="s">
        <v>826</v>
      </c>
      <c r="D374" s="10"/>
      <c r="E374" s="741">
        <v>0</v>
      </c>
      <c r="F374" s="742">
        <v>0</v>
      </c>
      <c r="G374" s="742">
        <v>0</v>
      </c>
      <c r="H374" s="742">
        <v>0</v>
      </c>
      <c r="I374" s="742">
        <v>0</v>
      </c>
      <c r="J374" t="s">
        <v>1321</v>
      </c>
      <c r="K374" s="25">
        <v>0</v>
      </c>
      <c r="L374" t="b">
        <f t="shared" si="8"/>
        <v>1</v>
      </c>
    </row>
    <row r="375" spans="1:12" ht="11.25">
      <c r="B375" t="s">
        <v>827</v>
      </c>
      <c r="D375" s="10"/>
      <c r="E375" s="741">
        <v>0</v>
      </c>
      <c r="F375" s="742">
        <v>0</v>
      </c>
      <c r="G375" s="742">
        <v>0</v>
      </c>
      <c r="H375" s="742">
        <v>0</v>
      </c>
      <c r="I375" s="742">
        <v>0</v>
      </c>
      <c r="J375" t="s">
        <v>1322</v>
      </c>
      <c r="K375" s="25">
        <v>0</v>
      </c>
      <c r="L375" t="b">
        <f t="shared" si="8"/>
        <v>1</v>
      </c>
    </row>
    <row r="376" spans="1:12" ht="11.25">
      <c r="B376" t="s">
        <v>828</v>
      </c>
      <c r="D376" s="10"/>
      <c r="E376" s="741">
        <v>0</v>
      </c>
      <c r="F376" s="742">
        <v>0</v>
      </c>
      <c r="G376" s="742">
        <v>0</v>
      </c>
      <c r="H376" s="742">
        <v>0</v>
      </c>
      <c r="I376" s="742">
        <v>0</v>
      </c>
      <c r="J376" t="s">
        <v>4457</v>
      </c>
      <c r="K376" s="25">
        <v>0</v>
      </c>
      <c r="L376" t="b">
        <f t="shared" si="8"/>
        <v>1</v>
      </c>
    </row>
    <row r="377" spans="1:12" ht="11.25">
      <c r="D377" s="10"/>
      <c r="E377" s="741"/>
      <c r="F377" s="742"/>
      <c r="G377" s="742"/>
      <c r="H377" s="742"/>
      <c r="I377" s="742"/>
      <c r="K377" s="25"/>
      <c r="L377" t="b">
        <f t="shared" si="8"/>
        <v>1</v>
      </c>
    </row>
    <row r="378" spans="1:12" ht="11.25">
      <c r="A378" s="2" t="s">
        <v>2873</v>
      </c>
      <c r="D378" s="10"/>
      <c r="E378" s="741"/>
      <c r="F378" s="742"/>
      <c r="G378" s="742"/>
      <c r="H378" s="742"/>
      <c r="I378" s="742"/>
      <c r="K378" s="25"/>
      <c r="L378" t="b">
        <f t="shared" si="8"/>
        <v>1</v>
      </c>
    </row>
    <row r="379" spans="1:12" ht="11.25">
      <c r="A379" s="2"/>
      <c r="B379" t="s">
        <v>2535</v>
      </c>
      <c r="D379" s="10"/>
      <c r="E379" s="741">
        <v>1</v>
      </c>
      <c r="F379" s="742">
        <v>1</v>
      </c>
      <c r="G379" s="742">
        <v>1</v>
      </c>
      <c r="H379" s="742">
        <v>1</v>
      </c>
      <c r="I379" s="742">
        <v>1</v>
      </c>
      <c r="K379" s="25">
        <v>1</v>
      </c>
      <c r="L379"/>
    </row>
    <row r="380" spans="1:12" ht="11.25">
      <c r="A380" s="2"/>
      <c r="B380" t="s">
        <v>2364</v>
      </c>
      <c r="D380" s="10"/>
      <c r="E380" s="741" t="s">
        <v>6293</v>
      </c>
      <c r="F380" s="742" t="s">
        <v>6293</v>
      </c>
      <c r="G380" s="742" t="s">
        <v>6293</v>
      </c>
      <c r="H380" s="742" t="s">
        <v>6293</v>
      </c>
      <c r="I380" s="742" t="s">
        <v>6293</v>
      </c>
      <c r="K380" s="25" t="s">
        <v>3674</v>
      </c>
      <c r="L380"/>
    </row>
    <row r="381" spans="1:12" ht="11.25">
      <c r="B381" t="s">
        <v>2874</v>
      </c>
      <c r="D381" s="10"/>
      <c r="E381" s="741" t="s">
        <v>1756</v>
      </c>
      <c r="F381" s="742" t="s">
        <v>1756</v>
      </c>
      <c r="G381" s="742" t="s">
        <v>1756</v>
      </c>
      <c r="H381" s="742" t="s">
        <v>1756</v>
      </c>
      <c r="I381" s="742" t="s">
        <v>1756</v>
      </c>
      <c r="J381" t="s">
        <v>1283</v>
      </c>
      <c r="K381" s="25" t="s">
        <v>1756</v>
      </c>
      <c r="L381" t="b">
        <f t="shared" si="8"/>
        <v>1</v>
      </c>
    </row>
    <row r="382" spans="1:12" ht="11.25">
      <c r="B382" t="s">
        <v>2875</v>
      </c>
      <c r="D382" s="10"/>
      <c r="E382" s="741" t="s">
        <v>1756</v>
      </c>
      <c r="F382" s="742" t="s">
        <v>1756</v>
      </c>
      <c r="G382" s="742" t="s">
        <v>1756</v>
      </c>
      <c r="H382" s="742" t="s">
        <v>1756</v>
      </c>
      <c r="I382" s="742" t="s">
        <v>1756</v>
      </c>
      <c r="J382" t="s">
        <v>1284</v>
      </c>
      <c r="K382" s="25" t="s">
        <v>1756</v>
      </c>
      <c r="L382" t="b">
        <f t="shared" si="8"/>
        <v>1</v>
      </c>
    </row>
    <row r="383" spans="1:12" ht="11.25">
      <c r="B383" t="s">
        <v>2876</v>
      </c>
      <c r="D383" s="10"/>
      <c r="E383" s="741" t="s">
        <v>1756</v>
      </c>
      <c r="F383" s="742" t="s">
        <v>1756</v>
      </c>
      <c r="G383" s="742" t="s">
        <v>1756</v>
      </c>
      <c r="H383" s="742" t="s">
        <v>1756</v>
      </c>
      <c r="I383" s="742" t="s">
        <v>1756</v>
      </c>
      <c r="J383" t="s">
        <v>1285</v>
      </c>
      <c r="K383" s="25" t="s">
        <v>1756</v>
      </c>
      <c r="L383" t="b">
        <f t="shared" si="8"/>
        <v>1</v>
      </c>
    </row>
    <row r="384" spans="1:12" ht="11.25">
      <c r="B384" t="s">
        <v>2877</v>
      </c>
      <c r="D384" s="10"/>
      <c r="E384" s="741" t="s">
        <v>1756</v>
      </c>
      <c r="F384" s="742" t="s">
        <v>1756</v>
      </c>
      <c r="G384" s="742" t="s">
        <v>1756</v>
      </c>
      <c r="H384" s="742" t="s">
        <v>1756</v>
      </c>
      <c r="I384" s="742" t="s">
        <v>1756</v>
      </c>
      <c r="J384" t="s">
        <v>1286</v>
      </c>
      <c r="K384" s="25" t="s">
        <v>1756</v>
      </c>
      <c r="L384" t="b">
        <f t="shared" si="8"/>
        <v>1</v>
      </c>
    </row>
    <row r="385" spans="2:12" ht="11.25">
      <c r="B385" t="s">
        <v>2878</v>
      </c>
      <c r="D385" s="10"/>
      <c r="E385" s="741" t="s">
        <v>1756</v>
      </c>
      <c r="F385" s="742" t="s">
        <v>1756</v>
      </c>
      <c r="G385" s="742" t="s">
        <v>1756</v>
      </c>
      <c r="H385" s="742" t="s">
        <v>1756</v>
      </c>
      <c r="I385" s="742" t="s">
        <v>1756</v>
      </c>
      <c r="J385" t="s">
        <v>1287</v>
      </c>
      <c r="K385" s="25" t="s">
        <v>1756</v>
      </c>
      <c r="L385" t="b">
        <f t="shared" si="8"/>
        <v>1</v>
      </c>
    </row>
    <row r="386" spans="2:12" ht="11.25">
      <c r="B386" t="s">
        <v>2879</v>
      </c>
      <c r="D386" s="10"/>
      <c r="E386" s="741" t="s">
        <v>1756</v>
      </c>
      <c r="F386" s="742" t="s">
        <v>1756</v>
      </c>
      <c r="G386" s="742" t="s">
        <v>1756</v>
      </c>
      <c r="H386" s="742" t="s">
        <v>1756</v>
      </c>
      <c r="I386" s="742" t="s">
        <v>1756</v>
      </c>
      <c r="J386" t="s">
        <v>1288</v>
      </c>
      <c r="K386" s="25" t="s">
        <v>1756</v>
      </c>
      <c r="L386" t="b">
        <f t="shared" si="8"/>
        <v>1</v>
      </c>
    </row>
    <row r="387" spans="2:12" ht="11.25">
      <c r="B387" t="s">
        <v>2880</v>
      </c>
      <c r="D387" s="10"/>
      <c r="E387" s="741" t="s">
        <v>1756</v>
      </c>
      <c r="F387" s="742" t="s">
        <v>1756</v>
      </c>
      <c r="G387" s="742" t="s">
        <v>1756</v>
      </c>
      <c r="H387" s="742" t="s">
        <v>1756</v>
      </c>
      <c r="I387" s="742" t="s">
        <v>1756</v>
      </c>
      <c r="J387" t="s">
        <v>1289</v>
      </c>
      <c r="K387" s="25" t="s">
        <v>1756</v>
      </c>
      <c r="L387" t="b">
        <f t="shared" si="8"/>
        <v>1</v>
      </c>
    </row>
    <row r="388" spans="2:12" ht="11.25">
      <c r="B388" t="s">
        <v>3447</v>
      </c>
      <c r="D388" s="10"/>
      <c r="E388" s="741" t="s">
        <v>1756</v>
      </c>
      <c r="F388" s="742" t="s">
        <v>1756</v>
      </c>
      <c r="G388" s="742" t="s">
        <v>1756</v>
      </c>
      <c r="H388" s="742" t="s">
        <v>1756</v>
      </c>
      <c r="I388" s="742" t="s">
        <v>1756</v>
      </c>
      <c r="J388" t="s">
        <v>1290</v>
      </c>
      <c r="K388" s="25" t="s">
        <v>1756</v>
      </c>
      <c r="L388" t="b">
        <f t="shared" si="8"/>
        <v>1</v>
      </c>
    </row>
    <row r="389" spans="2:12" ht="11.25">
      <c r="B389" t="s">
        <v>3448</v>
      </c>
      <c r="D389" s="10"/>
      <c r="E389" s="741" t="s">
        <v>1756</v>
      </c>
      <c r="F389" s="742" t="s">
        <v>1756</v>
      </c>
      <c r="G389" s="742" t="s">
        <v>1756</v>
      </c>
      <c r="H389" s="742" t="s">
        <v>1756</v>
      </c>
      <c r="I389" s="742" t="s">
        <v>1756</v>
      </c>
      <c r="J389" t="s">
        <v>1291</v>
      </c>
      <c r="K389" s="25" t="s">
        <v>1756</v>
      </c>
      <c r="L389" t="b">
        <f t="shared" si="8"/>
        <v>1</v>
      </c>
    </row>
    <row r="390" spans="2:12" ht="11.25">
      <c r="B390" t="s">
        <v>3449</v>
      </c>
      <c r="D390" s="10"/>
      <c r="E390" s="741" t="s">
        <v>1756</v>
      </c>
      <c r="F390" s="742" t="s">
        <v>1756</v>
      </c>
      <c r="G390" s="742" t="s">
        <v>1756</v>
      </c>
      <c r="H390" s="742" t="s">
        <v>1756</v>
      </c>
      <c r="I390" s="742" t="s">
        <v>1756</v>
      </c>
      <c r="J390" t="s">
        <v>1292</v>
      </c>
      <c r="K390" s="25" t="s">
        <v>1756</v>
      </c>
      <c r="L390" t="b">
        <f t="shared" si="8"/>
        <v>1</v>
      </c>
    </row>
    <row r="391" spans="2:12" ht="11.25">
      <c r="B391" t="s">
        <v>3450</v>
      </c>
      <c r="D391" s="10"/>
      <c r="E391" s="741" t="s">
        <v>1756</v>
      </c>
      <c r="F391" s="742" t="s">
        <v>1756</v>
      </c>
      <c r="G391" s="742" t="s">
        <v>1756</v>
      </c>
      <c r="H391" s="742" t="s">
        <v>1756</v>
      </c>
      <c r="I391" s="742" t="s">
        <v>1756</v>
      </c>
      <c r="J391" t="s">
        <v>2994</v>
      </c>
      <c r="K391" s="25" t="s">
        <v>1756</v>
      </c>
      <c r="L391" t="b">
        <f t="shared" si="8"/>
        <v>1</v>
      </c>
    </row>
    <row r="392" spans="2:12" ht="11.25">
      <c r="B392" t="s">
        <v>3451</v>
      </c>
      <c r="D392" s="10"/>
      <c r="E392" s="741" t="s">
        <v>1756</v>
      </c>
      <c r="F392" s="742" t="s">
        <v>1756</v>
      </c>
      <c r="G392" s="742" t="s">
        <v>1756</v>
      </c>
      <c r="H392" s="742" t="s">
        <v>1756</v>
      </c>
      <c r="I392" s="742" t="s">
        <v>1756</v>
      </c>
      <c r="J392" t="s">
        <v>2995</v>
      </c>
      <c r="K392" s="25" t="s">
        <v>1756</v>
      </c>
      <c r="L392" t="b">
        <f t="shared" si="8"/>
        <v>1</v>
      </c>
    </row>
    <row r="393" spans="2:12" ht="11.25">
      <c r="B393" t="s">
        <v>3452</v>
      </c>
      <c r="D393" s="10"/>
      <c r="E393" s="741" t="s">
        <v>1756</v>
      </c>
      <c r="F393" s="742" t="s">
        <v>1756</v>
      </c>
      <c r="G393" s="742" t="s">
        <v>1756</v>
      </c>
      <c r="H393" s="742" t="s">
        <v>1756</v>
      </c>
      <c r="I393" s="742" t="s">
        <v>1756</v>
      </c>
      <c r="J393" t="s">
        <v>2996</v>
      </c>
      <c r="K393" s="25" t="s">
        <v>1756</v>
      </c>
      <c r="L393" t="b">
        <f t="shared" si="8"/>
        <v>1</v>
      </c>
    </row>
    <row r="394" spans="2:12" ht="11.25">
      <c r="B394" t="s">
        <v>3453</v>
      </c>
      <c r="D394" s="10"/>
      <c r="E394" s="741" t="s">
        <v>1756</v>
      </c>
      <c r="F394" s="742" t="s">
        <v>1756</v>
      </c>
      <c r="G394" s="742" t="s">
        <v>1756</v>
      </c>
      <c r="H394" s="742" t="s">
        <v>1756</v>
      </c>
      <c r="I394" s="742" t="s">
        <v>1756</v>
      </c>
      <c r="J394" t="s">
        <v>2997</v>
      </c>
      <c r="K394" s="25" t="s">
        <v>1756</v>
      </c>
      <c r="L394" t="b">
        <f t="shared" si="8"/>
        <v>1</v>
      </c>
    </row>
    <row r="395" spans="2:12" ht="11.25">
      <c r="B395" t="s">
        <v>3454</v>
      </c>
      <c r="D395" s="10"/>
      <c r="E395" s="741" t="s">
        <v>1756</v>
      </c>
      <c r="F395" s="742" t="s">
        <v>1756</v>
      </c>
      <c r="G395" s="742" t="s">
        <v>1756</v>
      </c>
      <c r="H395" s="742" t="s">
        <v>1756</v>
      </c>
      <c r="I395" s="742" t="s">
        <v>1756</v>
      </c>
      <c r="J395" t="s">
        <v>1452</v>
      </c>
      <c r="K395" s="25" t="s">
        <v>1756</v>
      </c>
      <c r="L395" t="b">
        <f t="shared" si="8"/>
        <v>1</v>
      </c>
    </row>
    <row r="396" spans="2:12" ht="11.25">
      <c r="B396" t="s">
        <v>3455</v>
      </c>
      <c r="D396" s="10"/>
      <c r="E396" s="741" t="s">
        <v>1756</v>
      </c>
      <c r="F396" s="742" t="s">
        <v>1756</v>
      </c>
      <c r="G396" s="742" t="s">
        <v>1756</v>
      </c>
      <c r="H396" s="742" t="s">
        <v>1756</v>
      </c>
      <c r="I396" s="742" t="s">
        <v>1756</v>
      </c>
      <c r="J396" t="s">
        <v>1453</v>
      </c>
      <c r="K396" s="25" t="s">
        <v>1756</v>
      </c>
      <c r="L396" t="b">
        <f t="shared" si="8"/>
        <v>1</v>
      </c>
    </row>
    <row r="397" spans="2:12" ht="11.25">
      <c r="B397" t="s">
        <v>3456</v>
      </c>
      <c r="D397" s="10"/>
      <c r="E397" s="741" t="s">
        <v>1756</v>
      </c>
      <c r="F397" s="742" t="s">
        <v>1756</v>
      </c>
      <c r="G397" s="742" t="s">
        <v>1756</v>
      </c>
      <c r="H397" s="742" t="s">
        <v>1756</v>
      </c>
      <c r="I397" s="742" t="s">
        <v>1756</v>
      </c>
      <c r="J397" t="s">
        <v>3630</v>
      </c>
      <c r="K397" s="25" t="s">
        <v>1756</v>
      </c>
      <c r="L397" t="b">
        <f t="shared" si="8"/>
        <v>1</v>
      </c>
    </row>
    <row r="398" spans="2:12" ht="11.25">
      <c r="B398" t="s">
        <v>3457</v>
      </c>
      <c r="D398" s="10"/>
      <c r="E398" s="741" t="s">
        <v>1756</v>
      </c>
      <c r="F398" s="742" t="s">
        <v>1756</v>
      </c>
      <c r="G398" s="742" t="s">
        <v>1756</v>
      </c>
      <c r="H398" s="742" t="s">
        <v>1756</v>
      </c>
      <c r="I398" s="742" t="s">
        <v>1756</v>
      </c>
      <c r="J398" t="s">
        <v>3631</v>
      </c>
      <c r="K398" s="25" t="s">
        <v>1756</v>
      </c>
      <c r="L398" t="b">
        <f t="shared" si="8"/>
        <v>1</v>
      </c>
    </row>
    <row r="399" spans="2:12" ht="11.25">
      <c r="B399" t="s">
        <v>3027</v>
      </c>
      <c r="D399" s="10"/>
      <c r="E399" s="741" t="s">
        <v>1756</v>
      </c>
      <c r="F399" s="742" t="s">
        <v>1756</v>
      </c>
      <c r="G399" s="742" t="s">
        <v>1756</v>
      </c>
      <c r="H399" s="742" t="s">
        <v>1756</v>
      </c>
      <c r="I399" s="742" t="s">
        <v>1756</v>
      </c>
      <c r="J399" t="s">
        <v>3632</v>
      </c>
      <c r="K399" s="25" t="s">
        <v>1756</v>
      </c>
      <c r="L399" t="b">
        <f t="shared" si="8"/>
        <v>1</v>
      </c>
    </row>
    <row r="400" spans="2:12" ht="11.25">
      <c r="B400" t="s">
        <v>3028</v>
      </c>
      <c r="D400" s="10"/>
      <c r="E400" s="741" t="s">
        <v>1756</v>
      </c>
      <c r="F400" s="742" t="s">
        <v>1756</v>
      </c>
      <c r="G400" s="742" t="s">
        <v>1756</v>
      </c>
      <c r="H400" s="742" t="s">
        <v>1756</v>
      </c>
      <c r="I400" s="742" t="s">
        <v>1756</v>
      </c>
      <c r="J400" t="s">
        <v>4409</v>
      </c>
      <c r="K400" s="25" t="s">
        <v>1756</v>
      </c>
      <c r="L400" t="b">
        <f t="shared" si="8"/>
        <v>1</v>
      </c>
    </row>
    <row r="401" spans="2:12" ht="11.25">
      <c r="B401" t="s">
        <v>3029</v>
      </c>
      <c r="D401" s="10"/>
      <c r="E401" s="741" t="s">
        <v>1756</v>
      </c>
      <c r="F401" s="742" t="s">
        <v>1756</v>
      </c>
      <c r="G401" s="742" t="s">
        <v>1756</v>
      </c>
      <c r="H401" s="742" t="s">
        <v>1756</v>
      </c>
      <c r="I401" s="742" t="s">
        <v>1756</v>
      </c>
      <c r="J401" t="s">
        <v>4410</v>
      </c>
      <c r="K401" s="25" t="s">
        <v>1756</v>
      </c>
      <c r="L401" t="b">
        <f t="shared" si="8"/>
        <v>1</v>
      </c>
    </row>
    <row r="402" spans="2:12" ht="11.25">
      <c r="B402" t="s">
        <v>3030</v>
      </c>
      <c r="D402" s="10"/>
      <c r="E402" s="741" t="s">
        <v>1756</v>
      </c>
      <c r="F402" s="742" t="s">
        <v>1756</v>
      </c>
      <c r="G402" s="742" t="s">
        <v>1756</v>
      </c>
      <c r="H402" s="742" t="s">
        <v>1756</v>
      </c>
      <c r="I402" s="742" t="s">
        <v>1756</v>
      </c>
      <c r="J402" t="s">
        <v>4411</v>
      </c>
      <c r="K402" s="25" t="s">
        <v>1756</v>
      </c>
      <c r="L402" t="b">
        <f t="shared" si="8"/>
        <v>1</v>
      </c>
    </row>
    <row r="403" spans="2:12" ht="11.25">
      <c r="B403" t="s">
        <v>3031</v>
      </c>
      <c r="D403" s="10"/>
      <c r="E403" s="741" t="s">
        <v>1756</v>
      </c>
      <c r="F403" s="742" t="s">
        <v>1756</v>
      </c>
      <c r="G403" s="742" t="s">
        <v>1756</v>
      </c>
      <c r="H403" s="742" t="s">
        <v>1756</v>
      </c>
      <c r="I403" s="742" t="s">
        <v>1756</v>
      </c>
      <c r="J403" t="s">
        <v>4412</v>
      </c>
      <c r="K403" s="25" t="s">
        <v>1756</v>
      </c>
      <c r="L403" t="b">
        <f t="shared" si="8"/>
        <v>1</v>
      </c>
    </row>
    <row r="404" spans="2:12" ht="11.25">
      <c r="B404" t="s">
        <v>3032</v>
      </c>
      <c r="D404" s="10"/>
      <c r="E404" s="741" t="s">
        <v>1756</v>
      </c>
      <c r="F404" s="742" t="s">
        <v>1756</v>
      </c>
      <c r="G404" s="742" t="s">
        <v>1756</v>
      </c>
      <c r="H404" s="742" t="s">
        <v>1756</v>
      </c>
      <c r="I404" s="742" t="s">
        <v>1756</v>
      </c>
      <c r="J404" t="s">
        <v>4413</v>
      </c>
      <c r="K404" s="25" t="s">
        <v>1756</v>
      </c>
      <c r="L404" t="b">
        <f t="shared" si="8"/>
        <v>1</v>
      </c>
    </row>
    <row r="405" spans="2:12" ht="11.25">
      <c r="B405" t="s">
        <v>3033</v>
      </c>
      <c r="D405" s="10"/>
      <c r="E405" s="741" t="s">
        <v>1756</v>
      </c>
      <c r="F405" s="742" t="s">
        <v>1756</v>
      </c>
      <c r="G405" s="742" t="s">
        <v>1756</v>
      </c>
      <c r="H405" s="742" t="s">
        <v>1756</v>
      </c>
      <c r="I405" s="742" t="s">
        <v>1756</v>
      </c>
      <c r="J405" t="s">
        <v>4414</v>
      </c>
      <c r="K405" s="25" t="s">
        <v>1756</v>
      </c>
      <c r="L405" t="b">
        <f t="shared" si="8"/>
        <v>1</v>
      </c>
    </row>
    <row r="406" spans="2:12" ht="11.25">
      <c r="B406" t="s">
        <v>3034</v>
      </c>
      <c r="D406" s="10"/>
      <c r="E406" s="741" t="s">
        <v>1756</v>
      </c>
      <c r="F406" s="742" t="s">
        <v>1756</v>
      </c>
      <c r="G406" s="742" t="s">
        <v>1756</v>
      </c>
      <c r="H406" s="742" t="s">
        <v>1756</v>
      </c>
      <c r="I406" s="742" t="s">
        <v>1756</v>
      </c>
      <c r="J406" t="s">
        <v>2798</v>
      </c>
      <c r="K406" s="25" t="s">
        <v>1756</v>
      </c>
      <c r="L406" t="b">
        <f t="shared" si="8"/>
        <v>1</v>
      </c>
    </row>
    <row r="407" spans="2:12" ht="11.25">
      <c r="B407" t="s">
        <v>3035</v>
      </c>
      <c r="D407" s="10"/>
      <c r="E407" s="741" t="s">
        <v>1756</v>
      </c>
      <c r="F407" s="742" t="s">
        <v>1756</v>
      </c>
      <c r="G407" s="742" t="s">
        <v>1756</v>
      </c>
      <c r="H407" s="742" t="s">
        <v>1756</v>
      </c>
      <c r="I407" s="742" t="s">
        <v>1756</v>
      </c>
      <c r="J407" t="s">
        <v>2799</v>
      </c>
      <c r="K407" s="25" t="s">
        <v>1756</v>
      </c>
      <c r="L407" t="b">
        <f t="shared" si="8"/>
        <v>1</v>
      </c>
    </row>
    <row r="408" spans="2:12" ht="11.25">
      <c r="B408" t="s">
        <v>3036</v>
      </c>
      <c r="D408" s="10"/>
      <c r="E408" s="741" t="s">
        <v>1756</v>
      </c>
      <c r="F408" s="742" t="s">
        <v>1756</v>
      </c>
      <c r="G408" s="742" t="s">
        <v>1756</v>
      </c>
      <c r="H408" s="742" t="s">
        <v>1756</v>
      </c>
      <c r="I408" s="742" t="s">
        <v>1756</v>
      </c>
      <c r="J408" t="s">
        <v>2800</v>
      </c>
      <c r="K408" s="25" t="s">
        <v>1756</v>
      </c>
      <c r="L408" t="b">
        <f t="shared" si="8"/>
        <v>1</v>
      </c>
    </row>
    <row r="409" spans="2:12" ht="11.25">
      <c r="B409" t="s">
        <v>2416</v>
      </c>
      <c r="D409" s="10"/>
      <c r="E409" s="741" t="s">
        <v>1756</v>
      </c>
      <c r="F409" s="742" t="s">
        <v>1756</v>
      </c>
      <c r="G409" s="742" t="s">
        <v>1756</v>
      </c>
      <c r="H409" s="742" t="s">
        <v>1756</v>
      </c>
      <c r="I409" s="742" t="s">
        <v>1756</v>
      </c>
      <c r="J409" t="s">
        <v>2801</v>
      </c>
      <c r="K409" s="25" t="s">
        <v>1756</v>
      </c>
      <c r="L409" t="b">
        <f t="shared" si="8"/>
        <v>1</v>
      </c>
    </row>
    <row r="410" spans="2:12" ht="11.25">
      <c r="B410" t="s">
        <v>2417</v>
      </c>
      <c r="D410" s="10"/>
      <c r="E410" s="741" t="s">
        <v>1756</v>
      </c>
      <c r="F410" s="742" t="s">
        <v>1756</v>
      </c>
      <c r="G410" s="742" t="s">
        <v>1756</v>
      </c>
      <c r="H410" s="742" t="s">
        <v>1756</v>
      </c>
      <c r="I410" s="742" t="s">
        <v>1756</v>
      </c>
      <c r="J410" t="s">
        <v>2802</v>
      </c>
      <c r="K410" s="25" t="s">
        <v>1756</v>
      </c>
      <c r="L410" t="b">
        <f t="shared" si="8"/>
        <v>1</v>
      </c>
    </row>
    <row r="411" spans="2:12" ht="11.25">
      <c r="B411" t="s">
        <v>2418</v>
      </c>
      <c r="D411" s="10"/>
      <c r="E411" s="741" t="s">
        <v>1756</v>
      </c>
      <c r="F411" s="742" t="s">
        <v>1756</v>
      </c>
      <c r="G411" s="742" t="s">
        <v>1756</v>
      </c>
      <c r="H411" s="742" t="s">
        <v>1756</v>
      </c>
      <c r="I411" s="742" t="s">
        <v>1756</v>
      </c>
      <c r="J411" t="s">
        <v>4399</v>
      </c>
      <c r="K411" s="25" t="s">
        <v>1756</v>
      </c>
      <c r="L411" t="b">
        <f t="shared" si="8"/>
        <v>1</v>
      </c>
    </row>
    <row r="412" spans="2:12" ht="11.25">
      <c r="B412" t="s">
        <v>2419</v>
      </c>
      <c r="D412" s="10"/>
      <c r="E412" s="741" t="s">
        <v>1756</v>
      </c>
      <c r="F412" s="742" t="s">
        <v>1756</v>
      </c>
      <c r="G412" s="742" t="s">
        <v>1756</v>
      </c>
      <c r="H412" s="742" t="s">
        <v>1756</v>
      </c>
      <c r="I412" s="742" t="s">
        <v>1756</v>
      </c>
      <c r="J412" t="s">
        <v>4400</v>
      </c>
      <c r="K412" s="25" t="s">
        <v>1756</v>
      </c>
      <c r="L412" t="b">
        <f t="shared" si="8"/>
        <v>1</v>
      </c>
    </row>
    <row r="413" spans="2:12" ht="11.25">
      <c r="B413" t="s">
        <v>2420</v>
      </c>
      <c r="D413" s="10"/>
      <c r="E413" s="741" t="s">
        <v>1756</v>
      </c>
      <c r="F413" s="742" t="s">
        <v>1756</v>
      </c>
      <c r="G413" s="742" t="s">
        <v>1756</v>
      </c>
      <c r="H413" s="742" t="s">
        <v>1756</v>
      </c>
      <c r="I413" s="742" t="s">
        <v>1756</v>
      </c>
      <c r="J413" t="s">
        <v>1511</v>
      </c>
      <c r="K413" s="25" t="s">
        <v>1756</v>
      </c>
      <c r="L413" t="b">
        <f t="shared" si="8"/>
        <v>1</v>
      </c>
    </row>
    <row r="414" spans="2:12" ht="11.25">
      <c r="B414" t="s">
        <v>1261</v>
      </c>
      <c r="D414" s="10"/>
      <c r="E414" s="741" t="s">
        <v>1756</v>
      </c>
      <c r="F414" s="742" t="s">
        <v>1756</v>
      </c>
      <c r="G414" s="742" t="s">
        <v>1756</v>
      </c>
      <c r="H414" s="742" t="s">
        <v>1756</v>
      </c>
      <c r="I414" s="742" t="s">
        <v>1756</v>
      </c>
      <c r="J414" t="s">
        <v>1512</v>
      </c>
      <c r="K414" s="25" t="s">
        <v>1756</v>
      </c>
      <c r="L414" t="b">
        <f t="shared" si="8"/>
        <v>1</v>
      </c>
    </row>
    <row r="415" spans="2:12" ht="11.25">
      <c r="B415" t="s">
        <v>1262</v>
      </c>
      <c r="D415" s="10"/>
      <c r="E415" s="741" t="s">
        <v>1756</v>
      </c>
      <c r="F415" s="742" t="s">
        <v>1756</v>
      </c>
      <c r="G415" s="742" t="s">
        <v>1756</v>
      </c>
      <c r="H415" s="742" t="s">
        <v>1756</v>
      </c>
      <c r="I415" s="742" t="s">
        <v>1756</v>
      </c>
      <c r="J415" t="s">
        <v>1513</v>
      </c>
      <c r="K415" s="25" t="s">
        <v>1756</v>
      </c>
      <c r="L415" t="b">
        <f t="shared" si="8"/>
        <v>1</v>
      </c>
    </row>
    <row r="416" spans="2:12" ht="11.25">
      <c r="B416" t="s">
        <v>1130</v>
      </c>
      <c r="D416" s="10"/>
      <c r="E416" s="741" t="s">
        <v>1756</v>
      </c>
      <c r="F416" s="742" t="s">
        <v>1756</v>
      </c>
      <c r="G416" s="742" t="s">
        <v>1756</v>
      </c>
      <c r="H416" s="742" t="s">
        <v>1756</v>
      </c>
      <c r="I416" s="742" t="s">
        <v>1756</v>
      </c>
      <c r="J416" t="s">
        <v>1514</v>
      </c>
      <c r="K416" s="25" t="s">
        <v>1756</v>
      </c>
      <c r="L416" t="b">
        <f t="shared" si="8"/>
        <v>1</v>
      </c>
    </row>
    <row r="417" spans="2:12" ht="11.25">
      <c r="B417" t="s">
        <v>242</v>
      </c>
      <c r="D417" s="10"/>
      <c r="E417" s="741" t="s">
        <v>1756</v>
      </c>
      <c r="F417" s="742" t="s">
        <v>1756</v>
      </c>
      <c r="G417" s="742" t="s">
        <v>1756</v>
      </c>
      <c r="H417" s="742" t="s">
        <v>1756</v>
      </c>
      <c r="I417" s="742" t="s">
        <v>1756</v>
      </c>
      <c r="J417" t="s">
        <v>1515</v>
      </c>
      <c r="K417" s="25" t="s">
        <v>1756</v>
      </c>
      <c r="L417" t="b">
        <f t="shared" si="8"/>
        <v>1</v>
      </c>
    </row>
    <row r="418" spans="2:12" ht="11.25">
      <c r="B418" t="s">
        <v>243</v>
      </c>
      <c r="D418" s="10"/>
      <c r="E418" s="741" t="s">
        <v>1756</v>
      </c>
      <c r="F418" s="742" t="s">
        <v>1756</v>
      </c>
      <c r="G418" s="742" t="s">
        <v>1756</v>
      </c>
      <c r="H418" s="742" t="s">
        <v>1756</v>
      </c>
      <c r="I418" s="742" t="s">
        <v>1756</v>
      </c>
      <c r="J418" t="s">
        <v>1516</v>
      </c>
      <c r="K418" s="25" t="s">
        <v>1756</v>
      </c>
      <c r="L418" t="b">
        <f t="shared" si="8"/>
        <v>1</v>
      </c>
    </row>
    <row r="419" spans="2:12" ht="11.25">
      <c r="B419" t="s">
        <v>244</v>
      </c>
      <c r="D419" s="10"/>
      <c r="E419" s="741" t="s">
        <v>1756</v>
      </c>
      <c r="F419" s="742" t="s">
        <v>1756</v>
      </c>
      <c r="G419" s="742" t="s">
        <v>1756</v>
      </c>
      <c r="H419" s="742" t="s">
        <v>1756</v>
      </c>
      <c r="I419" s="742" t="s">
        <v>1756</v>
      </c>
      <c r="J419" t="s">
        <v>1517</v>
      </c>
      <c r="K419" s="25" t="s">
        <v>1756</v>
      </c>
      <c r="L419" t="b">
        <f t="shared" si="8"/>
        <v>1</v>
      </c>
    </row>
    <row r="420" spans="2:12" ht="11.25">
      <c r="B420" t="s">
        <v>245</v>
      </c>
      <c r="D420" s="10"/>
      <c r="E420" s="741" t="s">
        <v>1756</v>
      </c>
      <c r="F420" s="742" t="s">
        <v>1756</v>
      </c>
      <c r="G420" s="742" t="s">
        <v>1756</v>
      </c>
      <c r="H420" s="742" t="s">
        <v>1756</v>
      </c>
      <c r="I420" s="742" t="s">
        <v>1756</v>
      </c>
      <c r="J420" t="s">
        <v>1518</v>
      </c>
      <c r="K420" s="25" t="s">
        <v>1756</v>
      </c>
      <c r="L420" t="b">
        <f t="shared" si="8"/>
        <v>1</v>
      </c>
    </row>
    <row r="421" spans="2:12" ht="11.25">
      <c r="B421" t="s">
        <v>246</v>
      </c>
      <c r="D421" s="10"/>
      <c r="E421" s="741" t="s">
        <v>1756</v>
      </c>
      <c r="F421" s="742" t="s">
        <v>1756</v>
      </c>
      <c r="G421" s="742" t="s">
        <v>1756</v>
      </c>
      <c r="H421" s="742" t="s">
        <v>1756</v>
      </c>
      <c r="I421" s="742" t="s">
        <v>1756</v>
      </c>
      <c r="J421" t="s">
        <v>655</v>
      </c>
      <c r="K421" s="25" t="s">
        <v>1756</v>
      </c>
      <c r="L421" t="b">
        <f t="shared" si="8"/>
        <v>1</v>
      </c>
    </row>
    <row r="422" spans="2:12" ht="11.25">
      <c r="B422" t="s">
        <v>247</v>
      </c>
      <c r="D422" s="10"/>
      <c r="E422" s="741" t="s">
        <v>1756</v>
      </c>
      <c r="F422" s="742" t="s">
        <v>1756</v>
      </c>
      <c r="G422" s="742" t="s">
        <v>1756</v>
      </c>
      <c r="H422" s="742" t="s">
        <v>1756</v>
      </c>
      <c r="I422" s="742" t="s">
        <v>1756</v>
      </c>
      <c r="J422" t="s">
        <v>656</v>
      </c>
      <c r="K422" s="25" t="s">
        <v>1756</v>
      </c>
      <c r="L422" t="b">
        <f t="shared" si="8"/>
        <v>1</v>
      </c>
    </row>
    <row r="423" spans="2:12" ht="11.25">
      <c r="B423" t="s">
        <v>248</v>
      </c>
      <c r="D423" s="10"/>
      <c r="E423" s="741" t="s">
        <v>1756</v>
      </c>
      <c r="F423" s="742" t="s">
        <v>1756</v>
      </c>
      <c r="G423" s="742" t="s">
        <v>1756</v>
      </c>
      <c r="H423" s="742" t="s">
        <v>1756</v>
      </c>
      <c r="I423" s="742" t="s">
        <v>1756</v>
      </c>
      <c r="J423" t="s">
        <v>4117</v>
      </c>
      <c r="K423" s="25" t="s">
        <v>1756</v>
      </c>
      <c r="L423" t="b">
        <f t="shared" si="8"/>
        <v>1</v>
      </c>
    </row>
    <row r="424" spans="2:12" ht="11.25">
      <c r="B424" t="s">
        <v>249</v>
      </c>
      <c r="D424" s="10"/>
      <c r="E424" s="741" t="s">
        <v>1756</v>
      </c>
      <c r="F424" s="742" t="s">
        <v>1756</v>
      </c>
      <c r="G424" s="742" t="s">
        <v>1756</v>
      </c>
      <c r="H424" s="742" t="s">
        <v>1756</v>
      </c>
      <c r="I424" s="742" t="s">
        <v>1756</v>
      </c>
      <c r="J424" t="s">
        <v>4118</v>
      </c>
      <c r="K424" s="25" t="s">
        <v>1756</v>
      </c>
      <c r="L424" t="b">
        <f t="shared" si="8"/>
        <v>1</v>
      </c>
    </row>
    <row r="425" spans="2:12" ht="11.25">
      <c r="B425" t="s">
        <v>250</v>
      </c>
      <c r="D425" s="10"/>
      <c r="E425" s="741" t="s">
        <v>1756</v>
      </c>
      <c r="F425" s="742" t="s">
        <v>1756</v>
      </c>
      <c r="G425" s="742" t="s">
        <v>1756</v>
      </c>
      <c r="H425" s="742" t="s">
        <v>1756</v>
      </c>
      <c r="I425" s="742" t="s">
        <v>1756</v>
      </c>
      <c r="J425" t="s">
        <v>4119</v>
      </c>
      <c r="K425" s="25" t="s">
        <v>1756</v>
      </c>
      <c r="L425" t="b">
        <f t="shared" si="8"/>
        <v>1</v>
      </c>
    </row>
    <row r="426" spans="2:12" ht="11.25">
      <c r="B426" t="s">
        <v>251</v>
      </c>
      <c r="D426" s="10"/>
      <c r="E426" s="741" t="s">
        <v>1756</v>
      </c>
      <c r="F426" s="742" t="s">
        <v>1756</v>
      </c>
      <c r="G426" s="742" t="s">
        <v>1756</v>
      </c>
      <c r="H426" s="742" t="s">
        <v>1756</v>
      </c>
      <c r="I426" s="742" t="s">
        <v>1756</v>
      </c>
      <c r="J426" t="s">
        <v>4120</v>
      </c>
      <c r="K426" s="25" t="s">
        <v>1756</v>
      </c>
      <c r="L426" t="b">
        <f t="shared" si="8"/>
        <v>1</v>
      </c>
    </row>
    <row r="427" spans="2:12" ht="11.25">
      <c r="B427" t="s">
        <v>252</v>
      </c>
      <c r="D427" s="10"/>
      <c r="E427" s="741" t="s">
        <v>1756</v>
      </c>
      <c r="F427" s="742" t="s">
        <v>1756</v>
      </c>
      <c r="G427" s="742" t="s">
        <v>1756</v>
      </c>
      <c r="H427" s="742" t="s">
        <v>1756</v>
      </c>
      <c r="I427" s="742" t="s">
        <v>1756</v>
      </c>
      <c r="J427" t="s">
        <v>4121</v>
      </c>
      <c r="K427" s="25" t="s">
        <v>1756</v>
      </c>
      <c r="L427" t="b">
        <f t="shared" si="8"/>
        <v>1</v>
      </c>
    </row>
    <row r="428" spans="2:12" ht="11.25">
      <c r="B428" t="s">
        <v>2544</v>
      </c>
      <c r="D428" s="10"/>
      <c r="E428" s="741" t="s">
        <v>1756</v>
      </c>
      <c r="F428" s="742" t="s">
        <v>1756</v>
      </c>
      <c r="G428" s="742" t="s">
        <v>1756</v>
      </c>
      <c r="H428" s="742" t="s">
        <v>1756</v>
      </c>
      <c r="I428" s="742" t="s">
        <v>1756</v>
      </c>
      <c r="J428" t="s">
        <v>4122</v>
      </c>
      <c r="K428" s="25" t="s">
        <v>1756</v>
      </c>
      <c r="L428" t="b">
        <f t="shared" si="8"/>
        <v>1</v>
      </c>
    </row>
    <row r="429" spans="2:12" ht="11.25">
      <c r="B429" t="s">
        <v>2545</v>
      </c>
      <c r="D429" s="10"/>
      <c r="E429" s="741" t="s">
        <v>1756</v>
      </c>
      <c r="F429" s="742" t="s">
        <v>1756</v>
      </c>
      <c r="G429" s="742" t="s">
        <v>1756</v>
      </c>
      <c r="H429" s="742" t="s">
        <v>1756</v>
      </c>
      <c r="I429" s="742" t="s">
        <v>1756</v>
      </c>
      <c r="J429" t="s">
        <v>4123</v>
      </c>
      <c r="K429" s="25" t="s">
        <v>1756</v>
      </c>
      <c r="L429" t="b">
        <f t="shared" si="8"/>
        <v>1</v>
      </c>
    </row>
    <row r="430" spans="2:12" ht="11.25">
      <c r="B430" t="s">
        <v>2546</v>
      </c>
      <c r="D430" s="10"/>
      <c r="E430" s="741" t="s">
        <v>1756</v>
      </c>
      <c r="F430" s="742" t="s">
        <v>1756</v>
      </c>
      <c r="G430" s="742" t="s">
        <v>1756</v>
      </c>
      <c r="H430" s="742" t="s">
        <v>1756</v>
      </c>
      <c r="I430" s="742" t="s">
        <v>1756</v>
      </c>
      <c r="J430" t="s">
        <v>4124</v>
      </c>
      <c r="K430" s="25" t="s">
        <v>1756</v>
      </c>
      <c r="L430" t="b">
        <f t="shared" si="8"/>
        <v>1</v>
      </c>
    </row>
    <row r="431" spans="2:12" ht="11.25">
      <c r="B431" t="s">
        <v>2547</v>
      </c>
      <c r="D431" s="10"/>
      <c r="E431" s="741" t="s">
        <v>1756</v>
      </c>
      <c r="F431" s="742" t="s">
        <v>1756</v>
      </c>
      <c r="G431" s="742" t="s">
        <v>1756</v>
      </c>
      <c r="H431" s="742" t="s">
        <v>1756</v>
      </c>
      <c r="I431" s="742" t="s">
        <v>1756</v>
      </c>
      <c r="J431" t="s">
        <v>2000</v>
      </c>
      <c r="K431" s="25" t="s">
        <v>1756</v>
      </c>
      <c r="L431" t="b">
        <f t="shared" si="8"/>
        <v>1</v>
      </c>
    </row>
    <row r="432" spans="2:12" ht="11.25">
      <c r="B432" t="s">
        <v>2548</v>
      </c>
      <c r="D432" s="10"/>
      <c r="E432" s="741" t="s">
        <v>1756</v>
      </c>
      <c r="F432" s="742" t="s">
        <v>1756</v>
      </c>
      <c r="G432" s="742" t="s">
        <v>1756</v>
      </c>
      <c r="H432" s="742" t="s">
        <v>1756</v>
      </c>
      <c r="I432" s="742" t="s">
        <v>1756</v>
      </c>
      <c r="J432" t="s">
        <v>2001</v>
      </c>
      <c r="K432" s="25" t="s">
        <v>1756</v>
      </c>
      <c r="L432" t="b">
        <f t="shared" si="8"/>
        <v>1</v>
      </c>
    </row>
    <row r="433" spans="2:12" ht="11.25">
      <c r="B433" t="s">
        <v>2549</v>
      </c>
      <c r="D433" s="10"/>
      <c r="E433" s="741" t="s">
        <v>1756</v>
      </c>
      <c r="F433" s="742" t="s">
        <v>1756</v>
      </c>
      <c r="G433" s="742" t="s">
        <v>1756</v>
      </c>
      <c r="H433" s="742" t="s">
        <v>1756</v>
      </c>
      <c r="I433" s="742" t="s">
        <v>1756</v>
      </c>
      <c r="J433" t="s">
        <v>2002</v>
      </c>
      <c r="K433" s="25" t="s">
        <v>1756</v>
      </c>
      <c r="L433" t="b">
        <f t="shared" si="8"/>
        <v>1</v>
      </c>
    </row>
    <row r="434" spans="2:12" ht="11.25">
      <c r="B434" t="s">
        <v>2550</v>
      </c>
      <c r="D434" s="10"/>
      <c r="E434" s="741" t="s">
        <v>1756</v>
      </c>
      <c r="F434" s="742" t="s">
        <v>1756</v>
      </c>
      <c r="G434" s="742" t="s">
        <v>1756</v>
      </c>
      <c r="H434" s="742" t="s">
        <v>1756</v>
      </c>
      <c r="I434" s="742" t="s">
        <v>1756</v>
      </c>
      <c r="J434" t="s">
        <v>2003</v>
      </c>
      <c r="K434" s="25" t="s">
        <v>1756</v>
      </c>
      <c r="L434" t="b">
        <f t="shared" si="8"/>
        <v>1</v>
      </c>
    </row>
    <row r="435" spans="2:12" ht="11.25">
      <c r="B435" t="s">
        <v>2551</v>
      </c>
      <c r="D435" s="10"/>
      <c r="E435" s="741" t="s">
        <v>1756</v>
      </c>
      <c r="F435" s="742" t="s">
        <v>1756</v>
      </c>
      <c r="G435" s="742" t="s">
        <v>1756</v>
      </c>
      <c r="H435" s="742" t="s">
        <v>1756</v>
      </c>
      <c r="I435" s="742" t="s">
        <v>1756</v>
      </c>
      <c r="J435" t="s">
        <v>2004</v>
      </c>
      <c r="K435" s="25" t="s">
        <v>1756</v>
      </c>
      <c r="L435" t="b">
        <f t="shared" si="8"/>
        <v>1</v>
      </c>
    </row>
    <row r="436" spans="2:12" ht="11.25">
      <c r="B436" t="s">
        <v>2552</v>
      </c>
      <c r="D436" s="10"/>
      <c r="E436" s="741" t="s">
        <v>1756</v>
      </c>
      <c r="F436" s="742" t="s">
        <v>1756</v>
      </c>
      <c r="G436" s="742" t="s">
        <v>1756</v>
      </c>
      <c r="H436" s="742" t="s">
        <v>1756</v>
      </c>
      <c r="I436" s="742" t="s">
        <v>1756</v>
      </c>
      <c r="J436" t="s">
        <v>2063</v>
      </c>
      <c r="K436" s="25" t="s">
        <v>1756</v>
      </c>
      <c r="L436" t="b">
        <f t="shared" si="8"/>
        <v>1</v>
      </c>
    </row>
    <row r="437" spans="2:12" ht="11.25">
      <c r="B437" t="s">
        <v>4359</v>
      </c>
      <c r="D437" s="10"/>
      <c r="E437" s="741" t="s">
        <v>1756</v>
      </c>
      <c r="F437" s="742" t="s">
        <v>1756</v>
      </c>
      <c r="G437" s="742" t="s">
        <v>1756</v>
      </c>
      <c r="H437" s="742" t="s">
        <v>1756</v>
      </c>
      <c r="I437" s="742" t="s">
        <v>1756</v>
      </c>
      <c r="J437" t="s">
        <v>2064</v>
      </c>
      <c r="K437" s="25" t="s">
        <v>1756</v>
      </c>
      <c r="L437" t="b">
        <f t="shared" si="8"/>
        <v>1</v>
      </c>
    </row>
    <row r="438" spans="2:12" ht="11.25">
      <c r="B438" t="s">
        <v>1975</v>
      </c>
      <c r="D438" s="10"/>
      <c r="E438" s="741" t="s">
        <v>1756</v>
      </c>
      <c r="F438" s="742" t="s">
        <v>1756</v>
      </c>
      <c r="G438" s="742" t="s">
        <v>1756</v>
      </c>
      <c r="H438" s="742" t="s">
        <v>1756</v>
      </c>
      <c r="I438" s="742" t="s">
        <v>1756</v>
      </c>
      <c r="J438" t="s">
        <v>2065</v>
      </c>
      <c r="K438" s="25" t="s">
        <v>1756</v>
      </c>
      <c r="L438" t="b">
        <f t="shared" si="8"/>
        <v>1</v>
      </c>
    </row>
    <row r="439" spans="2:12" ht="11.25">
      <c r="B439" t="s">
        <v>1976</v>
      </c>
      <c r="D439" s="10"/>
      <c r="E439" s="741" t="s">
        <v>1756</v>
      </c>
      <c r="F439" s="742" t="s">
        <v>1756</v>
      </c>
      <c r="G439" s="742" t="s">
        <v>1756</v>
      </c>
      <c r="H439" s="742" t="s">
        <v>1756</v>
      </c>
      <c r="I439" s="742" t="s">
        <v>1756</v>
      </c>
      <c r="J439" t="s">
        <v>2066</v>
      </c>
      <c r="K439" s="25" t="s">
        <v>1756</v>
      </c>
      <c r="L439" t="b">
        <f t="shared" si="8"/>
        <v>1</v>
      </c>
    </row>
    <row r="440" spans="2:12" ht="11.25">
      <c r="B440" t="s">
        <v>1977</v>
      </c>
      <c r="D440" s="10"/>
      <c r="E440" s="741" t="s">
        <v>1756</v>
      </c>
      <c r="F440" s="742" t="s">
        <v>1756</v>
      </c>
      <c r="G440" s="742" t="s">
        <v>1756</v>
      </c>
      <c r="H440" s="742" t="s">
        <v>1756</v>
      </c>
      <c r="I440" s="742" t="s">
        <v>1756</v>
      </c>
      <c r="J440" t="s">
        <v>2067</v>
      </c>
      <c r="K440" s="25" t="s">
        <v>1756</v>
      </c>
      <c r="L440" t="b">
        <f t="shared" si="8"/>
        <v>1</v>
      </c>
    </row>
    <row r="441" spans="2:12" ht="11.25">
      <c r="B441" t="s">
        <v>2553</v>
      </c>
      <c r="D441" s="10"/>
      <c r="E441" s="741" t="s">
        <v>1756</v>
      </c>
      <c r="F441" s="742" t="s">
        <v>1756</v>
      </c>
      <c r="G441" s="742" t="s">
        <v>1756</v>
      </c>
      <c r="H441" s="742" t="s">
        <v>1756</v>
      </c>
      <c r="I441" s="742" t="s">
        <v>1756</v>
      </c>
      <c r="J441" t="s">
        <v>2068</v>
      </c>
      <c r="K441" s="25" t="s">
        <v>1756</v>
      </c>
      <c r="L441" t="b">
        <f t="shared" si="8"/>
        <v>1</v>
      </c>
    </row>
    <row r="442" spans="2:12" ht="11.25">
      <c r="B442" t="s">
        <v>2554</v>
      </c>
      <c r="D442" s="10"/>
      <c r="E442" s="741" t="s">
        <v>1756</v>
      </c>
      <c r="F442" s="742" t="s">
        <v>1756</v>
      </c>
      <c r="G442" s="742" t="s">
        <v>1756</v>
      </c>
      <c r="H442" s="742" t="s">
        <v>1756</v>
      </c>
      <c r="I442" s="742" t="s">
        <v>1756</v>
      </c>
      <c r="J442" t="s">
        <v>1409</v>
      </c>
      <c r="K442" s="25" t="s">
        <v>1756</v>
      </c>
      <c r="L442" t="b">
        <f t="shared" si="8"/>
        <v>1</v>
      </c>
    </row>
    <row r="443" spans="2:12" ht="11.25">
      <c r="B443" t="s">
        <v>2555</v>
      </c>
      <c r="D443" s="10"/>
      <c r="E443" s="741" t="s">
        <v>1756</v>
      </c>
      <c r="F443" s="742" t="s">
        <v>1756</v>
      </c>
      <c r="G443" s="742" t="s">
        <v>1756</v>
      </c>
      <c r="H443" s="742" t="s">
        <v>1756</v>
      </c>
      <c r="I443" s="742" t="s">
        <v>1756</v>
      </c>
      <c r="J443" t="s">
        <v>3335</v>
      </c>
      <c r="K443" s="25" t="s">
        <v>1756</v>
      </c>
      <c r="L443" t="b">
        <f t="shared" si="8"/>
        <v>1</v>
      </c>
    </row>
    <row r="444" spans="2:12" ht="11.25">
      <c r="B444" t="s">
        <v>2556</v>
      </c>
      <c r="D444" s="10"/>
      <c r="E444" s="741" t="s">
        <v>1756</v>
      </c>
      <c r="F444" s="742" t="s">
        <v>1756</v>
      </c>
      <c r="G444" s="742" t="s">
        <v>1756</v>
      </c>
      <c r="H444" s="742" t="s">
        <v>1756</v>
      </c>
      <c r="I444" s="742" t="s">
        <v>1756</v>
      </c>
      <c r="J444" t="s">
        <v>3336</v>
      </c>
      <c r="K444" s="25" t="s">
        <v>1756</v>
      </c>
      <c r="L444" t="b">
        <f t="shared" si="8"/>
        <v>1</v>
      </c>
    </row>
    <row r="445" spans="2:12" ht="11.25">
      <c r="B445" t="s">
        <v>1978</v>
      </c>
      <c r="D445" s="10"/>
      <c r="E445" s="741" t="s">
        <v>1756</v>
      </c>
      <c r="F445" s="742" t="s">
        <v>1756</v>
      </c>
      <c r="G445" s="742" t="s">
        <v>1756</v>
      </c>
      <c r="H445" s="742" t="s">
        <v>1756</v>
      </c>
      <c r="I445" s="742" t="s">
        <v>1756</v>
      </c>
      <c r="J445" t="s">
        <v>873</v>
      </c>
      <c r="K445" s="25" t="s">
        <v>1756</v>
      </c>
      <c r="L445" t="b">
        <f t="shared" si="8"/>
        <v>1</v>
      </c>
    </row>
    <row r="446" spans="2:12" ht="11.25">
      <c r="B446" t="s">
        <v>3062</v>
      </c>
      <c r="D446" s="10"/>
      <c r="E446" s="741" t="s">
        <v>1756</v>
      </c>
      <c r="F446" s="742" t="s">
        <v>1756</v>
      </c>
      <c r="G446" s="742" t="s">
        <v>1756</v>
      </c>
      <c r="H446" s="742" t="s">
        <v>1756</v>
      </c>
      <c r="I446" s="742" t="s">
        <v>1756</v>
      </c>
      <c r="J446" t="s">
        <v>874</v>
      </c>
      <c r="K446" s="25" t="s">
        <v>1756</v>
      </c>
      <c r="L446" t="b">
        <f t="shared" si="8"/>
        <v>1</v>
      </c>
    </row>
    <row r="447" spans="2:12" ht="11.25">
      <c r="B447" t="s">
        <v>3933</v>
      </c>
      <c r="D447" s="10"/>
      <c r="E447" s="741" t="s">
        <v>1756</v>
      </c>
      <c r="F447" s="742" t="s">
        <v>1756</v>
      </c>
      <c r="G447" s="742" t="s">
        <v>1756</v>
      </c>
      <c r="H447" s="742" t="s">
        <v>1756</v>
      </c>
      <c r="I447" s="742" t="s">
        <v>1756</v>
      </c>
      <c r="J447" t="s">
        <v>875</v>
      </c>
      <c r="K447" s="25" t="s">
        <v>1756</v>
      </c>
      <c r="L447" t="b">
        <f t="shared" si="8"/>
        <v>1</v>
      </c>
    </row>
    <row r="448" spans="2:12" ht="11.25">
      <c r="B448" t="s">
        <v>3934</v>
      </c>
      <c r="D448" s="10"/>
      <c r="E448" s="741" t="s">
        <v>1756</v>
      </c>
      <c r="F448" s="742" t="s">
        <v>1756</v>
      </c>
      <c r="G448" s="742" t="s">
        <v>1756</v>
      </c>
      <c r="H448" s="742" t="s">
        <v>1756</v>
      </c>
      <c r="I448" s="742" t="s">
        <v>1756</v>
      </c>
      <c r="J448" t="s">
        <v>876</v>
      </c>
      <c r="K448" s="25" t="s">
        <v>1756</v>
      </c>
      <c r="L448" t="b">
        <f t="shared" si="8"/>
        <v>1</v>
      </c>
    </row>
    <row r="449" spans="2:12" ht="11.25">
      <c r="B449" t="s">
        <v>3511</v>
      </c>
      <c r="D449" s="10"/>
      <c r="E449" s="741" t="s">
        <v>1756</v>
      </c>
      <c r="F449" s="742" t="s">
        <v>1756</v>
      </c>
      <c r="G449" s="742" t="s">
        <v>1756</v>
      </c>
      <c r="H449" s="742" t="s">
        <v>1756</v>
      </c>
      <c r="I449" s="742" t="s">
        <v>1756</v>
      </c>
      <c r="J449" t="s">
        <v>216</v>
      </c>
      <c r="K449" s="25" t="s">
        <v>1756</v>
      </c>
      <c r="L449" t="b">
        <f>MAX(E449:I449)=MIN(E449:I449)</f>
        <v>1</v>
      </c>
    </row>
    <row r="450" spans="2:12" ht="11.25">
      <c r="B450" t="s">
        <v>3512</v>
      </c>
      <c r="D450" s="10"/>
      <c r="E450" s="741" t="s">
        <v>1756</v>
      </c>
      <c r="F450" s="742" t="s">
        <v>1756</v>
      </c>
      <c r="G450" s="742" t="s">
        <v>1756</v>
      </c>
      <c r="H450" s="742" t="s">
        <v>1756</v>
      </c>
      <c r="I450" s="742" t="s">
        <v>1756</v>
      </c>
      <c r="J450" t="s">
        <v>217</v>
      </c>
      <c r="K450" s="25" t="s">
        <v>1756</v>
      </c>
      <c r="L450" t="b">
        <f>MAX(E450:I450)=MIN(E450:I450)</f>
        <v>1</v>
      </c>
    </row>
    <row r="451" spans="2:12" ht="11.25">
      <c r="B451" t="s">
        <v>2912</v>
      </c>
      <c r="D451" s="10"/>
      <c r="E451" s="741" t="s">
        <v>1756</v>
      </c>
      <c r="F451" s="742" t="s">
        <v>1756</v>
      </c>
      <c r="G451" s="742" t="s">
        <v>1756</v>
      </c>
      <c r="H451" s="742" t="s">
        <v>1756</v>
      </c>
      <c r="I451" s="742" t="s">
        <v>1756</v>
      </c>
      <c r="J451" t="s">
        <v>218</v>
      </c>
      <c r="K451" s="25" t="s">
        <v>1756</v>
      </c>
      <c r="L451" t="b">
        <f>MAX(E451:I451)=MIN(E451:I451)</f>
        <v>1</v>
      </c>
    </row>
    <row r="452" spans="2:12" ht="11.25">
      <c r="B452" t="s">
        <v>2913</v>
      </c>
      <c r="D452" s="10"/>
      <c r="E452" s="741" t="s">
        <v>1756</v>
      </c>
      <c r="F452" s="742" t="s">
        <v>1756</v>
      </c>
      <c r="G452" s="742" t="s">
        <v>1756</v>
      </c>
      <c r="H452" s="742" t="s">
        <v>1756</v>
      </c>
      <c r="I452" s="742" t="s">
        <v>1756</v>
      </c>
      <c r="J452" t="s">
        <v>219</v>
      </c>
      <c r="K452" s="25" t="s">
        <v>1756</v>
      </c>
      <c r="L452" t="b">
        <f>MAX(E452:I452)=MIN(E452:I452)</f>
        <v>1</v>
      </c>
    </row>
    <row r="453" spans="2:12" ht="11.25">
      <c r="B453" t="s">
        <v>4629</v>
      </c>
      <c r="D453" s="10"/>
      <c r="E453" s="741" t="s">
        <v>1756</v>
      </c>
      <c r="F453" s="742" t="s">
        <v>1756</v>
      </c>
      <c r="G453" s="742" t="s">
        <v>1756</v>
      </c>
      <c r="H453" s="742" t="s">
        <v>1756</v>
      </c>
      <c r="I453" s="742" t="s">
        <v>1756</v>
      </c>
      <c r="J453" t="s">
        <v>4637</v>
      </c>
      <c r="K453" s="25" t="s">
        <v>1756</v>
      </c>
      <c r="L453" t="b">
        <f t="shared" si="8"/>
        <v>1</v>
      </c>
    </row>
    <row r="454" spans="2:12" ht="11.25">
      <c r="B454" t="s">
        <v>4630</v>
      </c>
      <c r="D454" s="10"/>
      <c r="E454" s="741" t="s">
        <v>1756</v>
      </c>
      <c r="F454" s="742" t="s">
        <v>1756</v>
      </c>
      <c r="G454" s="742" t="s">
        <v>1756</v>
      </c>
      <c r="H454" s="742" t="s">
        <v>1756</v>
      </c>
      <c r="I454" s="742" t="s">
        <v>1756</v>
      </c>
      <c r="J454" t="s">
        <v>4638</v>
      </c>
      <c r="K454" s="25" t="s">
        <v>1756</v>
      </c>
      <c r="L454" t="b">
        <f t="shared" si="8"/>
        <v>1</v>
      </c>
    </row>
    <row r="455" spans="2:12" ht="11.25">
      <c r="B455" t="s">
        <v>4631</v>
      </c>
      <c r="D455" s="10"/>
      <c r="E455" s="741" t="s">
        <v>1756</v>
      </c>
      <c r="F455" s="742" t="s">
        <v>1756</v>
      </c>
      <c r="G455" s="742" t="s">
        <v>1756</v>
      </c>
      <c r="H455" s="742" t="s">
        <v>1756</v>
      </c>
      <c r="I455" s="742" t="s">
        <v>1756</v>
      </c>
      <c r="J455" t="s">
        <v>4639</v>
      </c>
      <c r="K455" s="25" t="s">
        <v>1756</v>
      </c>
      <c r="L455" t="b">
        <f t="shared" si="8"/>
        <v>1</v>
      </c>
    </row>
    <row r="456" spans="2:12" ht="11.25">
      <c r="B456" t="s">
        <v>4632</v>
      </c>
      <c r="D456" s="10"/>
      <c r="E456" s="741" t="s">
        <v>1756</v>
      </c>
      <c r="F456" s="742" t="s">
        <v>1756</v>
      </c>
      <c r="G456" s="742" t="s">
        <v>1756</v>
      </c>
      <c r="H456" s="742" t="s">
        <v>1756</v>
      </c>
      <c r="I456" s="742" t="s">
        <v>1756</v>
      </c>
      <c r="J456" t="s">
        <v>4640</v>
      </c>
      <c r="K456" s="25" t="s">
        <v>1756</v>
      </c>
      <c r="L456" t="b">
        <f t="shared" si="8"/>
        <v>1</v>
      </c>
    </row>
    <row r="457" spans="2:12" ht="11.25">
      <c r="B457" t="s">
        <v>5181</v>
      </c>
      <c r="D457" s="10"/>
      <c r="E457" s="741" t="s">
        <v>1756</v>
      </c>
      <c r="F457" s="742" t="s">
        <v>1756</v>
      </c>
      <c r="G457" s="742" t="s">
        <v>1756</v>
      </c>
      <c r="H457" s="742" t="s">
        <v>1756</v>
      </c>
      <c r="I457" s="742" t="s">
        <v>1756</v>
      </c>
      <c r="J457" t="s">
        <v>5187</v>
      </c>
      <c r="K457" s="25" t="s">
        <v>1756</v>
      </c>
      <c r="L457" t="b">
        <f t="shared" si="8"/>
        <v>1</v>
      </c>
    </row>
    <row r="458" spans="2:12" ht="11.25">
      <c r="B458" t="s">
        <v>5182</v>
      </c>
      <c r="D458" s="10"/>
      <c r="E458" s="741" t="s">
        <v>1756</v>
      </c>
      <c r="F458" s="742" t="s">
        <v>1756</v>
      </c>
      <c r="G458" s="742" t="s">
        <v>1756</v>
      </c>
      <c r="H458" s="742" t="s">
        <v>1756</v>
      </c>
      <c r="I458" s="742" t="s">
        <v>1756</v>
      </c>
      <c r="J458" t="s">
        <v>5188</v>
      </c>
      <c r="K458" s="25" t="s">
        <v>1756</v>
      </c>
      <c r="L458" t="b">
        <f t="shared" si="8"/>
        <v>1</v>
      </c>
    </row>
    <row r="459" spans="2:12" ht="11.25">
      <c r="B459" t="s">
        <v>5185</v>
      </c>
      <c r="D459" s="10"/>
      <c r="E459" s="741" t="s">
        <v>1756</v>
      </c>
      <c r="F459" s="742" t="s">
        <v>1756</v>
      </c>
      <c r="G459" s="742" t="s">
        <v>1756</v>
      </c>
      <c r="H459" s="742" t="s">
        <v>1756</v>
      </c>
      <c r="I459" s="742" t="s">
        <v>1756</v>
      </c>
      <c r="J459" t="s">
        <v>5189</v>
      </c>
      <c r="K459" s="25" t="s">
        <v>1756</v>
      </c>
      <c r="L459" t="b">
        <f t="shared" si="8"/>
        <v>1</v>
      </c>
    </row>
    <row r="460" spans="2:12" ht="11.25">
      <c r="B460" t="s">
        <v>5186</v>
      </c>
      <c r="D460" s="10"/>
      <c r="E460" s="741" t="s">
        <v>1756</v>
      </c>
      <c r="F460" s="742" t="s">
        <v>1756</v>
      </c>
      <c r="G460" s="742" t="s">
        <v>1756</v>
      </c>
      <c r="H460" s="742" t="s">
        <v>1756</v>
      </c>
      <c r="I460" s="742" t="s">
        <v>1756</v>
      </c>
      <c r="J460" t="s">
        <v>5190</v>
      </c>
      <c r="K460" s="25" t="s">
        <v>1756</v>
      </c>
      <c r="L460" t="b">
        <f t="shared" si="8"/>
        <v>1</v>
      </c>
    </row>
    <row r="461" spans="2:12" ht="11.25">
      <c r="B461" t="s">
        <v>5183</v>
      </c>
      <c r="D461" s="10"/>
      <c r="E461" s="741" t="s">
        <v>1756</v>
      </c>
      <c r="F461" s="742" t="s">
        <v>1756</v>
      </c>
      <c r="G461" s="742" t="s">
        <v>1756</v>
      </c>
      <c r="H461" s="742" t="s">
        <v>1756</v>
      </c>
      <c r="I461" s="742" t="s">
        <v>1756</v>
      </c>
      <c r="J461" t="s">
        <v>5191</v>
      </c>
      <c r="K461" s="25" t="s">
        <v>1756</v>
      </c>
      <c r="L461" t="b">
        <f t="shared" si="8"/>
        <v>1</v>
      </c>
    </row>
    <row r="462" spans="2:12" ht="11.25">
      <c r="B462" t="s">
        <v>5184</v>
      </c>
      <c r="D462" s="10"/>
      <c r="E462" s="741" t="s">
        <v>1756</v>
      </c>
      <c r="F462" s="742" t="s">
        <v>1756</v>
      </c>
      <c r="G462" s="742" t="s">
        <v>1756</v>
      </c>
      <c r="H462" s="742" t="s">
        <v>1756</v>
      </c>
      <c r="I462" s="742" t="s">
        <v>1756</v>
      </c>
      <c r="J462" t="s">
        <v>5192</v>
      </c>
      <c r="K462" s="25" t="s">
        <v>1756</v>
      </c>
      <c r="L462" t="b">
        <f t="shared" si="8"/>
        <v>1</v>
      </c>
    </row>
    <row r="463" spans="2:12" ht="11.25">
      <c r="B463" t="s">
        <v>5199</v>
      </c>
      <c r="D463" s="10"/>
      <c r="E463" s="741" t="s">
        <v>1756</v>
      </c>
      <c r="F463" s="742" t="s">
        <v>1756</v>
      </c>
      <c r="G463" s="742" t="s">
        <v>1756</v>
      </c>
      <c r="H463" s="742" t="s">
        <v>1756</v>
      </c>
      <c r="I463" s="742" t="s">
        <v>1756</v>
      </c>
      <c r="J463" t="s">
        <v>5201</v>
      </c>
      <c r="K463" s="25" t="s">
        <v>1756</v>
      </c>
      <c r="L463" t="b">
        <f t="shared" si="8"/>
        <v>1</v>
      </c>
    </row>
    <row r="464" spans="2:12" ht="11.25">
      <c r="B464" t="s">
        <v>5200</v>
      </c>
      <c r="D464" s="10"/>
      <c r="E464" s="741" t="s">
        <v>1756</v>
      </c>
      <c r="F464" s="742" t="s">
        <v>1756</v>
      </c>
      <c r="G464" s="742" t="s">
        <v>1756</v>
      </c>
      <c r="H464" s="742" t="s">
        <v>1756</v>
      </c>
      <c r="I464" s="742" t="s">
        <v>1756</v>
      </c>
      <c r="J464" t="s">
        <v>5202</v>
      </c>
      <c r="K464" s="25" t="s">
        <v>1756</v>
      </c>
      <c r="L464" t="b">
        <f t="shared" si="8"/>
        <v>1</v>
      </c>
    </row>
    <row r="465" spans="1:12" ht="11.25">
      <c r="B465" t="s">
        <v>5213</v>
      </c>
      <c r="D465" s="10"/>
      <c r="E465" s="741" t="s">
        <v>1756</v>
      </c>
      <c r="F465" s="742" t="s">
        <v>1756</v>
      </c>
      <c r="G465" s="742" t="s">
        <v>1756</v>
      </c>
      <c r="H465" s="742" t="s">
        <v>1756</v>
      </c>
      <c r="I465" s="742" t="s">
        <v>1756</v>
      </c>
      <c r="J465" t="s">
        <v>5205</v>
      </c>
      <c r="K465" s="25" t="s">
        <v>1756</v>
      </c>
      <c r="L465" t="b">
        <f t="shared" si="8"/>
        <v>1</v>
      </c>
    </row>
    <row r="466" spans="1:12" ht="11.25">
      <c r="B466" t="s">
        <v>5214</v>
      </c>
      <c r="D466" s="10"/>
      <c r="E466" s="741" t="s">
        <v>1756</v>
      </c>
      <c r="F466" s="742" t="s">
        <v>1756</v>
      </c>
      <c r="G466" s="742" t="s">
        <v>1756</v>
      </c>
      <c r="H466" s="742" t="s">
        <v>1756</v>
      </c>
      <c r="I466" s="742" t="s">
        <v>1756</v>
      </c>
      <c r="J466" t="s">
        <v>5206</v>
      </c>
      <c r="K466" s="25" t="s">
        <v>1756</v>
      </c>
      <c r="L466" t="b">
        <f t="shared" si="8"/>
        <v>1</v>
      </c>
    </row>
    <row r="467" spans="1:12" ht="11.25">
      <c r="B467" t="s">
        <v>5215</v>
      </c>
      <c r="D467" s="10"/>
      <c r="E467" s="741" t="s">
        <v>1756</v>
      </c>
      <c r="F467" s="742" t="s">
        <v>1756</v>
      </c>
      <c r="G467" s="742" t="s">
        <v>1756</v>
      </c>
      <c r="H467" s="742" t="s">
        <v>1756</v>
      </c>
      <c r="I467" s="742" t="s">
        <v>1756</v>
      </c>
      <c r="J467" t="s">
        <v>5207</v>
      </c>
      <c r="K467" s="25" t="s">
        <v>1756</v>
      </c>
      <c r="L467" t="b">
        <f t="shared" si="8"/>
        <v>1</v>
      </c>
    </row>
    <row r="468" spans="1:12" ht="11.25">
      <c r="B468" t="s">
        <v>5216</v>
      </c>
      <c r="D468" s="10"/>
      <c r="E468" s="741" t="s">
        <v>1756</v>
      </c>
      <c r="F468" s="742" t="s">
        <v>1756</v>
      </c>
      <c r="G468" s="742" t="s">
        <v>1756</v>
      </c>
      <c r="H468" s="742" t="s">
        <v>1756</v>
      </c>
      <c r="I468" s="742" t="s">
        <v>1756</v>
      </c>
      <c r="J468" t="s">
        <v>5208</v>
      </c>
      <c r="K468" s="25" t="s">
        <v>1756</v>
      </c>
      <c r="L468" t="b">
        <f t="shared" si="8"/>
        <v>1</v>
      </c>
    </row>
    <row r="469" spans="1:12" ht="11.25">
      <c r="B469" t="s">
        <v>5217</v>
      </c>
      <c r="D469" s="10"/>
      <c r="E469" s="741" t="s">
        <v>1756</v>
      </c>
      <c r="F469" s="742" t="s">
        <v>1756</v>
      </c>
      <c r="G469" s="742" t="s">
        <v>1756</v>
      </c>
      <c r="H469" s="742" t="s">
        <v>1756</v>
      </c>
      <c r="I469" s="742" t="s">
        <v>1756</v>
      </c>
      <c r="J469" t="s">
        <v>5209</v>
      </c>
      <c r="K469" s="25" t="s">
        <v>1756</v>
      </c>
      <c r="L469" t="b">
        <f t="shared" si="8"/>
        <v>1</v>
      </c>
    </row>
    <row r="470" spans="1:12" ht="11.25">
      <c r="B470" t="s">
        <v>5218</v>
      </c>
      <c r="D470" s="10"/>
      <c r="E470" s="741" t="s">
        <v>1756</v>
      </c>
      <c r="F470" s="742" t="s">
        <v>1756</v>
      </c>
      <c r="G470" s="742" t="s">
        <v>1756</v>
      </c>
      <c r="H470" s="742" t="s">
        <v>1756</v>
      </c>
      <c r="I470" s="742" t="s">
        <v>1756</v>
      </c>
      <c r="J470" t="s">
        <v>5210</v>
      </c>
      <c r="K470" s="25" t="s">
        <v>1756</v>
      </c>
      <c r="L470" t="b">
        <f t="shared" si="8"/>
        <v>1</v>
      </c>
    </row>
    <row r="471" spans="1:12" ht="11.25">
      <c r="B471" t="s">
        <v>5219</v>
      </c>
      <c r="D471" s="10"/>
      <c r="E471" s="741" t="s">
        <v>1756</v>
      </c>
      <c r="F471" s="742" t="s">
        <v>1756</v>
      </c>
      <c r="G471" s="742" t="s">
        <v>1756</v>
      </c>
      <c r="H471" s="742" t="s">
        <v>1756</v>
      </c>
      <c r="I471" s="742" t="s">
        <v>1756</v>
      </c>
      <c r="J471" t="s">
        <v>5211</v>
      </c>
      <c r="K471" s="25" t="s">
        <v>1756</v>
      </c>
      <c r="L471" t="b">
        <f t="shared" si="8"/>
        <v>1</v>
      </c>
    </row>
    <row r="472" spans="1:12" ht="11.25">
      <c r="B472" t="s">
        <v>5220</v>
      </c>
      <c r="D472" s="10"/>
      <c r="E472" s="741" t="s">
        <v>1756</v>
      </c>
      <c r="F472" s="742" t="s">
        <v>1756</v>
      </c>
      <c r="G472" s="742" t="s">
        <v>1756</v>
      </c>
      <c r="H472" s="742" t="s">
        <v>1756</v>
      </c>
      <c r="I472" s="742" t="s">
        <v>1756</v>
      </c>
      <c r="J472" t="s">
        <v>5212</v>
      </c>
      <c r="K472" s="25" t="s">
        <v>1756</v>
      </c>
      <c r="L472" t="b">
        <f t="shared" si="8"/>
        <v>1</v>
      </c>
    </row>
    <row r="473" spans="1:12" ht="11.25">
      <c r="D473" s="10"/>
      <c r="E473" s="741"/>
      <c r="F473" s="742"/>
      <c r="G473" s="742"/>
      <c r="H473" s="742"/>
      <c r="I473" s="742"/>
      <c r="K473" s="25"/>
      <c r="L473" t="b">
        <f t="shared" si="8"/>
        <v>1</v>
      </c>
    </row>
    <row r="474" spans="1:12" ht="11.25">
      <c r="A474" s="2" t="s">
        <v>365</v>
      </c>
      <c r="E474" s="109"/>
      <c r="F474" s="26"/>
      <c r="G474" s="26"/>
      <c r="H474" s="26"/>
      <c r="I474" s="26"/>
      <c r="K474" s="25"/>
      <c r="L474" t="b">
        <f t="shared" ref="L474:L490" si="9">MAX(E474:I474)=MIN(E474:I474)</f>
        <v>1</v>
      </c>
    </row>
    <row r="475" spans="1:12" ht="11.25">
      <c r="C475" s="4" t="s">
        <v>366</v>
      </c>
      <c r="D475" t="s">
        <v>367</v>
      </c>
      <c r="E475" s="109"/>
      <c r="F475" s="26"/>
      <c r="G475" s="26"/>
      <c r="H475" s="26"/>
      <c r="I475" s="26"/>
      <c r="K475" s="25"/>
      <c r="L475" t="b">
        <f t="shared" si="9"/>
        <v>1</v>
      </c>
    </row>
    <row r="476" spans="1:12" ht="11.25">
      <c r="B476" s="4" t="s">
        <v>2984</v>
      </c>
      <c r="C476" s="4">
        <v>1</v>
      </c>
      <c r="D476" s="4" t="s">
        <v>2984</v>
      </c>
      <c r="E476" s="109">
        <v>0</v>
      </c>
      <c r="F476" s="26">
        <v>0</v>
      </c>
      <c r="G476" s="26">
        <v>0</v>
      </c>
      <c r="H476" s="26">
        <v>0</v>
      </c>
      <c r="I476" s="26">
        <v>0</v>
      </c>
      <c r="J476" s="700" t="s">
        <v>6249</v>
      </c>
      <c r="K476" s="25">
        <v>0</v>
      </c>
      <c r="L476" t="b">
        <f t="shared" si="9"/>
        <v>1</v>
      </c>
    </row>
    <row r="477" spans="1:12" ht="11.25">
      <c r="B477" s="4" t="s">
        <v>2985</v>
      </c>
      <c r="C477" s="4">
        <v>1</v>
      </c>
      <c r="D477" s="4" t="s">
        <v>2985</v>
      </c>
      <c r="E477" s="109">
        <v>0</v>
      </c>
      <c r="F477" s="26">
        <v>0</v>
      </c>
      <c r="G477" s="26">
        <v>0</v>
      </c>
      <c r="H477" s="26">
        <v>0</v>
      </c>
      <c r="I477" s="26">
        <v>0</v>
      </c>
      <c r="J477" s="700" t="s">
        <v>6250</v>
      </c>
      <c r="K477" s="25">
        <v>0</v>
      </c>
      <c r="L477" t="b">
        <f t="shared" si="9"/>
        <v>1</v>
      </c>
    </row>
    <row r="478" spans="1:12" ht="11.25">
      <c r="B478" s="4" t="s">
        <v>2986</v>
      </c>
      <c r="C478" s="4">
        <v>1</v>
      </c>
      <c r="D478" s="4" t="s">
        <v>2986</v>
      </c>
      <c r="E478" s="109">
        <v>0</v>
      </c>
      <c r="F478" s="26">
        <v>0</v>
      </c>
      <c r="G478" s="26">
        <v>0</v>
      </c>
      <c r="H478" s="26">
        <v>0</v>
      </c>
      <c r="I478" s="26">
        <v>0</v>
      </c>
      <c r="J478" s="700" t="s">
        <v>6251</v>
      </c>
      <c r="K478" s="25">
        <v>0</v>
      </c>
      <c r="L478" t="b">
        <f t="shared" si="9"/>
        <v>1</v>
      </c>
    </row>
    <row r="479" spans="1:12" ht="11.25">
      <c r="B479" s="4" t="s">
        <v>2987</v>
      </c>
      <c r="C479" s="4">
        <v>1</v>
      </c>
      <c r="D479" s="4" t="s">
        <v>2987</v>
      </c>
      <c r="E479" s="109">
        <v>0</v>
      </c>
      <c r="F479" s="26">
        <v>0</v>
      </c>
      <c r="G479" s="26">
        <v>0</v>
      </c>
      <c r="H479" s="26">
        <v>0</v>
      </c>
      <c r="I479" s="26">
        <v>0</v>
      </c>
      <c r="J479" s="700" t="s">
        <v>6252</v>
      </c>
      <c r="K479" s="25">
        <v>0</v>
      </c>
      <c r="L479" t="b">
        <f t="shared" si="9"/>
        <v>1</v>
      </c>
    </row>
    <row r="480" spans="1:12" ht="11.25">
      <c r="B480" s="4" t="s">
        <v>2988</v>
      </c>
      <c r="C480" s="4">
        <v>1</v>
      </c>
      <c r="D480" s="4" t="s">
        <v>2988</v>
      </c>
      <c r="E480" s="109">
        <v>0</v>
      </c>
      <c r="F480" s="26">
        <v>0</v>
      </c>
      <c r="G480" s="26">
        <v>0</v>
      </c>
      <c r="H480" s="26">
        <v>0</v>
      </c>
      <c r="I480" s="26">
        <v>0</v>
      </c>
      <c r="J480" s="700" t="s">
        <v>6253</v>
      </c>
      <c r="K480" s="25">
        <v>0</v>
      </c>
      <c r="L480" t="b">
        <f t="shared" si="9"/>
        <v>1</v>
      </c>
    </row>
    <row r="481" spans="2:12" ht="11.25">
      <c r="B481" s="4" t="s">
        <v>1143</v>
      </c>
      <c r="C481" s="4">
        <v>1</v>
      </c>
      <c r="D481" s="4" t="s">
        <v>1143</v>
      </c>
      <c r="E481" s="109">
        <v>0</v>
      </c>
      <c r="F481" s="26">
        <v>0</v>
      </c>
      <c r="G481" s="26">
        <v>0</v>
      </c>
      <c r="H481" s="26">
        <v>0</v>
      </c>
      <c r="I481" s="26">
        <v>0</v>
      </c>
      <c r="J481" s="700" t="s">
        <v>6254</v>
      </c>
      <c r="K481" s="25">
        <v>0</v>
      </c>
      <c r="L481" t="b">
        <f t="shared" si="9"/>
        <v>1</v>
      </c>
    </row>
    <row r="482" spans="2:12" ht="11.25">
      <c r="B482" s="4" t="s">
        <v>1144</v>
      </c>
      <c r="C482" s="4">
        <v>1</v>
      </c>
      <c r="D482" s="4" t="s">
        <v>1144</v>
      </c>
      <c r="E482" s="109">
        <v>0</v>
      </c>
      <c r="F482" s="26">
        <v>0</v>
      </c>
      <c r="G482" s="26">
        <v>0</v>
      </c>
      <c r="H482" s="26">
        <v>0</v>
      </c>
      <c r="I482" s="26">
        <v>0</v>
      </c>
      <c r="J482" s="700" t="s">
        <v>6255</v>
      </c>
      <c r="K482" s="25">
        <v>0</v>
      </c>
      <c r="L482" t="b">
        <f t="shared" si="9"/>
        <v>1</v>
      </c>
    </row>
    <row r="483" spans="2:12" ht="11.25">
      <c r="B483" s="4" t="s">
        <v>2984</v>
      </c>
      <c r="C483" s="4">
        <v>1</v>
      </c>
      <c r="D483" s="4" t="s">
        <v>2984</v>
      </c>
      <c r="E483" s="109">
        <v>0</v>
      </c>
      <c r="F483" s="26">
        <v>0</v>
      </c>
      <c r="G483" s="26">
        <v>0</v>
      </c>
      <c r="H483" s="26">
        <v>0</v>
      </c>
      <c r="I483" s="26">
        <v>0</v>
      </c>
      <c r="J483" s="700" t="s">
        <v>6256</v>
      </c>
      <c r="K483" s="25">
        <v>0</v>
      </c>
      <c r="L483" t="b">
        <f t="shared" si="9"/>
        <v>1</v>
      </c>
    </row>
    <row r="484" spans="2:12" ht="11.25">
      <c r="B484" s="4" t="s">
        <v>2985</v>
      </c>
      <c r="C484" s="4">
        <v>1</v>
      </c>
      <c r="D484" s="4" t="s">
        <v>2985</v>
      </c>
      <c r="E484" s="109">
        <v>0</v>
      </c>
      <c r="F484" s="26">
        <v>0</v>
      </c>
      <c r="G484" s="26">
        <v>0</v>
      </c>
      <c r="H484" s="26">
        <v>0</v>
      </c>
      <c r="I484" s="26">
        <v>0</v>
      </c>
      <c r="J484" s="700" t="s">
        <v>6257</v>
      </c>
      <c r="K484" s="25">
        <v>0</v>
      </c>
      <c r="L484" t="b">
        <f t="shared" si="9"/>
        <v>1</v>
      </c>
    </row>
    <row r="485" spans="2:12" ht="11.25">
      <c r="B485" s="4" t="s">
        <v>2986</v>
      </c>
      <c r="C485" s="4">
        <v>1</v>
      </c>
      <c r="D485" s="4" t="s">
        <v>2986</v>
      </c>
      <c r="E485" s="109">
        <v>0</v>
      </c>
      <c r="F485" s="26">
        <v>0</v>
      </c>
      <c r="G485" s="26">
        <v>0</v>
      </c>
      <c r="H485" s="26">
        <v>0</v>
      </c>
      <c r="I485" s="26">
        <v>0</v>
      </c>
      <c r="J485" s="700" t="s">
        <v>6258</v>
      </c>
      <c r="K485" s="25">
        <v>0</v>
      </c>
      <c r="L485" t="b">
        <f t="shared" si="9"/>
        <v>1</v>
      </c>
    </row>
    <row r="486" spans="2:12" ht="11.25">
      <c r="B486" s="4" t="s">
        <v>2987</v>
      </c>
      <c r="C486" s="4">
        <v>1</v>
      </c>
      <c r="D486" s="4" t="s">
        <v>2987</v>
      </c>
      <c r="E486" s="109">
        <v>0</v>
      </c>
      <c r="F486" s="26">
        <v>0</v>
      </c>
      <c r="G486" s="26">
        <v>0</v>
      </c>
      <c r="H486" s="26">
        <v>0</v>
      </c>
      <c r="I486" s="26">
        <v>0</v>
      </c>
      <c r="J486" s="700" t="s">
        <v>6259</v>
      </c>
      <c r="K486" s="25">
        <v>0</v>
      </c>
      <c r="L486" t="b">
        <f t="shared" si="9"/>
        <v>1</v>
      </c>
    </row>
    <row r="487" spans="2:12" ht="11.25">
      <c r="B487" s="4" t="s">
        <v>2988</v>
      </c>
      <c r="C487" s="4">
        <v>1</v>
      </c>
      <c r="D487" s="4" t="s">
        <v>2988</v>
      </c>
      <c r="E487" s="109">
        <v>0</v>
      </c>
      <c r="F487" s="26">
        <v>0</v>
      </c>
      <c r="G487" s="26">
        <v>0</v>
      </c>
      <c r="H487" s="26">
        <v>0</v>
      </c>
      <c r="I487" s="26">
        <v>0</v>
      </c>
      <c r="J487" s="700" t="s">
        <v>6260</v>
      </c>
      <c r="K487" s="25">
        <v>0</v>
      </c>
      <c r="L487" t="b">
        <f t="shared" si="9"/>
        <v>1</v>
      </c>
    </row>
    <row r="488" spans="2:12" ht="11.25">
      <c r="B488" s="4" t="s">
        <v>1143</v>
      </c>
      <c r="C488" s="4">
        <v>1</v>
      </c>
      <c r="D488" s="4" t="s">
        <v>1143</v>
      </c>
      <c r="E488" s="109">
        <v>0</v>
      </c>
      <c r="F488" s="26">
        <v>0</v>
      </c>
      <c r="G488" s="26">
        <v>0</v>
      </c>
      <c r="H488" s="26">
        <v>0</v>
      </c>
      <c r="I488" s="26">
        <v>0</v>
      </c>
      <c r="J488" s="700" t="s">
        <v>6261</v>
      </c>
      <c r="K488" s="25">
        <v>0</v>
      </c>
      <c r="L488" t="b">
        <f t="shared" si="9"/>
        <v>1</v>
      </c>
    </row>
    <row r="489" spans="2:12" ht="11.25">
      <c r="B489" s="4" t="s">
        <v>1144</v>
      </c>
      <c r="C489" s="4">
        <v>1</v>
      </c>
      <c r="D489" s="4" t="s">
        <v>1144</v>
      </c>
      <c r="E489" s="109">
        <v>0</v>
      </c>
      <c r="F489" s="26">
        <v>0</v>
      </c>
      <c r="G489" s="26">
        <v>0</v>
      </c>
      <c r="H489" s="26">
        <v>0</v>
      </c>
      <c r="I489" s="26">
        <v>0</v>
      </c>
      <c r="J489" s="700" t="s">
        <v>6262</v>
      </c>
      <c r="K489" s="25">
        <v>0</v>
      </c>
      <c r="L489" t="b">
        <f t="shared" si="9"/>
        <v>1</v>
      </c>
    </row>
    <row r="490" spans="2:12" ht="11.25">
      <c r="B490" s="4" t="s">
        <v>2984</v>
      </c>
      <c r="C490" s="4">
        <v>1</v>
      </c>
      <c r="D490" s="4" t="s">
        <v>2984</v>
      </c>
      <c r="E490" s="109">
        <v>0</v>
      </c>
      <c r="F490" s="26">
        <v>0</v>
      </c>
      <c r="G490" s="26">
        <v>0</v>
      </c>
      <c r="H490" s="26">
        <v>0</v>
      </c>
      <c r="I490" s="26">
        <v>0</v>
      </c>
      <c r="J490" s="700" t="s">
        <v>6263</v>
      </c>
      <c r="K490" s="25">
        <v>0</v>
      </c>
      <c r="L490" t="b">
        <f t="shared" si="9"/>
        <v>1</v>
      </c>
    </row>
    <row r="491" spans="2:12" ht="11.25">
      <c r="B491" s="4" t="s">
        <v>2985</v>
      </c>
      <c r="C491" s="4">
        <v>1</v>
      </c>
      <c r="D491" s="4" t="s">
        <v>2985</v>
      </c>
      <c r="E491" s="109">
        <v>0</v>
      </c>
      <c r="F491" s="26">
        <v>0</v>
      </c>
      <c r="G491" s="26">
        <v>0</v>
      </c>
      <c r="H491" s="26">
        <v>0</v>
      </c>
      <c r="I491" s="26">
        <v>0</v>
      </c>
      <c r="J491" s="700" t="s">
        <v>6264</v>
      </c>
      <c r="K491" s="25">
        <v>0</v>
      </c>
      <c r="L491" t="b">
        <f t="shared" ref="L491:L531" si="10">MAX(E491:I491)=MIN(E491:I491)</f>
        <v>1</v>
      </c>
    </row>
    <row r="492" spans="2:12" ht="11.25">
      <c r="B492" s="4" t="s">
        <v>2986</v>
      </c>
      <c r="C492" s="4">
        <v>1</v>
      </c>
      <c r="D492" s="4" t="s">
        <v>2986</v>
      </c>
      <c r="E492" s="109">
        <v>0</v>
      </c>
      <c r="F492" s="26">
        <v>0</v>
      </c>
      <c r="G492" s="26">
        <v>0</v>
      </c>
      <c r="H492" s="26">
        <v>0</v>
      </c>
      <c r="I492" s="26">
        <v>0</v>
      </c>
      <c r="J492" s="700" t="s">
        <v>6265</v>
      </c>
      <c r="K492" s="25">
        <v>0</v>
      </c>
      <c r="L492" t="b">
        <f t="shared" si="10"/>
        <v>1</v>
      </c>
    </row>
    <row r="493" spans="2:12" ht="11.25">
      <c r="B493" s="4" t="s">
        <v>2987</v>
      </c>
      <c r="C493" s="4">
        <v>1</v>
      </c>
      <c r="D493" s="4" t="s">
        <v>2987</v>
      </c>
      <c r="E493" s="109">
        <v>0</v>
      </c>
      <c r="F493" s="26">
        <v>0</v>
      </c>
      <c r="G493" s="26">
        <v>0</v>
      </c>
      <c r="H493" s="26">
        <v>0</v>
      </c>
      <c r="I493" s="26">
        <v>0</v>
      </c>
      <c r="J493" s="700" t="s">
        <v>6266</v>
      </c>
      <c r="K493" s="25">
        <v>0</v>
      </c>
      <c r="L493" t="b">
        <f t="shared" si="10"/>
        <v>1</v>
      </c>
    </row>
    <row r="494" spans="2:12" ht="11.25">
      <c r="B494" s="4" t="s">
        <v>2988</v>
      </c>
      <c r="C494" s="4">
        <v>1</v>
      </c>
      <c r="D494" s="4" t="s">
        <v>2988</v>
      </c>
      <c r="E494" s="109">
        <v>0</v>
      </c>
      <c r="F494" s="26">
        <v>0</v>
      </c>
      <c r="G494" s="26">
        <v>0</v>
      </c>
      <c r="H494" s="26">
        <v>0</v>
      </c>
      <c r="I494" s="26">
        <v>0</v>
      </c>
      <c r="J494" s="700" t="s">
        <v>6267</v>
      </c>
      <c r="K494" s="25">
        <v>0</v>
      </c>
      <c r="L494" t="b">
        <f t="shared" si="10"/>
        <v>1</v>
      </c>
    </row>
    <row r="495" spans="2:12" ht="11.25">
      <c r="B495" s="4" t="s">
        <v>1143</v>
      </c>
      <c r="C495" s="4">
        <v>1</v>
      </c>
      <c r="D495" s="4" t="s">
        <v>1143</v>
      </c>
      <c r="E495" s="109">
        <v>0</v>
      </c>
      <c r="F495" s="26">
        <v>0</v>
      </c>
      <c r="G495" s="26">
        <v>0</v>
      </c>
      <c r="H495" s="26">
        <v>0</v>
      </c>
      <c r="I495" s="26">
        <v>0</v>
      </c>
      <c r="J495" s="700" t="s">
        <v>6268</v>
      </c>
      <c r="K495" s="25">
        <v>0</v>
      </c>
      <c r="L495" t="b">
        <f t="shared" si="10"/>
        <v>1</v>
      </c>
    </row>
    <row r="496" spans="2:12" ht="11.25">
      <c r="B496" s="4" t="s">
        <v>1144</v>
      </c>
      <c r="C496" s="4">
        <v>1</v>
      </c>
      <c r="D496" s="4" t="s">
        <v>1144</v>
      </c>
      <c r="E496" s="109">
        <v>0</v>
      </c>
      <c r="F496" s="26">
        <v>0</v>
      </c>
      <c r="G496" s="26">
        <v>0</v>
      </c>
      <c r="H496" s="26">
        <v>0</v>
      </c>
      <c r="I496" s="26">
        <v>0</v>
      </c>
      <c r="J496" s="700" t="s">
        <v>6269</v>
      </c>
      <c r="K496" s="25">
        <v>0</v>
      </c>
      <c r="L496" t="b">
        <f t="shared" si="10"/>
        <v>1</v>
      </c>
    </row>
    <row r="497" spans="1:12" ht="11.25">
      <c r="B497" s="4" t="s">
        <v>2984</v>
      </c>
      <c r="C497" s="4">
        <v>1</v>
      </c>
      <c r="D497" s="4" t="s">
        <v>2984</v>
      </c>
      <c r="E497" s="109">
        <v>0</v>
      </c>
      <c r="F497" s="26">
        <v>0</v>
      </c>
      <c r="G497" s="26">
        <v>0</v>
      </c>
      <c r="H497" s="26">
        <v>0</v>
      </c>
      <c r="I497" s="26">
        <v>0</v>
      </c>
      <c r="J497" s="700" t="s">
        <v>6270</v>
      </c>
      <c r="K497" s="25">
        <v>0</v>
      </c>
      <c r="L497" t="b">
        <f t="shared" si="10"/>
        <v>1</v>
      </c>
    </row>
    <row r="498" spans="1:12" ht="11.25">
      <c r="B498" s="4" t="s">
        <v>2985</v>
      </c>
      <c r="C498" s="4">
        <v>1</v>
      </c>
      <c r="D498" s="4" t="s">
        <v>2985</v>
      </c>
      <c r="E498" s="109">
        <v>0</v>
      </c>
      <c r="F498" s="26">
        <v>0</v>
      </c>
      <c r="G498" s="26">
        <v>0</v>
      </c>
      <c r="H498" s="26">
        <v>0</v>
      </c>
      <c r="I498" s="26">
        <v>0</v>
      </c>
      <c r="J498" s="700" t="s">
        <v>6271</v>
      </c>
      <c r="K498" s="25">
        <v>0</v>
      </c>
      <c r="L498" t="b">
        <f t="shared" si="10"/>
        <v>1</v>
      </c>
    </row>
    <row r="499" spans="1:12" ht="11.25">
      <c r="B499" s="4" t="s">
        <v>2986</v>
      </c>
      <c r="C499" s="4">
        <v>1</v>
      </c>
      <c r="D499" s="4" t="s">
        <v>2986</v>
      </c>
      <c r="E499" s="109">
        <v>0</v>
      </c>
      <c r="F499" s="26">
        <v>0</v>
      </c>
      <c r="G499" s="26">
        <v>0</v>
      </c>
      <c r="H499" s="26">
        <v>0</v>
      </c>
      <c r="I499" s="26">
        <v>0</v>
      </c>
      <c r="J499" s="700" t="s">
        <v>6272</v>
      </c>
      <c r="K499" s="25">
        <v>0</v>
      </c>
      <c r="L499" t="b">
        <f t="shared" si="10"/>
        <v>1</v>
      </c>
    </row>
    <row r="500" spans="1:12" ht="11.25">
      <c r="B500" s="4" t="s">
        <v>2987</v>
      </c>
      <c r="C500" s="4">
        <v>1</v>
      </c>
      <c r="D500" s="4" t="s">
        <v>2987</v>
      </c>
      <c r="E500" s="109">
        <v>0</v>
      </c>
      <c r="F500" s="26">
        <v>0</v>
      </c>
      <c r="G500" s="26">
        <v>0</v>
      </c>
      <c r="H500" s="26">
        <v>0</v>
      </c>
      <c r="I500" s="26">
        <v>0</v>
      </c>
      <c r="J500" s="700" t="s">
        <v>6273</v>
      </c>
      <c r="K500" s="25">
        <v>0</v>
      </c>
      <c r="L500" t="b">
        <f t="shared" si="10"/>
        <v>1</v>
      </c>
    </row>
    <row r="501" spans="1:12" ht="11.25">
      <c r="B501" s="4" t="s">
        <v>2988</v>
      </c>
      <c r="C501" s="4">
        <v>1</v>
      </c>
      <c r="D501" s="4" t="s">
        <v>2988</v>
      </c>
      <c r="E501" s="109">
        <v>0</v>
      </c>
      <c r="F501" s="26">
        <v>0</v>
      </c>
      <c r="G501" s="26">
        <v>0</v>
      </c>
      <c r="H501" s="26">
        <v>0</v>
      </c>
      <c r="I501" s="26">
        <v>0</v>
      </c>
      <c r="J501" s="700" t="s">
        <v>6274</v>
      </c>
      <c r="K501" s="25">
        <v>0</v>
      </c>
      <c r="L501" t="b">
        <f t="shared" si="10"/>
        <v>1</v>
      </c>
    </row>
    <row r="502" spans="1:12" ht="11.25">
      <c r="B502" s="4" t="s">
        <v>1143</v>
      </c>
      <c r="C502" s="4">
        <v>1</v>
      </c>
      <c r="D502" s="4" t="s">
        <v>1143</v>
      </c>
      <c r="E502" s="109">
        <v>0</v>
      </c>
      <c r="F502" s="26">
        <v>0</v>
      </c>
      <c r="G502" s="26">
        <v>0</v>
      </c>
      <c r="H502" s="26">
        <v>0</v>
      </c>
      <c r="I502" s="26">
        <v>0</v>
      </c>
      <c r="J502" s="700" t="s">
        <v>6275</v>
      </c>
      <c r="K502" s="25">
        <v>0</v>
      </c>
      <c r="L502" t="b">
        <f t="shared" si="10"/>
        <v>1</v>
      </c>
    </row>
    <row r="503" spans="1:12" ht="11.25">
      <c r="B503" s="4" t="s">
        <v>1144</v>
      </c>
      <c r="C503" s="4">
        <v>1</v>
      </c>
      <c r="D503" s="4" t="s">
        <v>1144</v>
      </c>
      <c r="E503" s="109">
        <v>0</v>
      </c>
      <c r="F503" s="26">
        <v>0</v>
      </c>
      <c r="G503" s="26">
        <v>0</v>
      </c>
      <c r="H503" s="26">
        <v>0</v>
      </c>
      <c r="I503" s="26">
        <v>0</v>
      </c>
      <c r="J503" s="700" t="s">
        <v>6276</v>
      </c>
      <c r="K503" s="25">
        <v>0</v>
      </c>
      <c r="L503" t="b">
        <f t="shared" si="10"/>
        <v>1</v>
      </c>
    </row>
    <row r="504" spans="1:12" ht="11.25">
      <c r="A504" s="2" t="s">
        <v>2803</v>
      </c>
      <c r="C504" s="4"/>
      <c r="D504" s="4"/>
      <c r="E504" s="109"/>
      <c r="F504" s="26"/>
      <c r="G504" s="26"/>
      <c r="H504" s="26"/>
      <c r="I504" s="26"/>
      <c r="K504" s="25"/>
      <c r="L504" t="b">
        <f t="shared" si="10"/>
        <v>1</v>
      </c>
    </row>
    <row r="505" spans="1:12" ht="11.25">
      <c r="B505" s="4"/>
      <c r="C505" s="4">
        <v>1</v>
      </c>
      <c r="D505" s="4" t="s">
        <v>2989</v>
      </c>
      <c r="E505" s="1">
        <v>0</v>
      </c>
      <c r="F505" s="26">
        <v>0</v>
      </c>
      <c r="G505" s="26">
        <v>0</v>
      </c>
      <c r="H505" s="26">
        <v>0</v>
      </c>
      <c r="I505" s="26">
        <v>0</v>
      </c>
      <c r="J505" s="700" t="s">
        <v>6277</v>
      </c>
      <c r="K505" s="25">
        <v>0</v>
      </c>
      <c r="L505" t="b">
        <f t="shared" si="10"/>
        <v>1</v>
      </c>
    </row>
    <row r="506" spans="1:12" ht="11.25">
      <c r="B506" s="4"/>
      <c r="C506" s="4">
        <v>1</v>
      </c>
      <c r="D506" s="4" t="s">
        <v>2990</v>
      </c>
      <c r="E506" s="1">
        <v>0</v>
      </c>
      <c r="F506" s="26">
        <v>0</v>
      </c>
      <c r="G506" s="26">
        <v>0</v>
      </c>
      <c r="H506" s="26">
        <v>0</v>
      </c>
      <c r="I506" s="26">
        <v>0</v>
      </c>
      <c r="J506" s="700" t="s">
        <v>6278</v>
      </c>
      <c r="K506" s="25">
        <v>0</v>
      </c>
      <c r="L506" t="b">
        <f t="shared" si="10"/>
        <v>1</v>
      </c>
    </row>
    <row r="507" spans="1:12" ht="11.25">
      <c r="B507" s="4"/>
      <c r="C507" s="4">
        <v>1</v>
      </c>
      <c r="D507" s="4" t="s">
        <v>2991</v>
      </c>
      <c r="E507" s="1">
        <v>0</v>
      </c>
      <c r="F507" s="26">
        <v>0</v>
      </c>
      <c r="G507" s="26">
        <v>0</v>
      </c>
      <c r="H507" s="26">
        <v>0</v>
      </c>
      <c r="I507" s="26">
        <v>0</v>
      </c>
      <c r="J507" s="700" t="s">
        <v>6279</v>
      </c>
      <c r="K507" s="25">
        <v>0</v>
      </c>
      <c r="L507" t="b">
        <f t="shared" si="10"/>
        <v>1</v>
      </c>
    </row>
    <row r="508" spans="1:12" ht="11.25">
      <c r="B508" s="4"/>
      <c r="C508" s="4">
        <v>1</v>
      </c>
      <c r="D508" s="4" t="s">
        <v>2992</v>
      </c>
      <c r="E508" s="1">
        <v>0</v>
      </c>
      <c r="F508" s="26">
        <v>0</v>
      </c>
      <c r="G508" s="26">
        <v>0</v>
      </c>
      <c r="H508" s="26">
        <v>0</v>
      </c>
      <c r="I508" s="26">
        <v>0</v>
      </c>
      <c r="J508" s="700" t="s">
        <v>6280</v>
      </c>
      <c r="K508" s="25">
        <v>0</v>
      </c>
      <c r="L508" t="b">
        <f t="shared" si="10"/>
        <v>1</v>
      </c>
    </row>
    <row r="509" spans="1:12" ht="11.25">
      <c r="B509" s="4"/>
      <c r="C509">
        <v>2</v>
      </c>
      <c r="D509" s="4" t="s">
        <v>2989</v>
      </c>
      <c r="E509" s="1">
        <v>0</v>
      </c>
      <c r="F509" s="26">
        <v>0</v>
      </c>
      <c r="G509" s="26">
        <v>0</v>
      </c>
      <c r="H509" s="26">
        <v>0</v>
      </c>
      <c r="I509" s="26">
        <v>0</v>
      </c>
      <c r="J509" s="700" t="s">
        <v>6281</v>
      </c>
      <c r="K509" s="25">
        <v>0</v>
      </c>
      <c r="L509" t="b">
        <f t="shared" si="10"/>
        <v>1</v>
      </c>
    </row>
    <row r="510" spans="1:12" ht="11.25">
      <c r="B510" s="4"/>
      <c r="C510">
        <v>2</v>
      </c>
      <c r="D510" s="4" t="s">
        <v>2990</v>
      </c>
      <c r="E510" s="1">
        <v>0</v>
      </c>
      <c r="F510" s="26">
        <v>0</v>
      </c>
      <c r="G510" s="26">
        <v>0</v>
      </c>
      <c r="H510" s="26">
        <v>0</v>
      </c>
      <c r="I510" s="26">
        <v>0</v>
      </c>
      <c r="J510" s="700" t="s">
        <v>6282</v>
      </c>
      <c r="K510" s="25">
        <v>0</v>
      </c>
      <c r="L510" t="b">
        <f t="shared" si="10"/>
        <v>1</v>
      </c>
    </row>
    <row r="511" spans="1:12" ht="11.25">
      <c r="B511" s="4"/>
      <c r="C511">
        <v>2</v>
      </c>
      <c r="D511" s="4" t="s">
        <v>2991</v>
      </c>
      <c r="E511" s="1">
        <v>0</v>
      </c>
      <c r="F511" s="26">
        <v>0</v>
      </c>
      <c r="G511" s="26">
        <v>0</v>
      </c>
      <c r="H511" s="26">
        <v>0</v>
      </c>
      <c r="I511" s="26">
        <v>0</v>
      </c>
      <c r="J511" s="700" t="s">
        <v>6283</v>
      </c>
      <c r="K511" s="25">
        <v>0</v>
      </c>
      <c r="L511" t="b">
        <f t="shared" si="10"/>
        <v>1</v>
      </c>
    </row>
    <row r="512" spans="1:12" ht="11.25">
      <c r="B512" s="4"/>
      <c r="C512">
        <v>2</v>
      </c>
      <c r="D512" s="4" t="s">
        <v>2992</v>
      </c>
      <c r="E512" s="1">
        <v>0</v>
      </c>
      <c r="F512" s="26">
        <v>0</v>
      </c>
      <c r="G512" s="26">
        <v>0</v>
      </c>
      <c r="H512" s="26">
        <v>0</v>
      </c>
      <c r="I512" s="26">
        <v>0</v>
      </c>
      <c r="J512" s="700" t="s">
        <v>6284</v>
      </c>
      <c r="K512" s="25">
        <v>0</v>
      </c>
      <c r="L512" t="b">
        <f t="shared" si="10"/>
        <v>1</v>
      </c>
    </row>
    <row r="513" spans="2:12" ht="11.25">
      <c r="B513" s="4"/>
      <c r="C513">
        <v>3</v>
      </c>
      <c r="D513" s="4" t="s">
        <v>2989</v>
      </c>
      <c r="E513" s="1">
        <v>0</v>
      </c>
      <c r="F513" s="26">
        <v>0</v>
      </c>
      <c r="G513" s="26">
        <v>0</v>
      </c>
      <c r="H513" s="26">
        <v>0</v>
      </c>
      <c r="I513" s="26">
        <v>0</v>
      </c>
      <c r="J513" s="700" t="s">
        <v>6285</v>
      </c>
      <c r="K513" s="25">
        <v>0</v>
      </c>
      <c r="L513" t="b">
        <f t="shared" si="10"/>
        <v>1</v>
      </c>
    </row>
    <row r="514" spans="2:12" ht="11.25">
      <c r="B514" s="4"/>
      <c r="C514">
        <v>3</v>
      </c>
      <c r="D514" s="4" t="s">
        <v>2990</v>
      </c>
      <c r="E514" s="1">
        <v>0</v>
      </c>
      <c r="F514" s="26">
        <v>0</v>
      </c>
      <c r="G514" s="26">
        <v>0</v>
      </c>
      <c r="H514" s="26">
        <v>0</v>
      </c>
      <c r="I514" s="26">
        <v>0</v>
      </c>
      <c r="J514" s="700" t="s">
        <v>6286</v>
      </c>
      <c r="K514" s="25">
        <v>0</v>
      </c>
      <c r="L514" t="b">
        <f t="shared" si="10"/>
        <v>1</v>
      </c>
    </row>
    <row r="515" spans="2:12" ht="11.25">
      <c r="B515" s="4"/>
      <c r="C515">
        <v>3</v>
      </c>
      <c r="D515" s="4" t="s">
        <v>2991</v>
      </c>
      <c r="E515" s="1">
        <v>0</v>
      </c>
      <c r="F515" s="26">
        <v>0</v>
      </c>
      <c r="G515" s="26">
        <v>0</v>
      </c>
      <c r="H515" s="26">
        <v>0</v>
      </c>
      <c r="I515" s="26">
        <v>0</v>
      </c>
      <c r="J515" s="700" t="s">
        <v>6287</v>
      </c>
      <c r="K515" s="25">
        <v>0</v>
      </c>
      <c r="L515" t="b">
        <f t="shared" si="10"/>
        <v>1</v>
      </c>
    </row>
    <row r="516" spans="2:12" ht="11.25">
      <c r="B516" s="4"/>
      <c r="C516">
        <v>3</v>
      </c>
      <c r="D516" s="4" t="s">
        <v>2992</v>
      </c>
      <c r="E516" s="1">
        <v>0</v>
      </c>
      <c r="F516" s="26">
        <v>0</v>
      </c>
      <c r="G516" s="26">
        <v>0</v>
      </c>
      <c r="H516" s="26">
        <v>0</v>
      </c>
      <c r="I516" s="26">
        <v>0</v>
      </c>
      <c r="J516" s="700" t="s">
        <v>6288</v>
      </c>
      <c r="K516" s="25">
        <v>0</v>
      </c>
      <c r="L516" t="b">
        <f t="shared" si="10"/>
        <v>1</v>
      </c>
    </row>
    <row r="517" spans="2:12" ht="11.25">
      <c r="B517" s="4"/>
      <c r="C517">
        <v>4</v>
      </c>
      <c r="D517" s="4" t="s">
        <v>2989</v>
      </c>
      <c r="E517" s="1">
        <v>0</v>
      </c>
      <c r="F517" s="26">
        <v>0</v>
      </c>
      <c r="G517" s="26">
        <v>0</v>
      </c>
      <c r="H517" s="26">
        <v>0</v>
      </c>
      <c r="I517" s="26">
        <v>0</v>
      </c>
      <c r="J517" s="700" t="s">
        <v>6289</v>
      </c>
      <c r="K517" s="25">
        <v>0</v>
      </c>
      <c r="L517" t="b">
        <f t="shared" si="10"/>
        <v>1</v>
      </c>
    </row>
    <row r="518" spans="2:12" ht="11.25">
      <c r="B518" s="4"/>
      <c r="C518">
        <v>4</v>
      </c>
      <c r="D518" s="4" t="s">
        <v>2990</v>
      </c>
      <c r="E518" s="1">
        <v>0</v>
      </c>
      <c r="F518" s="26">
        <v>0</v>
      </c>
      <c r="G518" s="26">
        <v>0</v>
      </c>
      <c r="H518" s="26">
        <v>0</v>
      </c>
      <c r="I518" s="26">
        <v>0</v>
      </c>
      <c r="J518" s="700" t="s">
        <v>6290</v>
      </c>
      <c r="K518" s="25">
        <v>0</v>
      </c>
      <c r="L518" t="b">
        <f t="shared" si="10"/>
        <v>1</v>
      </c>
    </row>
    <row r="519" spans="2:12" ht="11.25">
      <c r="B519" s="4"/>
      <c r="C519">
        <v>4</v>
      </c>
      <c r="D519" s="4" t="s">
        <v>2991</v>
      </c>
      <c r="E519" s="1">
        <v>0</v>
      </c>
      <c r="F519" s="26">
        <v>0</v>
      </c>
      <c r="G519" s="26">
        <v>0</v>
      </c>
      <c r="H519" s="26">
        <v>0</v>
      </c>
      <c r="I519" s="26">
        <v>0</v>
      </c>
      <c r="J519" s="700" t="s">
        <v>6291</v>
      </c>
      <c r="K519" s="25">
        <v>0</v>
      </c>
      <c r="L519" t="b">
        <f t="shared" si="10"/>
        <v>1</v>
      </c>
    </row>
    <row r="520" spans="2:12" ht="11.25">
      <c r="B520" s="4"/>
      <c r="C520">
        <v>4</v>
      </c>
      <c r="D520" s="4" t="s">
        <v>2992</v>
      </c>
      <c r="E520" s="1">
        <v>0</v>
      </c>
      <c r="F520" s="26">
        <v>0</v>
      </c>
      <c r="G520" s="26">
        <v>0</v>
      </c>
      <c r="H520" s="26">
        <v>0</v>
      </c>
      <c r="I520" s="26">
        <v>0</v>
      </c>
      <c r="J520" s="700" t="s">
        <v>6292</v>
      </c>
      <c r="K520" s="25">
        <v>0</v>
      </c>
      <c r="L520" t="b">
        <f t="shared" si="10"/>
        <v>1</v>
      </c>
    </row>
    <row r="521" spans="2:12" ht="11.25">
      <c r="B521" s="2" t="s">
        <v>574</v>
      </c>
      <c r="C521" s="4"/>
      <c r="E521" s="1"/>
      <c r="F521" s="26"/>
      <c r="G521" s="26"/>
      <c r="H521" s="26"/>
      <c r="I521" s="26"/>
      <c r="K521" s="25"/>
      <c r="L521" t="b">
        <f t="shared" si="10"/>
        <v>1</v>
      </c>
    </row>
    <row r="522" spans="2:12" ht="11.25">
      <c r="B522">
        <v>1</v>
      </c>
      <c r="C522" s="4" t="s">
        <v>2931</v>
      </c>
      <c r="D522">
        <f t="shared" ref="D522:D531" si="11">MAX(xxYear-B522+1,0)</f>
        <v>1</v>
      </c>
      <c r="E522" s="1">
        <v>0</v>
      </c>
      <c r="F522" s="26">
        <v>0</v>
      </c>
      <c r="G522" s="26">
        <v>0</v>
      </c>
      <c r="H522" s="26">
        <v>0</v>
      </c>
      <c r="I522" s="26">
        <v>0</v>
      </c>
      <c r="K522" s="25">
        <v>0</v>
      </c>
      <c r="L522" t="b">
        <f t="shared" si="10"/>
        <v>1</v>
      </c>
    </row>
    <row r="523" spans="2:12" ht="11.25">
      <c r="B523">
        <v>1</v>
      </c>
      <c r="C523" s="4" t="s">
        <v>2932</v>
      </c>
      <c r="D523">
        <f t="shared" si="11"/>
        <v>1</v>
      </c>
      <c r="E523" s="1">
        <v>0</v>
      </c>
      <c r="F523" s="26">
        <v>0</v>
      </c>
      <c r="G523" s="26">
        <v>0</v>
      </c>
      <c r="H523" s="26">
        <v>0</v>
      </c>
      <c r="I523" s="26">
        <v>0</v>
      </c>
      <c r="K523" s="25">
        <v>0</v>
      </c>
      <c r="L523" t="b">
        <f t="shared" si="10"/>
        <v>1</v>
      </c>
    </row>
    <row r="524" spans="2:12" ht="11.25">
      <c r="B524">
        <v>1</v>
      </c>
      <c r="C524" s="4" t="s">
        <v>2933</v>
      </c>
      <c r="D524">
        <f t="shared" si="11"/>
        <v>1</v>
      </c>
      <c r="E524" s="1">
        <v>0</v>
      </c>
      <c r="F524" s="26">
        <v>0</v>
      </c>
      <c r="G524" s="26">
        <v>0</v>
      </c>
      <c r="H524" s="26">
        <v>0</v>
      </c>
      <c r="I524" s="26">
        <v>0</v>
      </c>
      <c r="K524" s="25">
        <v>0</v>
      </c>
      <c r="L524" t="b">
        <f t="shared" si="10"/>
        <v>1</v>
      </c>
    </row>
    <row r="525" spans="2:12" ht="11.25">
      <c r="B525">
        <v>1</v>
      </c>
      <c r="C525" s="4" t="s">
        <v>2934</v>
      </c>
      <c r="D525">
        <f t="shared" si="11"/>
        <v>1</v>
      </c>
      <c r="E525" s="1">
        <v>0</v>
      </c>
      <c r="F525" s="26">
        <v>0</v>
      </c>
      <c r="G525" s="26">
        <v>0</v>
      </c>
      <c r="H525" s="26">
        <v>0</v>
      </c>
      <c r="I525" s="26">
        <v>0</v>
      </c>
      <c r="K525" s="25">
        <v>0</v>
      </c>
      <c r="L525" t="b">
        <f t="shared" si="10"/>
        <v>1</v>
      </c>
    </row>
    <row r="526" spans="2:12" ht="11.25">
      <c r="B526">
        <v>1</v>
      </c>
      <c r="C526" s="4" t="s">
        <v>2935</v>
      </c>
      <c r="D526">
        <f t="shared" si="11"/>
        <v>1</v>
      </c>
      <c r="E526" s="1">
        <v>0</v>
      </c>
      <c r="F526" s="26">
        <v>0</v>
      </c>
      <c r="G526" s="26">
        <v>0</v>
      </c>
      <c r="H526" s="26">
        <v>0</v>
      </c>
      <c r="I526" s="26">
        <v>0</v>
      </c>
      <c r="K526" s="25">
        <v>0</v>
      </c>
      <c r="L526" t="b">
        <f t="shared" si="10"/>
        <v>1</v>
      </c>
    </row>
    <row r="527" spans="2:12" ht="11.25">
      <c r="B527">
        <v>1</v>
      </c>
      <c r="C527" s="4" t="s">
        <v>2936</v>
      </c>
      <c r="D527">
        <f t="shared" si="11"/>
        <v>1</v>
      </c>
      <c r="E527" s="1">
        <v>0</v>
      </c>
      <c r="F527" s="26">
        <v>0</v>
      </c>
      <c r="G527" s="26">
        <v>0</v>
      </c>
      <c r="H527" s="26">
        <v>0</v>
      </c>
      <c r="I527" s="26">
        <v>0</v>
      </c>
      <c r="K527" s="25">
        <v>0</v>
      </c>
      <c r="L527" t="b">
        <f t="shared" si="10"/>
        <v>1</v>
      </c>
    </row>
    <row r="528" spans="2:12" ht="11.25">
      <c r="B528">
        <v>1</v>
      </c>
      <c r="C528" s="4" t="s">
        <v>2937</v>
      </c>
      <c r="D528">
        <f t="shared" si="11"/>
        <v>1</v>
      </c>
      <c r="E528" s="1">
        <v>0</v>
      </c>
      <c r="F528" s="26">
        <v>0</v>
      </c>
      <c r="G528" s="26">
        <v>0</v>
      </c>
      <c r="H528" s="26">
        <v>0</v>
      </c>
      <c r="I528" s="26">
        <v>0</v>
      </c>
      <c r="K528" s="25">
        <v>0</v>
      </c>
      <c r="L528" t="b">
        <f t="shared" si="10"/>
        <v>1</v>
      </c>
    </row>
    <row r="529" spans="2:12" ht="11.25">
      <c r="B529">
        <v>1</v>
      </c>
      <c r="C529" s="4" t="s">
        <v>2938</v>
      </c>
      <c r="D529">
        <f t="shared" si="11"/>
        <v>1</v>
      </c>
      <c r="E529" s="1">
        <v>0</v>
      </c>
      <c r="F529" s="26">
        <v>0</v>
      </c>
      <c r="G529" s="26">
        <v>0</v>
      </c>
      <c r="H529" s="26">
        <v>0</v>
      </c>
      <c r="I529" s="26">
        <v>0</v>
      </c>
      <c r="K529" s="25">
        <v>0</v>
      </c>
      <c r="L529" t="b">
        <f t="shared" si="10"/>
        <v>1</v>
      </c>
    </row>
    <row r="530" spans="2:12" ht="11.25">
      <c r="B530">
        <v>1</v>
      </c>
      <c r="C530" s="4" t="s">
        <v>2939</v>
      </c>
      <c r="D530">
        <f t="shared" si="11"/>
        <v>1</v>
      </c>
      <c r="E530" s="1">
        <v>0</v>
      </c>
      <c r="F530" s="26">
        <v>0</v>
      </c>
      <c r="G530" s="26">
        <v>0</v>
      </c>
      <c r="H530" s="26">
        <v>0</v>
      </c>
      <c r="I530" s="26">
        <v>0</v>
      </c>
      <c r="K530" s="25">
        <v>0</v>
      </c>
      <c r="L530" t="b">
        <f t="shared" si="10"/>
        <v>1</v>
      </c>
    </row>
    <row r="531" spans="2:12" ht="11.25">
      <c r="B531">
        <v>1</v>
      </c>
      <c r="C531" s="4" t="s">
        <v>2940</v>
      </c>
      <c r="D531">
        <f t="shared" si="11"/>
        <v>1</v>
      </c>
      <c r="E531" s="1">
        <v>0</v>
      </c>
      <c r="F531" s="26">
        <v>0</v>
      </c>
      <c r="G531" s="26">
        <v>0</v>
      </c>
      <c r="H531" s="26">
        <v>0</v>
      </c>
      <c r="I531" s="26">
        <v>0</v>
      </c>
      <c r="K531" s="25">
        <v>0</v>
      </c>
      <c r="L531" t="b">
        <f t="shared" si="10"/>
        <v>1</v>
      </c>
    </row>
    <row r="532" spans="2:12" ht="11.25">
      <c r="B532">
        <v>2</v>
      </c>
      <c r="C532" s="4" t="s">
        <v>2931</v>
      </c>
      <c r="D532">
        <f t="shared" ref="D532:D551" si="12">MAX(xxYear-B532+1,0)</f>
        <v>0</v>
      </c>
      <c r="E532" s="1">
        <v>0</v>
      </c>
      <c r="F532" s="26">
        <v>0</v>
      </c>
      <c r="G532" s="26">
        <v>0</v>
      </c>
      <c r="H532" s="26">
        <v>0</v>
      </c>
      <c r="I532" s="26">
        <v>0</v>
      </c>
      <c r="K532" s="25">
        <v>0</v>
      </c>
      <c r="L532" t="b">
        <f t="shared" ref="L532:L595" si="13">MAX(E532:I532)=MIN(E532:I532)</f>
        <v>1</v>
      </c>
    </row>
    <row r="533" spans="2:12" ht="11.25">
      <c r="B533">
        <v>2</v>
      </c>
      <c r="C533" s="4" t="s">
        <v>2932</v>
      </c>
      <c r="D533">
        <f t="shared" si="12"/>
        <v>0</v>
      </c>
      <c r="E533" s="1">
        <v>0</v>
      </c>
      <c r="F533" s="26">
        <v>0</v>
      </c>
      <c r="G533" s="26">
        <v>0</v>
      </c>
      <c r="H533" s="26">
        <v>0</v>
      </c>
      <c r="I533" s="26">
        <v>0</v>
      </c>
      <c r="K533" s="25">
        <v>0</v>
      </c>
      <c r="L533" t="b">
        <f t="shared" si="13"/>
        <v>1</v>
      </c>
    </row>
    <row r="534" spans="2:12" ht="11.25">
      <c r="B534">
        <v>2</v>
      </c>
      <c r="C534" s="4" t="s">
        <v>2933</v>
      </c>
      <c r="D534">
        <f t="shared" si="12"/>
        <v>0</v>
      </c>
      <c r="E534" s="1">
        <v>0</v>
      </c>
      <c r="F534" s="26">
        <v>0</v>
      </c>
      <c r="G534" s="26">
        <v>0</v>
      </c>
      <c r="H534" s="26">
        <v>0</v>
      </c>
      <c r="I534" s="26">
        <v>0</v>
      </c>
      <c r="K534" s="25">
        <v>0</v>
      </c>
      <c r="L534" t="b">
        <f t="shared" si="13"/>
        <v>1</v>
      </c>
    </row>
    <row r="535" spans="2:12" ht="11.25">
      <c r="B535">
        <v>2</v>
      </c>
      <c r="C535" s="4" t="s">
        <v>2934</v>
      </c>
      <c r="D535">
        <f t="shared" si="12"/>
        <v>0</v>
      </c>
      <c r="E535" s="1">
        <v>0</v>
      </c>
      <c r="F535" s="26">
        <v>0</v>
      </c>
      <c r="G535" s="26">
        <v>0</v>
      </c>
      <c r="H535" s="26">
        <v>0</v>
      </c>
      <c r="I535" s="26">
        <v>0</v>
      </c>
      <c r="K535" s="25">
        <v>0</v>
      </c>
      <c r="L535" t="b">
        <f t="shared" si="13"/>
        <v>1</v>
      </c>
    </row>
    <row r="536" spans="2:12" ht="11.25">
      <c r="B536">
        <v>2</v>
      </c>
      <c r="C536" s="4" t="s">
        <v>2935</v>
      </c>
      <c r="D536">
        <f t="shared" si="12"/>
        <v>0</v>
      </c>
      <c r="E536" s="1">
        <v>0</v>
      </c>
      <c r="F536" s="26">
        <v>0</v>
      </c>
      <c r="G536" s="26">
        <v>0</v>
      </c>
      <c r="H536" s="26">
        <v>0</v>
      </c>
      <c r="I536" s="26">
        <v>0</v>
      </c>
      <c r="K536" s="25">
        <v>0</v>
      </c>
      <c r="L536" t="b">
        <f t="shared" si="13"/>
        <v>1</v>
      </c>
    </row>
    <row r="537" spans="2:12" ht="11.25">
      <c r="B537">
        <v>2</v>
      </c>
      <c r="C537" s="4" t="s">
        <v>2936</v>
      </c>
      <c r="D537">
        <f t="shared" si="12"/>
        <v>0</v>
      </c>
      <c r="E537" s="1">
        <v>0</v>
      </c>
      <c r="F537" s="26">
        <v>0</v>
      </c>
      <c r="G537" s="26">
        <v>0</v>
      </c>
      <c r="H537" s="26">
        <v>0</v>
      </c>
      <c r="I537" s="26">
        <v>0</v>
      </c>
      <c r="K537" s="25">
        <v>0</v>
      </c>
      <c r="L537" t="b">
        <f t="shared" si="13"/>
        <v>1</v>
      </c>
    </row>
    <row r="538" spans="2:12" ht="11.25">
      <c r="B538">
        <v>2</v>
      </c>
      <c r="C538" s="4" t="s">
        <v>2937</v>
      </c>
      <c r="D538">
        <f t="shared" si="12"/>
        <v>0</v>
      </c>
      <c r="E538" s="1">
        <v>0</v>
      </c>
      <c r="F538" s="26">
        <v>0</v>
      </c>
      <c r="G538" s="26">
        <v>0</v>
      </c>
      <c r="H538" s="26">
        <v>0</v>
      </c>
      <c r="I538" s="26">
        <v>0</v>
      </c>
      <c r="K538" s="25">
        <v>0</v>
      </c>
      <c r="L538" t="b">
        <f t="shared" si="13"/>
        <v>1</v>
      </c>
    </row>
    <row r="539" spans="2:12" ht="11.25">
      <c r="B539">
        <v>2</v>
      </c>
      <c r="C539" s="4" t="s">
        <v>2938</v>
      </c>
      <c r="D539">
        <f t="shared" si="12"/>
        <v>0</v>
      </c>
      <c r="E539" s="1">
        <v>0</v>
      </c>
      <c r="F539" s="26">
        <v>0</v>
      </c>
      <c r="G539" s="26">
        <v>0</v>
      </c>
      <c r="H539" s="26">
        <v>0</v>
      </c>
      <c r="I539" s="26">
        <v>0</v>
      </c>
      <c r="K539" s="25">
        <v>0</v>
      </c>
      <c r="L539" t="b">
        <f t="shared" si="13"/>
        <v>1</v>
      </c>
    </row>
    <row r="540" spans="2:12" ht="11.25">
      <c r="B540">
        <v>2</v>
      </c>
      <c r="C540" s="4" t="s">
        <v>2939</v>
      </c>
      <c r="D540">
        <f t="shared" si="12"/>
        <v>0</v>
      </c>
      <c r="E540" s="1">
        <v>0</v>
      </c>
      <c r="F540" s="26">
        <v>0</v>
      </c>
      <c r="G540" s="26">
        <v>0</v>
      </c>
      <c r="H540" s="26">
        <v>0</v>
      </c>
      <c r="I540" s="26">
        <v>0</v>
      </c>
      <c r="K540" s="25">
        <v>0</v>
      </c>
      <c r="L540" t="b">
        <f t="shared" si="13"/>
        <v>1</v>
      </c>
    </row>
    <row r="541" spans="2:12" ht="11.25">
      <c r="B541">
        <v>2</v>
      </c>
      <c r="C541" s="4" t="s">
        <v>2940</v>
      </c>
      <c r="D541">
        <f t="shared" si="12"/>
        <v>0</v>
      </c>
      <c r="E541" s="1">
        <v>0</v>
      </c>
      <c r="F541" s="26">
        <v>0</v>
      </c>
      <c r="G541" s="26">
        <v>0</v>
      </c>
      <c r="H541" s="26">
        <v>0</v>
      </c>
      <c r="I541" s="26">
        <v>0</v>
      </c>
      <c r="K541" s="25">
        <v>0</v>
      </c>
      <c r="L541" t="b">
        <f t="shared" si="13"/>
        <v>1</v>
      </c>
    </row>
    <row r="542" spans="2:12" ht="11.25">
      <c r="B542">
        <v>3</v>
      </c>
      <c r="C542" s="4" t="s">
        <v>2931</v>
      </c>
      <c r="D542">
        <f t="shared" si="12"/>
        <v>0</v>
      </c>
      <c r="E542" s="1">
        <v>0</v>
      </c>
      <c r="F542" s="26">
        <v>0</v>
      </c>
      <c r="G542" s="26">
        <v>0</v>
      </c>
      <c r="H542" s="26">
        <v>0</v>
      </c>
      <c r="I542" s="26">
        <v>0</v>
      </c>
      <c r="K542" s="25">
        <v>0</v>
      </c>
      <c r="L542" t="b">
        <f t="shared" si="13"/>
        <v>1</v>
      </c>
    </row>
    <row r="543" spans="2:12" ht="11.25">
      <c r="B543">
        <v>3</v>
      </c>
      <c r="C543" s="4" t="s">
        <v>2932</v>
      </c>
      <c r="D543">
        <f t="shared" si="12"/>
        <v>0</v>
      </c>
      <c r="E543" s="1">
        <v>0</v>
      </c>
      <c r="F543" s="26">
        <v>0</v>
      </c>
      <c r="G543" s="26">
        <v>0</v>
      </c>
      <c r="H543" s="26">
        <v>0</v>
      </c>
      <c r="I543" s="26">
        <v>0</v>
      </c>
      <c r="K543" s="25">
        <v>0</v>
      </c>
      <c r="L543" t="b">
        <f t="shared" si="13"/>
        <v>1</v>
      </c>
    </row>
    <row r="544" spans="2:12" ht="11.25">
      <c r="B544">
        <v>3</v>
      </c>
      <c r="C544" s="4" t="s">
        <v>2933</v>
      </c>
      <c r="D544">
        <f t="shared" si="12"/>
        <v>0</v>
      </c>
      <c r="E544" s="1">
        <v>0</v>
      </c>
      <c r="F544" s="26">
        <v>0</v>
      </c>
      <c r="G544" s="26">
        <v>0</v>
      </c>
      <c r="H544" s="26">
        <v>0</v>
      </c>
      <c r="I544" s="26">
        <v>0</v>
      </c>
      <c r="K544" s="25">
        <v>0</v>
      </c>
      <c r="L544" t="b">
        <f t="shared" si="13"/>
        <v>1</v>
      </c>
    </row>
    <row r="545" spans="2:12" ht="11.25">
      <c r="B545">
        <v>3</v>
      </c>
      <c r="C545" s="4" t="s">
        <v>2934</v>
      </c>
      <c r="D545">
        <f t="shared" si="12"/>
        <v>0</v>
      </c>
      <c r="E545" s="1">
        <v>0</v>
      </c>
      <c r="F545" s="26">
        <v>0</v>
      </c>
      <c r="G545" s="26">
        <v>0</v>
      </c>
      <c r="H545" s="26">
        <v>0</v>
      </c>
      <c r="I545" s="26">
        <v>0</v>
      </c>
      <c r="K545" s="25">
        <v>0</v>
      </c>
      <c r="L545" t="b">
        <f t="shared" si="13"/>
        <v>1</v>
      </c>
    </row>
    <row r="546" spans="2:12" ht="11.25">
      <c r="B546">
        <v>3</v>
      </c>
      <c r="C546" s="4" t="s">
        <v>2935</v>
      </c>
      <c r="D546">
        <f t="shared" si="12"/>
        <v>0</v>
      </c>
      <c r="E546" s="1">
        <v>0</v>
      </c>
      <c r="F546" s="26">
        <v>0</v>
      </c>
      <c r="G546" s="26">
        <v>0</v>
      </c>
      <c r="H546" s="26">
        <v>0</v>
      </c>
      <c r="I546" s="26">
        <v>0</v>
      </c>
      <c r="K546" s="25">
        <v>0</v>
      </c>
      <c r="L546" t="b">
        <f t="shared" si="13"/>
        <v>1</v>
      </c>
    </row>
    <row r="547" spans="2:12" ht="11.25">
      <c r="B547">
        <v>3</v>
      </c>
      <c r="C547" s="4" t="s">
        <v>2936</v>
      </c>
      <c r="D547">
        <f t="shared" si="12"/>
        <v>0</v>
      </c>
      <c r="E547" s="1">
        <v>0</v>
      </c>
      <c r="F547" s="26">
        <v>0</v>
      </c>
      <c r="G547" s="26">
        <v>0</v>
      </c>
      <c r="H547" s="26">
        <v>0</v>
      </c>
      <c r="I547" s="26">
        <v>0</v>
      </c>
      <c r="K547" s="25">
        <v>0</v>
      </c>
      <c r="L547" t="b">
        <f t="shared" si="13"/>
        <v>1</v>
      </c>
    </row>
    <row r="548" spans="2:12" ht="11.25">
      <c r="B548">
        <v>3</v>
      </c>
      <c r="C548" s="4" t="s">
        <v>2937</v>
      </c>
      <c r="D548">
        <f t="shared" si="12"/>
        <v>0</v>
      </c>
      <c r="E548" s="1">
        <v>0</v>
      </c>
      <c r="F548" s="26">
        <v>0</v>
      </c>
      <c r="G548" s="26">
        <v>0</v>
      </c>
      <c r="H548" s="26">
        <v>0</v>
      </c>
      <c r="I548" s="26">
        <v>0</v>
      </c>
      <c r="K548" s="25">
        <v>0</v>
      </c>
      <c r="L548" t="b">
        <f t="shared" si="13"/>
        <v>1</v>
      </c>
    </row>
    <row r="549" spans="2:12" ht="11.25">
      <c r="B549">
        <v>3</v>
      </c>
      <c r="C549" s="4" t="s">
        <v>2938</v>
      </c>
      <c r="D549">
        <f t="shared" si="12"/>
        <v>0</v>
      </c>
      <c r="E549" s="1">
        <v>0</v>
      </c>
      <c r="F549" s="26">
        <v>0</v>
      </c>
      <c r="G549" s="26">
        <v>0</v>
      </c>
      <c r="H549" s="26">
        <v>0</v>
      </c>
      <c r="I549" s="26">
        <v>0</v>
      </c>
      <c r="K549" s="25">
        <v>0</v>
      </c>
      <c r="L549" t="b">
        <f t="shared" si="13"/>
        <v>1</v>
      </c>
    </row>
    <row r="550" spans="2:12" ht="11.25">
      <c r="B550">
        <v>3</v>
      </c>
      <c r="C550" s="4" t="s">
        <v>2939</v>
      </c>
      <c r="D550">
        <f t="shared" si="12"/>
        <v>0</v>
      </c>
      <c r="E550" s="1">
        <v>0</v>
      </c>
      <c r="F550" s="26">
        <v>0</v>
      </c>
      <c r="G550" s="26">
        <v>0</v>
      </c>
      <c r="H550" s="26">
        <v>0</v>
      </c>
      <c r="I550" s="26">
        <v>0</v>
      </c>
      <c r="K550" s="25">
        <v>0</v>
      </c>
      <c r="L550" t="b">
        <f t="shared" si="13"/>
        <v>1</v>
      </c>
    </row>
    <row r="551" spans="2:12" ht="11.25">
      <c r="B551">
        <v>3</v>
      </c>
      <c r="C551" s="4" t="s">
        <v>2940</v>
      </c>
      <c r="D551">
        <f t="shared" si="12"/>
        <v>0</v>
      </c>
      <c r="E551" s="1">
        <v>0</v>
      </c>
      <c r="F551" s="26">
        <v>0</v>
      </c>
      <c r="G551" s="26">
        <v>0</v>
      </c>
      <c r="H551" s="26">
        <v>0</v>
      </c>
      <c r="I551" s="26">
        <v>0</v>
      </c>
      <c r="K551" s="25">
        <v>0</v>
      </c>
      <c r="L551" t="b">
        <f t="shared" si="13"/>
        <v>1</v>
      </c>
    </row>
    <row r="552" spans="2:12" ht="11.25">
      <c r="B552">
        <v>4</v>
      </c>
      <c r="C552" s="4" t="s">
        <v>2931</v>
      </c>
      <c r="D552">
        <f t="shared" ref="D552:D561" si="14">MAX(xxYear-B552+1,0)</f>
        <v>0</v>
      </c>
      <c r="E552" s="1">
        <v>0</v>
      </c>
      <c r="F552" s="26">
        <v>0</v>
      </c>
      <c r="G552" s="26">
        <v>0</v>
      </c>
      <c r="H552" s="26">
        <v>0</v>
      </c>
      <c r="I552" s="26">
        <v>0</v>
      </c>
      <c r="K552" s="25">
        <v>0</v>
      </c>
      <c r="L552" t="b">
        <f t="shared" si="13"/>
        <v>1</v>
      </c>
    </row>
    <row r="553" spans="2:12" ht="11.25">
      <c r="B553">
        <v>4</v>
      </c>
      <c r="C553" s="4" t="s">
        <v>2932</v>
      </c>
      <c r="D553">
        <f t="shared" si="14"/>
        <v>0</v>
      </c>
      <c r="E553" s="1">
        <v>0</v>
      </c>
      <c r="F553" s="26">
        <v>0</v>
      </c>
      <c r="G553" s="26">
        <v>0</v>
      </c>
      <c r="H553" s="26">
        <v>0</v>
      </c>
      <c r="I553" s="26">
        <v>0</v>
      </c>
      <c r="K553" s="25">
        <v>0</v>
      </c>
      <c r="L553" t="b">
        <f t="shared" si="13"/>
        <v>1</v>
      </c>
    </row>
    <row r="554" spans="2:12" ht="11.25">
      <c r="B554">
        <v>4</v>
      </c>
      <c r="C554" s="4" t="s">
        <v>2933</v>
      </c>
      <c r="D554">
        <f t="shared" si="14"/>
        <v>0</v>
      </c>
      <c r="E554" s="1">
        <v>0</v>
      </c>
      <c r="F554" s="26">
        <v>0</v>
      </c>
      <c r="G554" s="26">
        <v>0</v>
      </c>
      <c r="H554" s="26">
        <v>0</v>
      </c>
      <c r="I554" s="26">
        <v>0</v>
      </c>
      <c r="K554" s="25">
        <v>0</v>
      </c>
      <c r="L554" t="b">
        <f t="shared" si="13"/>
        <v>1</v>
      </c>
    </row>
    <row r="555" spans="2:12" ht="11.25">
      <c r="B555">
        <v>4</v>
      </c>
      <c r="C555" s="4" t="s">
        <v>2934</v>
      </c>
      <c r="D555">
        <f t="shared" si="14"/>
        <v>0</v>
      </c>
      <c r="E555" s="1">
        <v>0</v>
      </c>
      <c r="F555" s="26">
        <v>0</v>
      </c>
      <c r="G555" s="26">
        <v>0</v>
      </c>
      <c r="H555" s="26">
        <v>0</v>
      </c>
      <c r="I555" s="26">
        <v>0</v>
      </c>
      <c r="K555" s="25">
        <v>0</v>
      </c>
      <c r="L555" t="b">
        <f t="shared" si="13"/>
        <v>1</v>
      </c>
    </row>
    <row r="556" spans="2:12" ht="11.25">
      <c r="B556">
        <v>4</v>
      </c>
      <c r="C556" s="4" t="s">
        <v>2935</v>
      </c>
      <c r="D556">
        <f t="shared" si="14"/>
        <v>0</v>
      </c>
      <c r="E556" s="1">
        <v>0</v>
      </c>
      <c r="F556" s="26">
        <v>0</v>
      </c>
      <c r="G556" s="26">
        <v>0</v>
      </c>
      <c r="H556" s="26">
        <v>0</v>
      </c>
      <c r="I556" s="26">
        <v>0</v>
      </c>
      <c r="K556" s="25">
        <v>0</v>
      </c>
      <c r="L556" t="b">
        <f t="shared" si="13"/>
        <v>1</v>
      </c>
    </row>
    <row r="557" spans="2:12" ht="11.25">
      <c r="B557">
        <v>4</v>
      </c>
      <c r="C557" s="4" t="s">
        <v>2936</v>
      </c>
      <c r="D557">
        <f t="shared" si="14"/>
        <v>0</v>
      </c>
      <c r="E557" s="1">
        <v>0</v>
      </c>
      <c r="F557" s="26">
        <v>0</v>
      </c>
      <c r="G557" s="26">
        <v>0</v>
      </c>
      <c r="H557" s="26">
        <v>0</v>
      </c>
      <c r="I557" s="26">
        <v>0</v>
      </c>
      <c r="K557" s="25">
        <v>0</v>
      </c>
      <c r="L557" t="b">
        <f t="shared" si="13"/>
        <v>1</v>
      </c>
    </row>
    <row r="558" spans="2:12" ht="11.25">
      <c r="B558">
        <v>4</v>
      </c>
      <c r="C558" s="4" t="s">
        <v>2937</v>
      </c>
      <c r="D558">
        <f t="shared" si="14"/>
        <v>0</v>
      </c>
      <c r="E558" s="1">
        <v>0</v>
      </c>
      <c r="F558" s="26">
        <v>0</v>
      </c>
      <c r="G558" s="26">
        <v>0</v>
      </c>
      <c r="H558" s="26">
        <v>0</v>
      </c>
      <c r="I558" s="26">
        <v>0</v>
      </c>
      <c r="K558" s="25">
        <v>0</v>
      </c>
      <c r="L558" t="b">
        <f t="shared" si="13"/>
        <v>1</v>
      </c>
    </row>
    <row r="559" spans="2:12" ht="11.25">
      <c r="B559">
        <v>4</v>
      </c>
      <c r="C559" s="4" t="s">
        <v>2938</v>
      </c>
      <c r="D559">
        <f t="shared" si="14"/>
        <v>0</v>
      </c>
      <c r="E559" s="1">
        <v>0</v>
      </c>
      <c r="F559" s="26">
        <v>0</v>
      </c>
      <c r="G559" s="26">
        <v>0</v>
      </c>
      <c r="H559" s="26">
        <v>0</v>
      </c>
      <c r="I559" s="26">
        <v>0</v>
      </c>
      <c r="K559" s="25">
        <v>0</v>
      </c>
      <c r="L559" t="b">
        <f t="shared" si="13"/>
        <v>1</v>
      </c>
    </row>
    <row r="560" spans="2:12" ht="11.25">
      <c r="B560">
        <v>4</v>
      </c>
      <c r="C560" s="4" t="s">
        <v>2939</v>
      </c>
      <c r="D560">
        <f t="shared" si="14"/>
        <v>0</v>
      </c>
      <c r="E560" s="1">
        <v>0</v>
      </c>
      <c r="F560" s="26">
        <v>0</v>
      </c>
      <c r="G560" s="26">
        <v>0</v>
      </c>
      <c r="H560" s="26">
        <v>0</v>
      </c>
      <c r="I560" s="26">
        <v>0</v>
      </c>
      <c r="K560" s="25">
        <v>0</v>
      </c>
      <c r="L560" t="b">
        <f t="shared" si="13"/>
        <v>1</v>
      </c>
    </row>
    <row r="561" spans="1:12" ht="11.25">
      <c r="B561">
        <v>4</v>
      </c>
      <c r="C561" s="4" t="s">
        <v>2940</v>
      </c>
      <c r="D561">
        <f t="shared" si="14"/>
        <v>0</v>
      </c>
      <c r="E561" s="1">
        <v>0</v>
      </c>
      <c r="F561" s="26">
        <v>0</v>
      </c>
      <c r="G561" s="26">
        <v>0</v>
      </c>
      <c r="H561" s="26">
        <v>0</v>
      </c>
      <c r="I561" s="26">
        <v>0</v>
      </c>
      <c r="K561" s="25">
        <v>0</v>
      </c>
      <c r="L561" t="b">
        <f t="shared" si="13"/>
        <v>1</v>
      </c>
    </row>
    <row r="562" spans="1:12" ht="11.25">
      <c r="E562" s="1"/>
      <c r="F562" s="26"/>
      <c r="G562" s="26"/>
      <c r="H562" s="26"/>
      <c r="I562" s="26"/>
      <c r="K562" s="25"/>
      <c r="L562" t="b">
        <f t="shared" si="13"/>
        <v>1</v>
      </c>
    </row>
    <row r="563" spans="1:12" ht="11.25">
      <c r="A563" s="2" t="s">
        <v>368</v>
      </c>
      <c r="E563" s="109"/>
      <c r="F563" s="26"/>
      <c r="G563" s="26"/>
      <c r="H563" s="26"/>
      <c r="I563" s="26"/>
      <c r="K563" s="25"/>
      <c r="L563" t="b">
        <f t="shared" si="13"/>
        <v>1</v>
      </c>
    </row>
    <row r="564" spans="1:12" ht="11.25">
      <c r="E564" s="109"/>
      <c r="F564" s="26"/>
      <c r="G564" s="26"/>
      <c r="H564" s="26"/>
      <c r="I564" s="26"/>
      <c r="K564" s="25"/>
      <c r="L564" t="b">
        <f t="shared" si="13"/>
        <v>1</v>
      </c>
    </row>
    <row r="565" spans="1:12" ht="11.25">
      <c r="A565" s="2" t="s">
        <v>4612</v>
      </c>
      <c r="D565" s="311"/>
      <c r="E565" s="109"/>
      <c r="F565" s="26"/>
      <c r="G565" s="26"/>
      <c r="H565" s="26"/>
      <c r="I565" s="26"/>
      <c r="K565" s="25"/>
      <c r="L565" t="b">
        <f t="shared" si="13"/>
        <v>1</v>
      </c>
    </row>
    <row r="566" spans="1:12" ht="11.25">
      <c r="B566" t="s">
        <v>4613</v>
      </c>
      <c r="D566" s="311"/>
      <c r="E566" s="732">
        <v>0</v>
      </c>
      <c r="F566" s="733">
        <v>0</v>
      </c>
      <c r="G566" s="733">
        <v>0</v>
      </c>
      <c r="H566" s="733">
        <v>0</v>
      </c>
      <c r="I566" s="733">
        <v>0</v>
      </c>
      <c r="J566" t="s">
        <v>4615</v>
      </c>
      <c r="K566" s="142">
        <v>0</v>
      </c>
      <c r="L566" t="b">
        <f t="shared" si="13"/>
        <v>1</v>
      </c>
    </row>
    <row r="567" spans="1:12" ht="11.25">
      <c r="D567" s="311"/>
      <c r="E567" s="109"/>
      <c r="F567" s="26"/>
      <c r="G567" s="26"/>
      <c r="H567" s="26"/>
      <c r="I567" s="26"/>
      <c r="K567" s="25"/>
      <c r="L567" t="b">
        <f t="shared" si="13"/>
        <v>1</v>
      </c>
    </row>
    <row r="568" spans="1:12" ht="11.25">
      <c r="A568" s="2" t="s">
        <v>5403</v>
      </c>
      <c r="D568" s="311"/>
      <c r="E568" s="109"/>
      <c r="F568" s="26"/>
      <c r="G568" s="26"/>
      <c r="H568" s="26"/>
      <c r="I568" s="26"/>
      <c r="K568" s="25"/>
      <c r="L568" t="b">
        <f t="shared" si="13"/>
        <v>1</v>
      </c>
    </row>
    <row r="569" spans="1:12" ht="11.25">
      <c r="C569" s="1481" t="s">
        <v>4726</v>
      </c>
      <c r="D569" s="311"/>
      <c r="E569" s="1483">
        <v>338154510</v>
      </c>
      <c r="F569" s="1484">
        <v>338154510</v>
      </c>
      <c r="G569" s="1484">
        <v>338154510</v>
      </c>
      <c r="H569" s="1484">
        <v>338154510</v>
      </c>
      <c r="I569" s="1484">
        <v>338154510</v>
      </c>
      <c r="J569" t="s">
        <v>5432</v>
      </c>
      <c r="K569" s="25">
        <v>338154510</v>
      </c>
      <c r="L569" t="b">
        <f t="shared" si="13"/>
        <v>1</v>
      </c>
    </row>
    <row r="570" spans="1:12" ht="11.25">
      <c r="C570" s="1481" t="s">
        <v>4826</v>
      </c>
      <c r="D570" s="311"/>
      <c r="E570" s="111">
        <v>0</v>
      </c>
      <c r="F570" s="357">
        <v>0</v>
      </c>
      <c r="G570" s="357">
        <v>0</v>
      </c>
      <c r="H570" s="357">
        <v>0</v>
      </c>
      <c r="I570" s="357">
        <v>0</v>
      </c>
      <c r="J570" t="s">
        <v>5433</v>
      </c>
      <c r="K570" s="25">
        <v>0</v>
      </c>
      <c r="L570" t="b">
        <f t="shared" si="13"/>
        <v>1</v>
      </c>
    </row>
    <row r="571" spans="1:12" ht="11.25">
      <c r="C571" s="1481" t="s">
        <v>1487</v>
      </c>
      <c r="D571" s="311"/>
      <c r="E571" s="1483">
        <v>338508633</v>
      </c>
      <c r="F571" s="1484">
        <v>338508633</v>
      </c>
      <c r="G571" s="1484">
        <v>338508633</v>
      </c>
      <c r="H571" s="1484">
        <v>338508633</v>
      </c>
      <c r="I571" s="1484">
        <v>338508633</v>
      </c>
      <c r="J571" t="s">
        <v>5434</v>
      </c>
      <c r="K571" s="25">
        <v>338508633</v>
      </c>
      <c r="L571" t="b">
        <f t="shared" si="13"/>
        <v>1</v>
      </c>
    </row>
    <row r="572" spans="1:12" ht="11.25">
      <c r="C572" s="1481" t="s">
        <v>4766</v>
      </c>
      <c r="D572" s="311"/>
      <c r="E572" s="111">
        <v>0.63426051642786396</v>
      </c>
      <c r="F572" s="357">
        <v>0.63426051642786396</v>
      </c>
      <c r="G572" s="357">
        <v>0.63426051642786396</v>
      </c>
      <c r="H572" s="357">
        <v>0.63426051642786396</v>
      </c>
      <c r="I572" s="357">
        <v>0.63426051642786396</v>
      </c>
      <c r="J572" t="s">
        <v>5435</v>
      </c>
      <c r="K572" s="25">
        <v>0.63426051642786396</v>
      </c>
      <c r="L572" t="b">
        <f t="shared" si="13"/>
        <v>1</v>
      </c>
    </row>
    <row r="573" spans="1:12" ht="11.25">
      <c r="C573" s="1481" t="s">
        <v>4767</v>
      </c>
      <c r="D573" s="311"/>
      <c r="E573" s="111">
        <v>0.22598085562419018</v>
      </c>
      <c r="F573" s="357">
        <v>0.22598085562419018</v>
      </c>
      <c r="G573" s="357">
        <v>0.22598085562419018</v>
      </c>
      <c r="H573" s="357">
        <v>0.22598085562419018</v>
      </c>
      <c r="I573" s="357">
        <v>0.22598085562419018</v>
      </c>
      <c r="J573" t="s">
        <v>5436</v>
      </c>
      <c r="K573" s="25">
        <v>0.22598085562419018</v>
      </c>
      <c r="L573" t="b">
        <f t="shared" si="13"/>
        <v>1</v>
      </c>
    </row>
    <row r="574" spans="1:12" ht="11.25">
      <c r="C574" s="1482" t="s">
        <v>5322</v>
      </c>
      <c r="D574" s="311"/>
      <c r="E574" s="1483">
        <v>1590280.0405952206</v>
      </c>
      <c r="F574" s="1484">
        <v>1590280.0405952206</v>
      </c>
      <c r="G574" s="1484">
        <v>1590280.0405952206</v>
      </c>
      <c r="H574" s="1484">
        <v>1590280.0405952206</v>
      </c>
      <c r="I574" s="1484">
        <v>1590280.0405952206</v>
      </c>
      <c r="J574" t="s">
        <v>5437</v>
      </c>
      <c r="K574" s="25">
        <v>1590280.0405952206</v>
      </c>
      <c r="L574" t="b">
        <f t="shared" si="13"/>
        <v>1</v>
      </c>
    </row>
    <row r="575" spans="1:12" ht="11.25">
      <c r="C575" s="1482" t="s">
        <v>4932</v>
      </c>
      <c r="D575" s="311"/>
      <c r="E575" s="111">
        <v>0.72606665772184575</v>
      </c>
      <c r="F575" s="357">
        <v>0.72606665772184575</v>
      </c>
      <c r="G575" s="357">
        <v>0.72606665772184575</v>
      </c>
      <c r="H575" s="357">
        <v>0.72606665772184575</v>
      </c>
      <c r="I575" s="357">
        <v>0.72606665772184575</v>
      </c>
      <c r="J575" t="s">
        <v>5438</v>
      </c>
      <c r="K575" s="25">
        <v>0.72606665772184575</v>
      </c>
      <c r="L575" t="b">
        <f t="shared" si="13"/>
        <v>1</v>
      </c>
    </row>
    <row r="576" spans="1:12" ht="11.25">
      <c r="C576" s="1482" t="s">
        <v>4933</v>
      </c>
      <c r="D576" s="311"/>
      <c r="E576" s="111">
        <v>0.64303124999999983</v>
      </c>
      <c r="F576" s="357">
        <v>0.64303124999999983</v>
      </c>
      <c r="G576" s="357">
        <v>0.64303124999999983</v>
      </c>
      <c r="H576" s="357">
        <v>0.64303124999999983</v>
      </c>
      <c r="I576" s="357">
        <v>0.64303124999999983</v>
      </c>
      <c r="J576" t="s">
        <v>5439</v>
      </c>
      <c r="K576" s="25">
        <v>0.64303124999999983</v>
      </c>
      <c r="L576" t="b">
        <f t="shared" si="13"/>
        <v>1</v>
      </c>
    </row>
    <row r="577" spans="3:12" ht="11.25">
      <c r="C577" s="1482" t="s">
        <v>5323</v>
      </c>
      <c r="D577" s="311"/>
      <c r="E577" s="382">
        <v>0.52852941176470591</v>
      </c>
      <c r="F577" s="419">
        <v>0.52852941176470591</v>
      </c>
      <c r="G577" s="419">
        <v>0.52852941176470591</v>
      </c>
      <c r="H577" s="419">
        <v>0.52852941176470591</v>
      </c>
      <c r="I577" s="419">
        <v>0.52852941176470591</v>
      </c>
      <c r="J577" t="s">
        <v>5440</v>
      </c>
      <c r="K577" s="25">
        <v>0.52852941176470591</v>
      </c>
      <c r="L577" t="b">
        <f t="shared" si="13"/>
        <v>1</v>
      </c>
    </row>
    <row r="578" spans="3:12" ht="11.25">
      <c r="C578" s="134" t="s">
        <v>2320</v>
      </c>
      <c r="D578" s="311"/>
      <c r="E578" s="382">
        <v>0.62318867924528298</v>
      </c>
      <c r="F578" s="419">
        <v>0.62318867924528298</v>
      </c>
      <c r="G578" s="419">
        <v>0.62318867924528298</v>
      </c>
      <c r="H578" s="419">
        <v>0.62318867924528298</v>
      </c>
      <c r="I578" s="419">
        <v>0.62318867924528298</v>
      </c>
      <c r="J578" t="s">
        <v>5441</v>
      </c>
      <c r="K578" s="25">
        <v>0.62318867924528298</v>
      </c>
      <c r="L578" t="b">
        <f t="shared" si="13"/>
        <v>1</v>
      </c>
    </row>
    <row r="579" spans="3:12" ht="11.25">
      <c r="C579" s="1482" t="s">
        <v>1239</v>
      </c>
      <c r="D579" s="311"/>
      <c r="E579" s="382">
        <v>0.64356435643564358</v>
      </c>
      <c r="F579" s="419">
        <v>0.64356435643564358</v>
      </c>
      <c r="G579" s="419">
        <v>0.64356435643564358</v>
      </c>
      <c r="H579" s="419">
        <v>0.64356435643564358</v>
      </c>
      <c r="I579" s="419">
        <v>0.64356435643564358</v>
      </c>
      <c r="J579" t="s">
        <v>5442</v>
      </c>
      <c r="K579" s="25">
        <v>0.64356435643564358</v>
      </c>
      <c r="L579" t="b">
        <f t="shared" si="13"/>
        <v>1</v>
      </c>
    </row>
    <row r="580" spans="3:12" ht="11.25">
      <c r="C580" s="1482" t="s">
        <v>5324</v>
      </c>
      <c r="D580" s="311"/>
      <c r="E580" s="382">
        <v>0.23499999999999999</v>
      </c>
      <c r="F580" s="419">
        <v>0.23499999999999999</v>
      </c>
      <c r="G580" s="419">
        <v>0.23499999999999999</v>
      </c>
      <c r="H580" s="419">
        <v>0.23499999999999999</v>
      </c>
      <c r="I580" s="419">
        <v>0.23499999999999999</v>
      </c>
      <c r="J580" t="s">
        <v>5443</v>
      </c>
      <c r="K580" s="25">
        <v>0.23499999999999999</v>
      </c>
      <c r="L580" t="b">
        <f t="shared" si="13"/>
        <v>1</v>
      </c>
    </row>
    <row r="581" spans="3:12" ht="11.25">
      <c r="C581" s="1482" t="s">
        <v>2320</v>
      </c>
      <c r="D581" s="311"/>
      <c r="E581" s="382">
        <v>0.24529411764705883</v>
      </c>
      <c r="F581" s="419">
        <v>0.24529411764705883</v>
      </c>
      <c r="G581" s="419">
        <v>0.24529411764705883</v>
      </c>
      <c r="H581" s="419">
        <v>0.24529411764705883</v>
      </c>
      <c r="I581" s="419">
        <v>0.24529411764705883</v>
      </c>
      <c r="J581" t="s">
        <v>5444</v>
      </c>
      <c r="K581" s="25">
        <v>0.24529411764705883</v>
      </c>
      <c r="L581" t="b">
        <f t="shared" si="13"/>
        <v>1</v>
      </c>
    </row>
    <row r="582" spans="3:12" ht="11.25">
      <c r="C582" s="1482" t="s">
        <v>1239</v>
      </c>
      <c r="D582" s="311"/>
      <c r="E582" s="382">
        <v>0.32111111111111112</v>
      </c>
      <c r="F582" s="419">
        <v>0.32111111111111112</v>
      </c>
      <c r="G582" s="419">
        <v>0.32111111111111112</v>
      </c>
      <c r="H582" s="419">
        <v>0.32111111111111112</v>
      </c>
      <c r="I582" s="419">
        <v>0.32111111111111112</v>
      </c>
      <c r="J582" t="s">
        <v>5445</v>
      </c>
      <c r="K582" s="25">
        <v>0.32111111111111112</v>
      </c>
      <c r="L582" t="b">
        <f t="shared" si="13"/>
        <v>1</v>
      </c>
    </row>
    <row r="583" spans="3:12" ht="11.25">
      <c r="C583" s="1482" t="s">
        <v>2022</v>
      </c>
      <c r="D583" s="311"/>
      <c r="E583" s="382">
        <v>0.31111111111111112</v>
      </c>
      <c r="F583" s="419">
        <v>0.31111111111111112</v>
      </c>
      <c r="G583" s="419">
        <v>0.31111111111111112</v>
      </c>
      <c r="H583" s="419">
        <v>0.31111111111111112</v>
      </c>
      <c r="I583" s="419">
        <v>0.31111111111111112</v>
      </c>
      <c r="J583" t="s">
        <v>5446</v>
      </c>
      <c r="K583" s="25">
        <v>0.31111111111111112</v>
      </c>
      <c r="L583" t="b">
        <f t="shared" si="13"/>
        <v>1</v>
      </c>
    </row>
    <row r="584" spans="3:12" ht="11.25">
      <c r="C584" s="1481" t="s">
        <v>3369</v>
      </c>
      <c r="D584" s="311"/>
      <c r="E584" s="1483">
        <v>13404593.926293261</v>
      </c>
      <c r="F584" s="1484">
        <v>13404593.926293261</v>
      </c>
      <c r="G584" s="1484">
        <v>13404593.926293261</v>
      </c>
      <c r="H584" s="1484">
        <v>13404593.926293261</v>
      </c>
      <c r="I584" s="1484">
        <v>13404593.926293261</v>
      </c>
      <c r="J584" t="s">
        <v>5447</v>
      </c>
      <c r="K584" s="25">
        <v>13404593.926293261</v>
      </c>
      <c r="L584" t="b">
        <f t="shared" si="13"/>
        <v>1</v>
      </c>
    </row>
    <row r="585" spans="3:12" ht="11.25">
      <c r="C585" s="1481" t="s">
        <v>5325</v>
      </c>
      <c r="D585" s="311"/>
      <c r="E585" s="1483">
        <v>0</v>
      </c>
      <c r="F585" s="1484">
        <v>0</v>
      </c>
      <c r="G585" s="1484">
        <v>0</v>
      </c>
      <c r="H585" s="1484">
        <v>0</v>
      </c>
      <c r="I585" s="1484">
        <v>0</v>
      </c>
      <c r="J585" t="s">
        <v>5448</v>
      </c>
      <c r="K585" s="25">
        <v>0</v>
      </c>
      <c r="L585" t="b">
        <f t="shared" si="13"/>
        <v>1</v>
      </c>
    </row>
    <row r="586" spans="3:12" ht="11.25">
      <c r="C586" s="134" t="s">
        <v>5326</v>
      </c>
      <c r="D586" s="311"/>
      <c r="E586" s="382">
        <v>0.47469231694623598</v>
      </c>
      <c r="F586" s="419">
        <v>0.47469231694623598</v>
      </c>
      <c r="G586" s="419">
        <v>0.47469231694623598</v>
      </c>
      <c r="H586" s="419">
        <v>0.47469231694623598</v>
      </c>
      <c r="I586" s="419">
        <v>0.47469231694623598</v>
      </c>
      <c r="J586" t="s">
        <v>5449</v>
      </c>
      <c r="K586" s="25">
        <v>0.47469231694623598</v>
      </c>
      <c r="L586" t="b">
        <f t="shared" si="13"/>
        <v>1</v>
      </c>
    </row>
    <row r="587" spans="3:12" ht="11.25">
      <c r="C587" s="1482" t="s">
        <v>5327</v>
      </c>
      <c r="D587" s="311"/>
      <c r="E587" s="1483">
        <v>6301500</v>
      </c>
      <c r="F587" s="1484">
        <v>6301500</v>
      </c>
      <c r="G587" s="1484">
        <v>6301500</v>
      </c>
      <c r="H587" s="1484">
        <v>6301500</v>
      </c>
      <c r="I587" s="1484">
        <v>6301500</v>
      </c>
      <c r="J587" t="s">
        <v>5450</v>
      </c>
      <c r="K587" s="25">
        <v>6301500</v>
      </c>
      <c r="L587" t="b">
        <f t="shared" si="13"/>
        <v>1</v>
      </c>
    </row>
    <row r="588" spans="3:12" ht="11.25">
      <c r="C588" s="1482" t="s">
        <v>5328</v>
      </c>
      <c r="D588" s="311"/>
      <c r="E588" s="382">
        <v>0.82962264150943399</v>
      </c>
      <c r="F588" s="419">
        <v>0.82962264150943399</v>
      </c>
      <c r="G588" s="419">
        <v>0.82962264150943399</v>
      </c>
      <c r="H588" s="419">
        <v>0.82962264150943399</v>
      </c>
      <c r="I588" s="419">
        <v>0.82962264150943399</v>
      </c>
      <c r="J588" t="s">
        <v>5451</v>
      </c>
      <c r="K588" s="25">
        <v>0.82962264150943399</v>
      </c>
      <c r="L588" t="b">
        <f t="shared" si="13"/>
        <v>1</v>
      </c>
    </row>
    <row r="589" spans="3:12" ht="11.25">
      <c r="C589" s="134" t="s">
        <v>2320</v>
      </c>
      <c r="D589" s="311"/>
      <c r="E589" s="382">
        <v>0.86962732919254659</v>
      </c>
      <c r="F589" s="419">
        <v>0.86962732919254659</v>
      </c>
      <c r="G589" s="419">
        <v>0.86962732919254659</v>
      </c>
      <c r="H589" s="419">
        <v>0.86962732919254659</v>
      </c>
      <c r="I589" s="419">
        <v>0.86962732919254659</v>
      </c>
      <c r="J589" t="s">
        <v>5452</v>
      </c>
      <c r="K589" s="25">
        <v>0.86962732919254659</v>
      </c>
      <c r="L589" t="b">
        <f t="shared" si="13"/>
        <v>1</v>
      </c>
    </row>
    <row r="590" spans="3:12" ht="11.25">
      <c r="C590" s="134" t="s">
        <v>1239</v>
      </c>
      <c r="D590" s="311"/>
      <c r="E590" s="382">
        <v>0.65292096219931273</v>
      </c>
      <c r="F590" s="419">
        <v>0.65292096219931273</v>
      </c>
      <c r="G590" s="419">
        <v>0.65292096219931273</v>
      </c>
      <c r="H590" s="419">
        <v>0.65292096219931273</v>
      </c>
      <c r="I590" s="419">
        <v>0.65292096219931273</v>
      </c>
      <c r="J590" t="s">
        <v>5453</v>
      </c>
      <c r="K590" s="25">
        <v>0.65292096219931273</v>
      </c>
      <c r="L590" t="b">
        <f t="shared" si="13"/>
        <v>1</v>
      </c>
    </row>
    <row r="591" spans="3:12" ht="11.25">
      <c r="C591" s="134" t="s">
        <v>2022</v>
      </c>
      <c r="D591" s="311"/>
      <c r="E591" s="382">
        <v>0.29984777408905949</v>
      </c>
      <c r="F591" s="419">
        <v>0.29984777408905949</v>
      </c>
      <c r="G591" s="419">
        <v>0.29984777408905949</v>
      </c>
      <c r="H591" s="419">
        <v>0.29984777408905949</v>
      </c>
      <c r="I591" s="419">
        <v>0.29984777408905949</v>
      </c>
      <c r="J591" t="s">
        <v>5454</v>
      </c>
      <c r="K591" s="25">
        <v>0.29984777408905949</v>
      </c>
      <c r="L591" t="b">
        <f t="shared" si="13"/>
        <v>1</v>
      </c>
    </row>
    <row r="592" spans="3:12" ht="11.25">
      <c r="C592" s="1482" t="s">
        <v>5355</v>
      </c>
      <c r="D592" s="311"/>
      <c r="E592" s="382">
        <v>0.52852941176470591</v>
      </c>
      <c r="F592" s="419">
        <v>0.52852941176470591</v>
      </c>
      <c r="G592" s="419">
        <v>0.52852941176470591</v>
      </c>
      <c r="H592" s="419">
        <v>0.52852941176470591</v>
      </c>
      <c r="I592" s="419">
        <v>0.52852941176470591</v>
      </c>
      <c r="J592" t="s">
        <v>5455</v>
      </c>
      <c r="K592" s="25">
        <v>0.52852941176470591</v>
      </c>
      <c r="L592" t="b">
        <f t="shared" si="13"/>
        <v>1</v>
      </c>
    </row>
    <row r="593" spans="1:12" ht="11.25">
      <c r="C593" s="1482" t="s">
        <v>5356</v>
      </c>
      <c r="D593" s="311"/>
      <c r="E593" s="382">
        <v>0.62318867924528298</v>
      </c>
      <c r="F593" s="419">
        <v>0.62318867924528298</v>
      </c>
      <c r="G593" s="419">
        <v>0.62318867924528298</v>
      </c>
      <c r="H593" s="419">
        <v>0.62318867924528298</v>
      </c>
      <c r="I593" s="419">
        <v>0.62318867924528298</v>
      </c>
      <c r="J593" t="s">
        <v>5456</v>
      </c>
      <c r="K593" s="25">
        <v>0.62318867924528298</v>
      </c>
      <c r="L593" t="b">
        <f t="shared" si="13"/>
        <v>1</v>
      </c>
    </row>
    <row r="594" spans="1:12" ht="11.25">
      <c r="C594" s="1482" t="s">
        <v>4705</v>
      </c>
      <c r="D594" s="311"/>
      <c r="E594" s="382">
        <v>0.64356435643564358</v>
      </c>
      <c r="F594" s="419">
        <v>0.64356435643564358</v>
      </c>
      <c r="G594" s="419">
        <v>0.64356435643564358</v>
      </c>
      <c r="H594" s="419">
        <v>0.64356435643564358</v>
      </c>
      <c r="I594" s="419">
        <v>0.64356435643564358</v>
      </c>
      <c r="J594" t="s">
        <v>5457</v>
      </c>
      <c r="K594" s="25">
        <v>0.64356435643564358</v>
      </c>
      <c r="L594" t="b">
        <f t="shared" si="13"/>
        <v>1</v>
      </c>
    </row>
    <row r="595" spans="1:12" ht="11.25">
      <c r="C595" s="1482" t="s">
        <v>5178</v>
      </c>
      <c r="D595" s="311"/>
      <c r="E595" s="382">
        <v>0.65292096219931273</v>
      </c>
      <c r="F595" s="419">
        <v>0.65292096219931273</v>
      </c>
      <c r="G595" s="419">
        <v>0.65292096219931273</v>
      </c>
      <c r="H595" s="419">
        <v>0.65292096219931273</v>
      </c>
      <c r="I595" s="419">
        <v>0.65292096219931273</v>
      </c>
      <c r="J595" t="s">
        <v>5458</v>
      </c>
      <c r="K595" s="25">
        <v>0.65292096219931273</v>
      </c>
      <c r="L595" t="b">
        <f t="shared" si="13"/>
        <v>1</v>
      </c>
    </row>
    <row r="596" spans="1:12" ht="11.25">
      <c r="C596" s="1482" t="s">
        <v>5357</v>
      </c>
      <c r="D596" s="311"/>
      <c r="E596" s="382">
        <v>0.47469231694623598</v>
      </c>
      <c r="F596" s="419">
        <v>0.47469231694623598</v>
      </c>
      <c r="G596" s="419">
        <v>0.47469231694623598</v>
      </c>
      <c r="H596" s="419">
        <v>0.47469231694623598</v>
      </c>
      <c r="I596" s="419">
        <v>0.47469231694623598</v>
      </c>
      <c r="J596" t="s">
        <v>5459</v>
      </c>
      <c r="K596" s="25">
        <v>0.47469231694623598</v>
      </c>
      <c r="L596" t="b">
        <f t="shared" ref="L596:L659" si="15">MAX(E596:I596)=MIN(E596:I596)</f>
        <v>1</v>
      </c>
    </row>
    <row r="597" spans="1:12" ht="11.25">
      <c r="A597" s="2" t="s">
        <v>5516</v>
      </c>
      <c r="D597" s="311"/>
      <c r="E597" s="109"/>
      <c r="F597" s="26"/>
      <c r="G597" s="26"/>
      <c r="H597" s="26"/>
      <c r="I597" s="26"/>
      <c r="K597" s="25"/>
      <c r="L597" t="b">
        <f t="shared" si="15"/>
        <v>1</v>
      </c>
    </row>
    <row r="598" spans="1:12" ht="11.25">
      <c r="C598" s="1481" t="s">
        <v>4726</v>
      </c>
      <c r="D598" s="311"/>
      <c r="E598" s="1483">
        <v>0</v>
      </c>
      <c r="F598" s="1484">
        <v>0</v>
      </c>
      <c r="G598" s="1484">
        <v>0</v>
      </c>
      <c r="H598" s="1484">
        <v>0</v>
      </c>
      <c r="I598" s="1484">
        <v>0</v>
      </c>
      <c r="J598" t="s">
        <v>5460</v>
      </c>
      <c r="K598" s="25">
        <v>0</v>
      </c>
      <c r="L598" t="b">
        <f t="shared" si="15"/>
        <v>1</v>
      </c>
    </row>
    <row r="599" spans="1:12" ht="11.25">
      <c r="C599" s="1481" t="s">
        <v>4826</v>
      </c>
      <c r="D599" s="311"/>
      <c r="E599" s="111">
        <v>0</v>
      </c>
      <c r="F599" s="357">
        <v>0</v>
      </c>
      <c r="G599" s="357">
        <v>0</v>
      </c>
      <c r="H599" s="357">
        <v>0</v>
      </c>
      <c r="I599" s="357">
        <v>0</v>
      </c>
      <c r="J599" t="s">
        <v>5461</v>
      </c>
      <c r="K599" s="25">
        <v>0</v>
      </c>
      <c r="L599" t="b">
        <f t="shared" si="15"/>
        <v>1</v>
      </c>
    </row>
    <row r="600" spans="1:12" ht="11.25">
      <c r="C600" s="1481" t="s">
        <v>1487</v>
      </c>
      <c r="D600" s="311"/>
      <c r="E600" s="1483">
        <v>0</v>
      </c>
      <c r="F600" s="1484">
        <v>0</v>
      </c>
      <c r="G600" s="1484">
        <v>0</v>
      </c>
      <c r="H600" s="1484">
        <v>0</v>
      </c>
      <c r="I600" s="1484">
        <v>0</v>
      </c>
      <c r="J600" t="s">
        <v>5462</v>
      </c>
      <c r="K600" s="25">
        <v>0</v>
      </c>
      <c r="L600" t="b">
        <f t="shared" si="15"/>
        <v>1</v>
      </c>
    </row>
    <row r="601" spans="1:12" ht="11.25">
      <c r="C601" s="1481" t="s">
        <v>4766</v>
      </c>
      <c r="D601" s="311"/>
      <c r="E601" s="111">
        <v>0</v>
      </c>
      <c r="F601" s="357">
        <v>0</v>
      </c>
      <c r="G601" s="357">
        <v>0</v>
      </c>
      <c r="H601" s="357">
        <v>0</v>
      </c>
      <c r="I601" s="357">
        <v>0</v>
      </c>
      <c r="J601" t="s">
        <v>5463</v>
      </c>
      <c r="K601" s="25">
        <v>0</v>
      </c>
      <c r="L601" t="b">
        <f t="shared" si="15"/>
        <v>1</v>
      </c>
    </row>
    <row r="602" spans="1:12" ht="11.25">
      <c r="C602" s="1481" t="s">
        <v>4767</v>
      </c>
      <c r="D602" s="311"/>
      <c r="E602" s="111">
        <v>0</v>
      </c>
      <c r="F602" s="357">
        <v>0</v>
      </c>
      <c r="G602" s="357">
        <v>0</v>
      </c>
      <c r="H602" s="357">
        <v>0</v>
      </c>
      <c r="I602" s="357">
        <v>0</v>
      </c>
      <c r="J602" t="s">
        <v>5464</v>
      </c>
      <c r="K602" s="25">
        <v>0</v>
      </c>
      <c r="L602" t="b">
        <f t="shared" si="15"/>
        <v>1</v>
      </c>
    </row>
    <row r="603" spans="1:12" ht="11.25">
      <c r="C603" s="1482" t="s">
        <v>5322</v>
      </c>
      <c r="D603" s="311"/>
      <c r="E603" s="1483">
        <v>0</v>
      </c>
      <c r="F603" s="1484">
        <v>0</v>
      </c>
      <c r="G603" s="1484">
        <v>0</v>
      </c>
      <c r="H603" s="1484">
        <v>0</v>
      </c>
      <c r="I603" s="1484">
        <v>0</v>
      </c>
      <c r="J603" t="s">
        <v>5465</v>
      </c>
      <c r="K603" s="25">
        <v>0</v>
      </c>
      <c r="L603" t="b">
        <f t="shared" si="15"/>
        <v>1</v>
      </c>
    </row>
    <row r="604" spans="1:12" ht="11.25">
      <c r="C604" s="1482" t="s">
        <v>4932</v>
      </c>
      <c r="D604" s="311"/>
      <c r="E604" s="111">
        <v>0</v>
      </c>
      <c r="F604" s="357">
        <v>0</v>
      </c>
      <c r="G604" s="357">
        <v>0</v>
      </c>
      <c r="H604" s="357">
        <v>0</v>
      </c>
      <c r="I604" s="357">
        <v>0</v>
      </c>
      <c r="J604" t="s">
        <v>5466</v>
      </c>
      <c r="K604" s="25">
        <v>0</v>
      </c>
      <c r="L604" t="b">
        <f t="shared" si="15"/>
        <v>1</v>
      </c>
    </row>
    <row r="605" spans="1:12" ht="11.25">
      <c r="C605" s="1482" t="s">
        <v>4933</v>
      </c>
      <c r="D605" s="311"/>
      <c r="E605" s="111">
        <v>0</v>
      </c>
      <c r="F605" s="357">
        <v>0</v>
      </c>
      <c r="G605" s="357">
        <v>0</v>
      </c>
      <c r="H605" s="357">
        <v>0</v>
      </c>
      <c r="I605" s="357">
        <v>0</v>
      </c>
      <c r="J605" t="s">
        <v>5467</v>
      </c>
      <c r="K605" s="25">
        <v>0</v>
      </c>
      <c r="L605" t="b">
        <f t="shared" si="15"/>
        <v>1</v>
      </c>
    </row>
    <row r="606" spans="1:12" ht="11.25">
      <c r="C606" s="1482" t="s">
        <v>5323</v>
      </c>
      <c r="D606" s="311"/>
      <c r="E606" s="382">
        <v>0</v>
      </c>
      <c r="F606" s="419">
        <v>0</v>
      </c>
      <c r="G606" s="419">
        <v>0</v>
      </c>
      <c r="H606" s="419">
        <v>0</v>
      </c>
      <c r="I606" s="419">
        <v>0</v>
      </c>
      <c r="J606" t="s">
        <v>5468</v>
      </c>
      <c r="K606" s="25">
        <v>0</v>
      </c>
      <c r="L606" t="b">
        <f t="shared" si="15"/>
        <v>1</v>
      </c>
    </row>
    <row r="607" spans="1:12" ht="11.25">
      <c r="C607" s="134" t="s">
        <v>2320</v>
      </c>
      <c r="D607" s="311"/>
      <c r="E607" s="382">
        <v>0</v>
      </c>
      <c r="F607" s="419">
        <v>0</v>
      </c>
      <c r="G607" s="419">
        <v>0</v>
      </c>
      <c r="H607" s="419">
        <v>0</v>
      </c>
      <c r="I607" s="419">
        <v>0</v>
      </c>
      <c r="J607" t="s">
        <v>5469</v>
      </c>
      <c r="K607" s="25">
        <v>0</v>
      </c>
      <c r="L607" t="b">
        <f t="shared" si="15"/>
        <v>1</v>
      </c>
    </row>
    <row r="608" spans="1:12" ht="11.25">
      <c r="C608" s="1482" t="s">
        <v>1239</v>
      </c>
      <c r="D608" s="311"/>
      <c r="E608" s="382">
        <v>0</v>
      </c>
      <c r="F608" s="419">
        <v>0</v>
      </c>
      <c r="G608" s="419">
        <v>0</v>
      </c>
      <c r="H608" s="419">
        <v>0</v>
      </c>
      <c r="I608" s="419">
        <v>0</v>
      </c>
      <c r="J608" t="s">
        <v>5470</v>
      </c>
      <c r="K608" s="25">
        <v>0</v>
      </c>
      <c r="L608" t="b">
        <f t="shared" si="15"/>
        <v>1</v>
      </c>
    </row>
    <row r="609" spans="3:12" ht="11.25">
      <c r="C609" s="1482" t="s">
        <v>5324</v>
      </c>
      <c r="D609" s="311"/>
      <c r="E609" s="382">
        <v>0</v>
      </c>
      <c r="F609" s="419">
        <v>0</v>
      </c>
      <c r="G609" s="419">
        <v>0</v>
      </c>
      <c r="H609" s="419">
        <v>0</v>
      </c>
      <c r="I609" s="419">
        <v>0</v>
      </c>
      <c r="J609" t="s">
        <v>5471</v>
      </c>
      <c r="K609" s="25">
        <v>0</v>
      </c>
      <c r="L609" t="b">
        <f t="shared" si="15"/>
        <v>1</v>
      </c>
    </row>
    <row r="610" spans="3:12" ht="11.25">
      <c r="C610" s="1482" t="s">
        <v>2320</v>
      </c>
      <c r="D610" s="311"/>
      <c r="E610" s="382">
        <v>0</v>
      </c>
      <c r="F610" s="419">
        <v>0</v>
      </c>
      <c r="G610" s="419">
        <v>0</v>
      </c>
      <c r="H610" s="419">
        <v>0</v>
      </c>
      <c r="I610" s="419">
        <v>0</v>
      </c>
      <c r="J610" t="s">
        <v>5472</v>
      </c>
      <c r="K610" s="25">
        <v>0</v>
      </c>
      <c r="L610" t="b">
        <f t="shared" si="15"/>
        <v>1</v>
      </c>
    </row>
    <row r="611" spans="3:12" ht="11.25">
      <c r="C611" s="1482" t="s">
        <v>1239</v>
      </c>
      <c r="D611" s="311"/>
      <c r="E611" s="382">
        <v>0</v>
      </c>
      <c r="F611" s="419">
        <v>0</v>
      </c>
      <c r="G611" s="419">
        <v>0</v>
      </c>
      <c r="H611" s="419">
        <v>0</v>
      </c>
      <c r="I611" s="419">
        <v>0</v>
      </c>
      <c r="J611" t="s">
        <v>5473</v>
      </c>
      <c r="K611" s="25">
        <v>0</v>
      </c>
      <c r="L611" t="b">
        <f t="shared" si="15"/>
        <v>1</v>
      </c>
    </row>
    <row r="612" spans="3:12" ht="11.25">
      <c r="C612" s="1482" t="s">
        <v>2022</v>
      </c>
      <c r="D612" s="311"/>
      <c r="E612" s="382">
        <v>0</v>
      </c>
      <c r="F612" s="419">
        <v>0</v>
      </c>
      <c r="G612" s="419">
        <v>0</v>
      </c>
      <c r="H612" s="419">
        <v>0</v>
      </c>
      <c r="I612" s="419">
        <v>0</v>
      </c>
      <c r="J612" t="s">
        <v>5474</v>
      </c>
      <c r="K612" s="25">
        <v>0</v>
      </c>
      <c r="L612" t="b">
        <f t="shared" si="15"/>
        <v>1</v>
      </c>
    </row>
    <row r="613" spans="3:12" ht="11.25">
      <c r="C613" s="1481" t="s">
        <v>3369</v>
      </c>
      <c r="D613" s="311"/>
      <c r="E613" s="1483">
        <v>0</v>
      </c>
      <c r="F613" s="1484">
        <v>0</v>
      </c>
      <c r="G613" s="1484">
        <v>0</v>
      </c>
      <c r="H613" s="1484">
        <v>0</v>
      </c>
      <c r="I613" s="1484">
        <v>0</v>
      </c>
      <c r="J613" t="s">
        <v>5475</v>
      </c>
      <c r="K613" s="25">
        <v>0</v>
      </c>
      <c r="L613" t="b">
        <f t="shared" si="15"/>
        <v>1</v>
      </c>
    </row>
    <row r="614" spans="3:12" ht="11.25">
      <c r="C614" s="1481" t="s">
        <v>5325</v>
      </c>
      <c r="D614" s="311"/>
      <c r="E614" s="1483">
        <v>0</v>
      </c>
      <c r="F614" s="1484">
        <v>0</v>
      </c>
      <c r="G614" s="1484">
        <v>0</v>
      </c>
      <c r="H614" s="1484">
        <v>0</v>
      </c>
      <c r="I614" s="1484">
        <v>0</v>
      </c>
      <c r="J614" t="s">
        <v>5476</v>
      </c>
      <c r="K614" s="25">
        <v>0</v>
      </c>
      <c r="L614" t="b">
        <f t="shared" si="15"/>
        <v>1</v>
      </c>
    </row>
    <row r="615" spans="3:12" ht="11.25">
      <c r="C615" s="134" t="s">
        <v>5326</v>
      </c>
      <c r="D615" s="311"/>
      <c r="E615" s="382">
        <v>0</v>
      </c>
      <c r="F615" s="419">
        <v>0</v>
      </c>
      <c r="G615" s="419">
        <v>0</v>
      </c>
      <c r="H615" s="419">
        <v>0</v>
      </c>
      <c r="I615" s="419">
        <v>0</v>
      </c>
      <c r="J615" t="s">
        <v>5477</v>
      </c>
      <c r="K615" s="25">
        <v>0</v>
      </c>
      <c r="L615" t="b">
        <f t="shared" si="15"/>
        <v>1</v>
      </c>
    </row>
    <row r="616" spans="3:12" ht="11.25">
      <c r="C616" s="1482" t="s">
        <v>5327</v>
      </c>
      <c r="D616" s="311"/>
      <c r="E616" s="1483">
        <v>0</v>
      </c>
      <c r="F616" s="1484">
        <v>0</v>
      </c>
      <c r="G616" s="1484">
        <v>0</v>
      </c>
      <c r="H616" s="1484">
        <v>0</v>
      </c>
      <c r="I616" s="1484">
        <v>0</v>
      </c>
      <c r="J616" t="s">
        <v>5478</v>
      </c>
      <c r="K616" s="25">
        <v>0</v>
      </c>
      <c r="L616" t="b">
        <f t="shared" si="15"/>
        <v>1</v>
      </c>
    </row>
    <row r="617" spans="3:12" ht="11.25">
      <c r="C617" s="1482" t="s">
        <v>5328</v>
      </c>
      <c r="D617" s="311"/>
      <c r="E617" s="382">
        <v>0</v>
      </c>
      <c r="F617" s="419">
        <v>0</v>
      </c>
      <c r="G617" s="419">
        <v>0</v>
      </c>
      <c r="H617" s="419">
        <v>0</v>
      </c>
      <c r="I617" s="419">
        <v>0</v>
      </c>
      <c r="J617" t="s">
        <v>5479</v>
      </c>
      <c r="K617" s="25">
        <v>0</v>
      </c>
      <c r="L617" t="b">
        <f t="shared" si="15"/>
        <v>1</v>
      </c>
    </row>
    <row r="618" spans="3:12" ht="11.25">
      <c r="C618" s="134" t="s">
        <v>2320</v>
      </c>
      <c r="D618" s="311"/>
      <c r="E618" s="382">
        <v>0</v>
      </c>
      <c r="F618" s="419">
        <v>0</v>
      </c>
      <c r="G618" s="419">
        <v>0</v>
      </c>
      <c r="H618" s="419">
        <v>0</v>
      </c>
      <c r="I618" s="419">
        <v>0</v>
      </c>
      <c r="J618" t="s">
        <v>5480</v>
      </c>
      <c r="K618" s="25">
        <v>0</v>
      </c>
      <c r="L618" t="b">
        <f t="shared" si="15"/>
        <v>1</v>
      </c>
    </row>
    <row r="619" spans="3:12" ht="11.25">
      <c r="C619" s="134" t="s">
        <v>1239</v>
      </c>
      <c r="D619" s="311"/>
      <c r="E619" s="382">
        <v>0</v>
      </c>
      <c r="F619" s="419">
        <v>0</v>
      </c>
      <c r="G619" s="419">
        <v>0</v>
      </c>
      <c r="H619" s="419">
        <v>0</v>
      </c>
      <c r="I619" s="419">
        <v>0</v>
      </c>
      <c r="J619" t="s">
        <v>5481</v>
      </c>
      <c r="K619" s="25">
        <v>0</v>
      </c>
      <c r="L619" t="b">
        <f t="shared" si="15"/>
        <v>1</v>
      </c>
    </row>
    <row r="620" spans="3:12" ht="11.25">
      <c r="C620" s="134" t="s">
        <v>2022</v>
      </c>
      <c r="D620" s="311"/>
      <c r="E620" s="382">
        <v>0</v>
      </c>
      <c r="F620" s="419">
        <v>0</v>
      </c>
      <c r="G620" s="419">
        <v>0</v>
      </c>
      <c r="H620" s="419">
        <v>0</v>
      </c>
      <c r="I620" s="419">
        <v>0</v>
      </c>
      <c r="J620" t="s">
        <v>5482</v>
      </c>
      <c r="K620" s="25">
        <v>0</v>
      </c>
      <c r="L620" t="b">
        <f t="shared" si="15"/>
        <v>1</v>
      </c>
    </row>
    <row r="621" spans="3:12" ht="11.25">
      <c r="C621" s="1482" t="s">
        <v>5355</v>
      </c>
      <c r="D621" s="311"/>
      <c r="E621" s="382">
        <v>0</v>
      </c>
      <c r="F621" s="419">
        <v>0</v>
      </c>
      <c r="G621" s="419">
        <v>0</v>
      </c>
      <c r="H621" s="419">
        <v>0</v>
      </c>
      <c r="I621" s="419">
        <v>0</v>
      </c>
      <c r="J621" t="s">
        <v>5483</v>
      </c>
      <c r="K621" s="25">
        <v>0</v>
      </c>
      <c r="L621" t="b">
        <f t="shared" si="15"/>
        <v>1</v>
      </c>
    </row>
    <row r="622" spans="3:12" ht="11.25">
      <c r="C622" s="1482" t="s">
        <v>5356</v>
      </c>
      <c r="D622" s="311"/>
      <c r="E622" s="382">
        <v>0</v>
      </c>
      <c r="F622" s="419">
        <v>0</v>
      </c>
      <c r="G622" s="419">
        <v>0</v>
      </c>
      <c r="H622" s="419">
        <v>0</v>
      </c>
      <c r="I622" s="419">
        <v>0</v>
      </c>
      <c r="J622" t="s">
        <v>5484</v>
      </c>
      <c r="K622" s="25">
        <v>0</v>
      </c>
      <c r="L622" t="b">
        <f t="shared" si="15"/>
        <v>1</v>
      </c>
    </row>
    <row r="623" spans="3:12" ht="11.25">
      <c r="C623" s="1482" t="s">
        <v>4705</v>
      </c>
      <c r="D623" s="311"/>
      <c r="E623" s="382">
        <v>0</v>
      </c>
      <c r="F623" s="419">
        <v>0</v>
      </c>
      <c r="G623" s="419">
        <v>0</v>
      </c>
      <c r="H623" s="419">
        <v>0</v>
      </c>
      <c r="I623" s="419">
        <v>0</v>
      </c>
      <c r="J623" t="s">
        <v>5485</v>
      </c>
      <c r="K623" s="25">
        <v>0</v>
      </c>
      <c r="L623" t="b">
        <f t="shared" si="15"/>
        <v>1</v>
      </c>
    </row>
    <row r="624" spans="3:12" ht="11.25">
      <c r="C624" s="1482" t="s">
        <v>5178</v>
      </c>
      <c r="D624" s="311"/>
      <c r="E624" s="382">
        <v>0</v>
      </c>
      <c r="F624" s="419">
        <v>0</v>
      </c>
      <c r="G624" s="419">
        <v>0</v>
      </c>
      <c r="H624" s="419">
        <v>0</v>
      </c>
      <c r="I624" s="419">
        <v>0</v>
      </c>
      <c r="J624" t="s">
        <v>5486</v>
      </c>
      <c r="K624" s="25">
        <v>0</v>
      </c>
      <c r="L624" t="b">
        <f t="shared" si="15"/>
        <v>1</v>
      </c>
    </row>
    <row r="625" spans="1:12" ht="11.25">
      <c r="C625" s="1482" t="s">
        <v>5357</v>
      </c>
      <c r="D625" s="311"/>
      <c r="E625" s="382">
        <v>0</v>
      </c>
      <c r="F625" s="419">
        <v>0</v>
      </c>
      <c r="G625" s="419">
        <v>0</v>
      </c>
      <c r="H625" s="419">
        <v>0</v>
      </c>
      <c r="I625" s="419">
        <v>0</v>
      </c>
      <c r="J625" t="s">
        <v>5487</v>
      </c>
      <c r="K625" s="25">
        <v>0</v>
      </c>
      <c r="L625" t="b">
        <f t="shared" ref="L625:L653" si="16">MAX(E625:I625)=MIN(E625:I625)</f>
        <v>1</v>
      </c>
    </row>
    <row r="626" spans="1:12" ht="11.25">
      <c r="A626" s="2" t="s">
        <v>5517</v>
      </c>
      <c r="D626" s="311"/>
      <c r="E626" s="109"/>
      <c r="F626" s="26"/>
      <c r="G626" s="26"/>
      <c r="H626" s="26"/>
      <c r="I626" s="26"/>
      <c r="K626" s="25"/>
      <c r="L626" t="b">
        <f t="shared" si="16"/>
        <v>1</v>
      </c>
    </row>
    <row r="627" spans="1:12" ht="11.25">
      <c r="C627" s="1481" t="s">
        <v>4726</v>
      </c>
      <c r="D627" s="311"/>
      <c r="E627" s="1483">
        <v>0</v>
      </c>
      <c r="F627" s="1484">
        <v>0</v>
      </c>
      <c r="G627" s="1484">
        <v>0</v>
      </c>
      <c r="H627" s="1484">
        <v>0</v>
      </c>
      <c r="I627" s="1484">
        <v>0</v>
      </c>
      <c r="J627" t="s">
        <v>5518</v>
      </c>
      <c r="K627" s="25">
        <v>0</v>
      </c>
      <c r="L627" t="b">
        <f t="shared" si="16"/>
        <v>1</v>
      </c>
    </row>
    <row r="628" spans="1:12" ht="11.25">
      <c r="C628" s="1481" t="s">
        <v>4826</v>
      </c>
      <c r="D628" s="311"/>
      <c r="E628" s="111">
        <v>0</v>
      </c>
      <c r="F628" s="357">
        <v>0</v>
      </c>
      <c r="G628" s="357">
        <v>0</v>
      </c>
      <c r="H628" s="357">
        <v>0</v>
      </c>
      <c r="I628" s="357">
        <v>0</v>
      </c>
      <c r="J628" t="s">
        <v>5519</v>
      </c>
      <c r="K628" s="25">
        <v>0</v>
      </c>
      <c r="L628" t="b">
        <f t="shared" si="16"/>
        <v>1</v>
      </c>
    </row>
    <row r="629" spans="1:12" ht="11.25">
      <c r="C629" s="1481" t="s">
        <v>1487</v>
      </c>
      <c r="D629" s="311"/>
      <c r="E629" s="1483">
        <v>0</v>
      </c>
      <c r="F629" s="1484">
        <v>0</v>
      </c>
      <c r="G629" s="1484">
        <v>0</v>
      </c>
      <c r="H629" s="1484">
        <v>0</v>
      </c>
      <c r="I629" s="1484">
        <v>0</v>
      </c>
      <c r="J629" t="s">
        <v>5520</v>
      </c>
      <c r="K629" s="25">
        <v>0</v>
      </c>
      <c r="L629" t="b">
        <f t="shared" si="16"/>
        <v>1</v>
      </c>
    </row>
    <row r="630" spans="1:12" ht="11.25">
      <c r="C630" s="1481" t="s">
        <v>4766</v>
      </c>
      <c r="D630" s="311"/>
      <c r="E630" s="111">
        <v>0</v>
      </c>
      <c r="F630" s="357">
        <v>0</v>
      </c>
      <c r="G630" s="357">
        <v>0</v>
      </c>
      <c r="H630" s="357">
        <v>0</v>
      </c>
      <c r="I630" s="357">
        <v>0</v>
      </c>
      <c r="J630" t="s">
        <v>5521</v>
      </c>
      <c r="K630" s="25">
        <v>0</v>
      </c>
      <c r="L630" t="b">
        <f t="shared" si="16"/>
        <v>1</v>
      </c>
    </row>
    <row r="631" spans="1:12" ht="11.25">
      <c r="C631" s="1481" t="s">
        <v>4767</v>
      </c>
      <c r="D631" s="311"/>
      <c r="E631" s="111">
        <v>0</v>
      </c>
      <c r="F631" s="357">
        <v>0</v>
      </c>
      <c r="G631" s="357">
        <v>0</v>
      </c>
      <c r="H631" s="357">
        <v>0</v>
      </c>
      <c r="I631" s="357">
        <v>0</v>
      </c>
      <c r="J631" t="s">
        <v>5522</v>
      </c>
      <c r="K631" s="25">
        <v>0</v>
      </c>
      <c r="L631" t="b">
        <f t="shared" si="16"/>
        <v>1</v>
      </c>
    </row>
    <row r="632" spans="1:12" ht="11.25">
      <c r="C632" s="1482" t="s">
        <v>5322</v>
      </c>
      <c r="D632" s="311"/>
      <c r="E632" s="1483">
        <v>0</v>
      </c>
      <c r="F632" s="1484">
        <v>0</v>
      </c>
      <c r="G632" s="1484">
        <v>0</v>
      </c>
      <c r="H632" s="1484">
        <v>0</v>
      </c>
      <c r="I632" s="1484">
        <v>0</v>
      </c>
      <c r="J632" t="s">
        <v>5523</v>
      </c>
      <c r="K632" s="25">
        <v>0</v>
      </c>
      <c r="L632" t="b">
        <f t="shared" si="16"/>
        <v>1</v>
      </c>
    </row>
    <row r="633" spans="1:12" ht="11.25">
      <c r="C633" s="1482" t="s">
        <v>4932</v>
      </c>
      <c r="D633" s="311"/>
      <c r="E633" s="111">
        <v>0</v>
      </c>
      <c r="F633" s="357">
        <v>0</v>
      </c>
      <c r="G633" s="357">
        <v>0</v>
      </c>
      <c r="H633" s="357">
        <v>0</v>
      </c>
      <c r="I633" s="357">
        <v>0</v>
      </c>
      <c r="J633" t="s">
        <v>5524</v>
      </c>
      <c r="K633" s="25">
        <v>0</v>
      </c>
      <c r="L633" t="b">
        <f t="shared" si="16"/>
        <v>1</v>
      </c>
    </row>
    <row r="634" spans="1:12" ht="11.25">
      <c r="C634" s="1482" t="s">
        <v>4933</v>
      </c>
      <c r="D634" s="311"/>
      <c r="E634" s="111">
        <v>0</v>
      </c>
      <c r="F634" s="357">
        <v>0</v>
      </c>
      <c r="G634" s="357">
        <v>0</v>
      </c>
      <c r="H634" s="357">
        <v>0</v>
      </c>
      <c r="I634" s="357">
        <v>0</v>
      </c>
      <c r="J634" t="s">
        <v>5525</v>
      </c>
      <c r="K634" s="25">
        <v>0</v>
      </c>
      <c r="L634" t="b">
        <f t="shared" si="16"/>
        <v>1</v>
      </c>
    </row>
    <row r="635" spans="1:12" ht="11.25">
      <c r="C635" s="1482" t="s">
        <v>5323</v>
      </c>
      <c r="D635" s="311"/>
      <c r="E635" s="382">
        <v>0</v>
      </c>
      <c r="F635" s="419">
        <v>0</v>
      </c>
      <c r="G635" s="419">
        <v>0</v>
      </c>
      <c r="H635" s="419">
        <v>0</v>
      </c>
      <c r="I635" s="419">
        <v>0</v>
      </c>
      <c r="J635" t="s">
        <v>5526</v>
      </c>
      <c r="K635" s="25">
        <v>0</v>
      </c>
      <c r="L635" t="b">
        <f t="shared" si="16"/>
        <v>1</v>
      </c>
    </row>
    <row r="636" spans="1:12" ht="11.25">
      <c r="C636" s="134" t="s">
        <v>2320</v>
      </c>
      <c r="D636" s="311"/>
      <c r="E636" s="382">
        <v>0</v>
      </c>
      <c r="F636" s="419">
        <v>0</v>
      </c>
      <c r="G636" s="419">
        <v>0</v>
      </c>
      <c r="H636" s="419">
        <v>0</v>
      </c>
      <c r="I636" s="419">
        <v>0</v>
      </c>
      <c r="J636" t="s">
        <v>5527</v>
      </c>
      <c r="K636" s="25">
        <v>0</v>
      </c>
      <c r="L636" t="b">
        <f t="shared" si="16"/>
        <v>1</v>
      </c>
    </row>
    <row r="637" spans="1:12" ht="11.25">
      <c r="C637" s="1482" t="s">
        <v>1239</v>
      </c>
      <c r="D637" s="311"/>
      <c r="E637" s="382">
        <v>0</v>
      </c>
      <c r="F637" s="419">
        <v>0</v>
      </c>
      <c r="G637" s="419">
        <v>0</v>
      </c>
      <c r="H637" s="419">
        <v>0</v>
      </c>
      <c r="I637" s="419">
        <v>0</v>
      </c>
      <c r="J637" t="s">
        <v>5528</v>
      </c>
      <c r="K637" s="25">
        <v>0</v>
      </c>
      <c r="L637" t="b">
        <f t="shared" si="16"/>
        <v>1</v>
      </c>
    </row>
    <row r="638" spans="1:12" ht="11.25">
      <c r="C638" s="1482" t="s">
        <v>5324</v>
      </c>
      <c r="D638" s="311"/>
      <c r="E638" s="382">
        <v>0</v>
      </c>
      <c r="F638" s="419">
        <v>0</v>
      </c>
      <c r="G638" s="419">
        <v>0</v>
      </c>
      <c r="H638" s="419">
        <v>0</v>
      </c>
      <c r="I638" s="419">
        <v>0</v>
      </c>
      <c r="J638" t="s">
        <v>5529</v>
      </c>
      <c r="K638" s="25">
        <v>0</v>
      </c>
      <c r="L638" t="b">
        <f t="shared" si="16"/>
        <v>1</v>
      </c>
    </row>
    <row r="639" spans="1:12" ht="11.25">
      <c r="C639" s="1482" t="s">
        <v>2320</v>
      </c>
      <c r="D639" s="311"/>
      <c r="E639" s="382">
        <v>0</v>
      </c>
      <c r="F639" s="419">
        <v>0</v>
      </c>
      <c r="G639" s="419">
        <v>0</v>
      </c>
      <c r="H639" s="419">
        <v>0</v>
      </c>
      <c r="I639" s="419">
        <v>0</v>
      </c>
      <c r="J639" t="s">
        <v>5530</v>
      </c>
      <c r="K639" s="25">
        <v>0</v>
      </c>
      <c r="L639" t="b">
        <f t="shared" si="16"/>
        <v>1</v>
      </c>
    </row>
    <row r="640" spans="1:12" ht="11.25">
      <c r="C640" s="1482" t="s">
        <v>1239</v>
      </c>
      <c r="D640" s="311"/>
      <c r="E640" s="382">
        <v>0</v>
      </c>
      <c r="F640" s="419">
        <v>0</v>
      </c>
      <c r="G640" s="419">
        <v>0</v>
      </c>
      <c r="H640" s="419">
        <v>0</v>
      </c>
      <c r="I640" s="419">
        <v>0</v>
      </c>
      <c r="J640" t="s">
        <v>5531</v>
      </c>
      <c r="K640" s="25">
        <v>0</v>
      </c>
      <c r="L640" t="b">
        <f t="shared" si="16"/>
        <v>1</v>
      </c>
    </row>
    <row r="641" spans="3:12" ht="11.25">
      <c r="C641" s="1482" t="s">
        <v>2022</v>
      </c>
      <c r="D641" s="311"/>
      <c r="E641" s="382">
        <v>0</v>
      </c>
      <c r="F641" s="419">
        <v>0</v>
      </c>
      <c r="G641" s="419">
        <v>0</v>
      </c>
      <c r="H641" s="419">
        <v>0</v>
      </c>
      <c r="I641" s="419">
        <v>0</v>
      </c>
      <c r="J641" t="s">
        <v>5532</v>
      </c>
      <c r="K641" s="25">
        <v>0</v>
      </c>
      <c r="L641" t="b">
        <f t="shared" si="16"/>
        <v>1</v>
      </c>
    </row>
    <row r="642" spans="3:12" ht="11.25">
      <c r="C642" s="1481" t="s">
        <v>3369</v>
      </c>
      <c r="D642" s="311"/>
      <c r="E642" s="1483">
        <v>0</v>
      </c>
      <c r="F642" s="1484">
        <v>0</v>
      </c>
      <c r="G642" s="1484">
        <v>0</v>
      </c>
      <c r="H642" s="1484">
        <v>0</v>
      </c>
      <c r="I642" s="1484">
        <v>0</v>
      </c>
      <c r="J642" t="s">
        <v>5533</v>
      </c>
      <c r="K642" s="25">
        <v>0</v>
      </c>
      <c r="L642" t="b">
        <f t="shared" si="16"/>
        <v>1</v>
      </c>
    </row>
    <row r="643" spans="3:12" ht="11.25">
      <c r="C643" s="1481" t="s">
        <v>5325</v>
      </c>
      <c r="D643" s="311"/>
      <c r="E643" s="1483">
        <v>0</v>
      </c>
      <c r="F643" s="1484">
        <v>0</v>
      </c>
      <c r="G643" s="1484">
        <v>0</v>
      </c>
      <c r="H643" s="1484">
        <v>0</v>
      </c>
      <c r="I643" s="1484">
        <v>0</v>
      </c>
      <c r="J643" t="s">
        <v>5534</v>
      </c>
      <c r="K643" s="25">
        <v>0</v>
      </c>
      <c r="L643" t="b">
        <f t="shared" si="16"/>
        <v>1</v>
      </c>
    </row>
    <row r="644" spans="3:12" ht="11.25">
      <c r="C644" s="134" t="s">
        <v>5326</v>
      </c>
      <c r="D644" s="311"/>
      <c r="E644" s="382">
        <v>0</v>
      </c>
      <c r="F644" s="419">
        <v>0</v>
      </c>
      <c r="G644" s="419">
        <v>0</v>
      </c>
      <c r="H644" s="419">
        <v>0</v>
      </c>
      <c r="I644" s="419">
        <v>0</v>
      </c>
      <c r="J644" t="s">
        <v>5535</v>
      </c>
      <c r="K644" s="25">
        <v>0</v>
      </c>
      <c r="L644" t="b">
        <f t="shared" si="16"/>
        <v>1</v>
      </c>
    </row>
    <row r="645" spans="3:12" ht="11.25">
      <c r="C645" s="1482" t="s">
        <v>5327</v>
      </c>
      <c r="D645" s="311"/>
      <c r="E645" s="1483">
        <v>0</v>
      </c>
      <c r="F645" s="1484">
        <v>0</v>
      </c>
      <c r="G645" s="1484">
        <v>0</v>
      </c>
      <c r="H645" s="1484">
        <v>0</v>
      </c>
      <c r="I645" s="1484">
        <v>0</v>
      </c>
      <c r="J645" t="s">
        <v>5536</v>
      </c>
      <c r="K645" s="25">
        <v>0</v>
      </c>
      <c r="L645" t="b">
        <f t="shared" si="16"/>
        <v>1</v>
      </c>
    </row>
    <row r="646" spans="3:12" ht="11.25">
      <c r="C646" s="1482" t="s">
        <v>5328</v>
      </c>
      <c r="D646" s="311"/>
      <c r="E646" s="382">
        <v>0</v>
      </c>
      <c r="F646" s="419">
        <v>0</v>
      </c>
      <c r="G646" s="419">
        <v>0</v>
      </c>
      <c r="H646" s="419">
        <v>0</v>
      </c>
      <c r="I646" s="419">
        <v>0</v>
      </c>
      <c r="J646" t="s">
        <v>5537</v>
      </c>
      <c r="K646" s="25">
        <v>0</v>
      </c>
      <c r="L646" t="b">
        <f t="shared" si="16"/>
        <v>1</v>
      </c>
    </row>
    <row r="647" spans="3:12" ht="11.25">
      <c r="C647" s="134" t="s">
        <v>2320</v>
      </c>
      <c r="D647" s="311"/>
      <c r="E647" s="382">
        <v>0</v>
      </c>
      <c r="F647" s="419">
        <v>0</v>
      </c>
      <c r="G647" s="419">
        <v>0</v>
      </c>
      <c r="H647" s="419">
        <v>0</v>
      </c>
      <c r="I647" s="419">
        <v>0</v>
      </c>
      <c r="J647" t="s">
        <v>5538</v>
      </c>
      <c r="K647" s="25">
        <v>0</v>
      </c>
      <c r="L647" t="b">
        <f t="shared" si="16"/>
        <v>1</v>
      </c>
    </row>
    <row r="648" spans="3:12" ht="11.25">
      <c r="C648" s="134" t="s">
        <v>1239</v>
      </c>
      <c r="D648" s="311"/>
      <c r="E648" s="382">
        <v>0</v>
      </c>
      <c r="F648" s="419">
        <v>0</v>
      </c>
      <c r="G648" s="419">
        <v>0</v>
      </c>
      <c r="H648" s="419">
        <v>0</v>
      </c>
      <c r="I648" s="419">
        <v>0</v>
      </c>
      <c r="J648" t="s">
        <v>5539</v>
      </c>
      <c r="K648" s="25">
        <v>0</v>
      </c>
      <c r="L648" t="b">
        <f t="shared" si="16"/>
        <v>1</v>
      </c>
    </row>
    <row r="649" spans="3:12" ht="11.25">
      <c r="C649" s="134" t="s">
        <v>2022</v>
      </c>
      <c r="D649" s="311"/>
      <c r="E649" s="382">
        <v>0</v>
      </c>
      <c r="F649" s="419">
        <v>0</v>
      </c>
      <c r="G649" s="419">
        <v>0</v>
      </c>
      <c r="H649" s="419">
        <v>0</v>
      </c>
      <c r="I649" s="419">
        <v>0</v>
      </c>
      <c r="J649" t="s">
        <v>5540</v>
      </c>
      <c r="K649" s="25">
        <v>0</v>
      </c>
      <c r="L649" t="b">
        <f t="shared" si="16"/>
        <v>1</v>
      </c>
    </row>
    <row r="650" spans="3:12" ht="11.25">
      <c r="C650" s="1482" t="s">
        <v>5355</v>
      </c>
      <c r="D650" s="311"/>
      <c r="E650" s="382">
        <v>0</v>
      </c>
      <c r="F650" s="419">
        <v>0</v>
      </c>
      <c r="G650" s="419">
        <v>0</v>
      </c>
      <c r="H650" s="419">
        <v>0</v>
      </c>
      <c r="I650" s="419">
        <v>0</v>
      </c>
      <c r="J650" t="s">
        <v>5541</v>
      </c>
      <c r="K650" s="25">
        <v>0</v>
      </c>
      <c r="L650" t="b">
        <f t="shared" si="16"/>
        <v>1</v>
      </c>
    </row>
    <row r="651" spans="3:12" ht="11.25">
      <c r="C651" s="1482" t="s">
        <v>5356</v>
      </c>
      <c r="D651" s="311"/>
      <c r="E651" s="382">
        <v>0</v>
      </c>
      <c r="F651" s="419">
        <v>0</v>
      </c>
      <c r="G651" s="419">
        <v>0</v>
      </c>
      <c r="H651" s="419">
        <v>0</v>
      </c>
      <c r="I651" s="419">
        <v>0</v>
      </c>
      <c r="J651" t="s">
        <v>5542</v>
      </c>
      <c r="K651" s="25">
        <v>0</v>
      </c>
      <c r="L651" t="b">
        <f t="shared" si="16"/>
        <v>1</v>
      </c>
    </row>
    <row r="652" spans="3:12" ht="11.25">
      <c r="C652" s="1482" t="s">
        <v>4705</v>
      </c>
      <c r="D652" s="311"/>
      <c r="E652" s="382">
        <v>0</v>
      </c>
      <c r="F652" s="419">
        <v>0</v>
      </c>
      <c r="G652" s="419">
        <v>0</v>
      </c>
      <c r="H652" s="419">
        <v>0</v>
      </c>
      <c r="I652" s="419">
        <v>0</v>
      </c>
      <c r="J652" t="s">
        <v>5543</v>
      </c>
      <c r="K652" s="25">
        <v>0</v>
      </c>
      <c r="L652" t="b">
        <f t="shared" si="16"/>
        <v>1</v>
      </c>
    </row>
    <row r="653" spans="3:12" ht="11.25">
      <c r="C653" s="1482" t="s">
        <v>5178</v>
      </c>
      <c r="D653" s="311"/>
      <c r="E653" s="382">
        <v>0</v>
      </c>
      <c r="F653" s="419">
        <v>0</v>
      </c>
      <c r="G653" s="419">
        <v>0</v>
      </c>
      <c r="H653" s="419">
        <v>0</v>
      </c>
      <c r="I653" s="419">
        <v>0</v>
      </c>
      <c r="J653" t="s">
        <v>5544</v>
      </c>
      <c r="K653" s="25">
        <v>0</v>
      </c>
      <c r="L653" t="b">
        <f t="shared" si="16"/>
        <v>1</v>
      </c>
    </row>
    <row r="654" spans="3:12" ht="11.25">
      <c r="C654" s="1482" t="s">
        <v>5357</v>
      </c>
      <c r="D654" s="311"/>
      <c r="E654" s="382">
        <v>0</v>
      </c>
      <c r="F654" s="419">
        <v>0</v>
      </c>
      <c r="G654" s="419">
        <v>0</v>
      </c>
      <c r="H654" s="419">
        <v>0</v>
      </c>
      <c r="I654" s="419">
        <v>0</v>
      </c>
      <c r="J654" t="s">
        <v>5545</v>
      </c>
      <c r="K654" s="25">
        <v>0</v>
      </c>
      <c r="L654" t="b">
        <f t="shared" ref="L654" si="17">MAX(E654:I654)=MIN(E654:I654)</f>
        <v>1</v>
      </c>
    </row>
    <row r="655" spans="3:12" ht="11.25">
      <c r="D655" s="311"/>
      <c r="E655" s="109"/>
      <c r="F655" s="26"/>
      <c r="G655" s="26"/>
      <c r="H655" s="26"/>
      <c r="I655" s="26"/>
      <c r="K655" s="25"/>
      <c r="L655" t="b">
        <f t="shared" si="15"/>
        <v>1</v>
      </c>
    </row>
    <row r="656" spans="3:12" ht="11.25">
      <c r="E656" s="109"/>
      <c r="F656" s="26"/>
      <c r="G656" s="26"/>
      <c r="H656" s="26"/>
      <c r="I656" s="26"/>
      <c r="K656" s="25"/>
      <c r="L656" t="b">
        <f t="shared" si="15"/>
        <v>1</v>
      </c>
    </row>
    <row r="657" spans="5:12" ht="11.25">
      <c r="E657" s="109"/>
      <c r="F657" s="26"/>
      <c r="G657" s="26"/>
      <c r="H657" s="26"/>
      <c r="I657" s="26"/>
      <c r="K657" s="25"/>
      <c r="L657" t="b">
        <f t="shared" si="15"/>
        <v>1</v>
      </c>
    </row>
    <row r="658" spans="5:12" ht="11.25">
      <c r="E658" s="109"/>
      <c r="F658" s="26"/>
      <c r="G658" s="26"/>
      <c r="H658" s="26"/>
      <c r="I658" s="26"/>
      <c r="K658" s="25"/>
      <c r="L658" t="b">
        <f t="shared" si="15"/>
        <v>1</v>
      </c>
    </row>
    <row r="659" spans="5:12" ht="11.25">
      <c r="E659" s="109"/>
      <c r="F659" s="26"/>
      <c r="G659" s="26"/>
      <c r="H659" s="26"/>
      <c r="I659" s="26"/>
      <c r="K659" s="25"/>
      <c r="L659" t="b">
        <f t="shared" si="15"/>
        <v>1</v>
      </c>
    </row>
    <row r="660" spans="5:12" ht="11.25">
      <c r="E660" s="109"/>
      <c r="F660" s="26"/>
      <c r="G660" s="26"/>
      <c r="H660" s="26"/>
      <c r="I660" s="26"/>
      <c r="K660" s="25"/>
      <c r="L660" t="b">
        <f t="shared" ref="L660" si="18">MAX(E660:I660)=MIN(E660:I660)</f>
        <v>1</v>
      </c>
    </row>
  </sheetData>
  <phoneticPr fontId="0" type="noConversion"/>
  <conditionalFormatting sqref="L4:L224 L228:L448 L453:L596 L655:L660">
    <cfRule type="cellIs" dxfId="110" priority="7" stopIfTrue="1" operator="notEqual">
      <formula>TRUE</formula>
    </cfRule>
  </conditionalFormatting>
  <conditionalFormatting sqref="L449:L452">
    <cfRule type="cellIs" dxfId="109" priority="5" stopIfTrue="1" operator="notEqual">
      <formula>TRUE</formula>
    </cfRule>
  </conditionalFormatting>
  <conditionalFormatting sqref="L225:L227">
    <cfRule type="cellIs" dxfId="108" priority="3" stopIfTrue="1" operator="notEqual">
      <formula>TRUE</formula>
    </cfRule>
  </conditionalFormatting>
  <conditionalFormatting sqref="L597:L625">
    <cfRule type="cellIs" dxfId="107" priority="2" stopIfTrue="1" operator="notEqual">
      <formula>TRUE</formula>
    </cfRule>
  </conditionalFormatting>
  <conditionalFormatting sqref="L626:L654">
    <cfRule type="cellIs" dxfId="106" priority="1" stopIfTrue="1" operator="notEqual">
      <formula>TRUE</formula>
    </cfRule>
  </conditionalFormatting>
  <pageMargins left="0.5" right="0.5" top="0.5" bottom="0.5"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bal">
    <tabColor rgb="FF0AAE02"/>
  </sheetPr>
  <dimension ref="A1:H660"/>
  <sheetViews>
    <sheetView topLeftCell="A150" workbookViewId="0">
      <selection activeCell="E175" sqref="E175"/>
    </sheetView>
  </sheetViews>
  <sheetFormatPr defaultColWidth="18.83203125" defaultRowHeight="12.75" customHeight="1"/>
  <cols>
    <col min="1" max="1" width="2.83203125" customWidth="1"/>
    <col min="2" max="2" width="10.83203125" customWidth="1"/>
    <col min="3" max="3" width="24.5" customWidth="1"/>
    <col min="4" max="4" width="5.6640625" customWidth="1"/>
    <col min="5" max="5" width="14.83203125" customWidth="1"/>
    <col min="6" max="6" width="37.5" customWidth="1"/>
    <col min="7" max="8" width="9.33203125" customWidth="1"/>
  </cols>
  <sheetData>
    <row r="1" spans="1:8" s="93" customFormat="1" ht="15.75">
      <c r="A1" s="91" t="s">
        <v>3904</v>
      </c>
      <c r="E1" s="91" t="s">
        <v>470</v>
      </c>
    </row>
    <row r="2" spans="1:8" ht="11.25">
      <c r="A2" s="2" t="s">
        <v>475</v>
      </c>
      <c r="E2">
        <v>1</v>
      </c>
      <c r="F2" t="s">
        <v>308</v>
      </c>
    </row>
    <row r="3" spans="1:8" ht="11.25">
      <c r="A3" s="2" t="s">
        <v>1778</v>
      </c>
      <c r="E3" t="s">
        <v>3675</v>
      </c>
    </row>
    <row r="4" spans="1:8" ht="11.25">
      <c r="B4" t="s">
        <v>1776</v>
      </c>
      <c r="E4" s="105">
        <f>finCashClosingValue</f>
        <v>36818826.176124021</v>
      </c>
      <c r="F4" t="s">
        <v>2804</v>
      </c>
      <c r="H4" t="b">
        <f>MAX(E4:E4)=MIN(E4:E4)</f>
        <v>1</v>
      </c>
    </row>
    <row r="5" spans="1:8" ht="11.25">
      <c r="B5" t="s">
        <v>2813</v>
      </c>
      <c r="E5" s="105">
        <f>(finPNLProd1Rev+finPNLBusBTotalRev)*(paramBusACreditDays+paramInternalCreditDays)/paramDaysPerYear</f>
        <v>48600521.605287351</v>
      </c>
      <c r="F5" t="s">
        <v>2754</v>
      </c>
      <c r="H5" t="b">
        <f>MAX(E5:E5)=MIN(E5:E5)</f>
        <v>1</v>
      </c>
    </row>
    <row r="6" spans="1:8" ht="11.25">
      <c r="B6" s="2" t="s">
        <v>4441</v>
      </c>
      <c r="E6" s="106">
        <f>SUM(E4:E5)</f>
        <v>85419347.78141138</v>
      </c>
      <c r="H6" t="b">
        <f>MAX(E6:E6)=MIN(E6:E6)</f>
        <v>1</v>
      </c>
    </row>
    <row r="7" spans="1:8" s="26" customFormat="1" ht="11.25">
      <c r="D7"/>
      <c r="E7" s="105"/>
      <c r="G7"/>
      <c r="H7" s="26" t="b">
        <f>MAX(E7:E7)=MIN(E7:E7)</f>
        <v>1</v>
      </c>
    </row>
    <row r="8" spans="1:8" ht="11.25">
      <c r="A8" s="2" t="s">
        <v>1777</v>
      </c>
      <c r="E8" s="106">
        <f>SUM(E6)</f>
        <v>85419347.78141138</v>
      </c>
      <c r="H8" s="26" t="b">
        <f>MAX(E8:E8)=MIN(E8:E8)</f>
        <v>1</v>
      </c>
    </row>
    <row r="9" spans="1:8" ht="11.25">
      <c r="A9" s="2" t="s">
        <v>628</v>
      </c>
      <c r="E9" s="105"/>
      <c r="H9" s="26" t="b">
        <f>MAX(E9:E9)=MIN(E9:E9)</f>
        <v>1</v>
      </c>
    </row>
    <row r="10" spans="1:8" ht="11.25">
      <c r="B10" t="str">
        <f>"Total " &amp; DataNamePlant1</f>
        <v>Total Equipment</v>
      </c>
      <c r="E10" s="105">
        <f>obalPlant1Value-finPNLTotalDeprExp+paramSpecProgramTotalEq</f>
        <v>74272974.953778863</v>
      </c>
      <c r="F10" t="s">
        <v>3788</v>
      </c>
      <c r="H10" s="26" t="b">
        <f>MAX(E10:E10)=MIN(E10:E10)</f>
        <v>1</v>
      </c>
    </row>
    <row r="11" spans="1:8" ht="11.25">
      <c r="A11" s="2" t="s">
        <v>629</v>
      </c>
      <c r="E11" s="106">
        <f>SUM(E10:E10)</f>
        <v>74272974.953778863</v>
      </c>
      <c r="F11" t="s">
        <v>2424</v>
      </c>
      <c r="H11" s="26" t="b">
        <f>MAX(E11:E11)=MIN(E11:E11)</f>
        <v>1</v>
      </c>
    </row>
    <row r="12" spans="1:8" ht="11.25">
      <c r="A12" s="2"/>
      <c r="E12" s="106"/>
      <c r="H12" s="26" t="b">
        <f>MAX(E12:E12)=MIN(E12:E12)</f>
        <v>1</v>
      </c>
    </row>
    <row r="13" spans="1:8" ht="11.25">
      <c r="A13" s="2"/>
      <c r="B13" t="s">
        <v>4401</v>
      </c>
      <c r="E13" s="106">
        <f>obalOtherAsstesValue+paramSpecProgramOtherFixedAssets</f>
        <v>70575508.038221121</v>
      </c>
      <c r="F13" t="s">
        <v>2613</v>
      </c>
      <c r="H13" s="26" t="b">
        <f>MAX(E13:E13)=MIN(E13:E13)</f>
        <v>1</v>
      </c>
    </row>
    <row r="14" spans="1:8" ht="11.25">
      <c r="A14" s="2" t="s">
        <v>4402</v>
      </c>
      <c r="E14" s="106">
        <f>E13</f>
        <v>70575508.038221121</v>
      </c>
      <c r="H14" s="26" t="b">
        <f>MAX(E14:E14)=MIN(E14:E14)</f>
        <v>1</v>
      </c>
    </row>
    <row r="15" spans="1:8" ht="11.25">
      <c r="A15" s="2"/>
      <c r="E15" s="106"/>
      <c r="H15" s="26" t="b">
        <f>MAX(E15:E15)=MIN(E15:E15)</f>
        <v>1</v>
      </c>
    </row>
    <row r="16" spans="1:8" ht="11.25">
      <c r="A16" s="2" t="s">
        <v>1779</v>
      </c>
      <c r="E16" s="106">
        <f>E11+E8+E14</f>
        <v>230267830.77341136</v>
      </c>
      <c r="F16" t="s">
        <v>3270</v>
      </c>
      <c r="H16" s="26" t="b">
        <f>MAX(E16:E16)=MIN(E16:E16)</f>
        <v>1</v>
      </c>
    </row>
    <row r="17" spans="1:8" ht="11.25">
      <c r="E17" s="105"/>
      <c r="H17" s="26" t="b">
        <f>MAX(E17:E17)=MIN(E17:E17)</f>
        <v>1</v>
      </c>
    </row>
    <row r="18" spans="1:8" ht="11.25">
      <c r="A18" s="2" t="s">
        <v>1780</v>
      </c>
      <c r="E18" s="105"/>
      <c r="H18" t="b">
        <f>MAX(E18:E18)=MIN(E18:E18)</f>
        <v>1</v>
      </c>
    </row>
    <row r="19" spans="1:8" ht="11.25">
      <c r="A19" s="2" t="s">
        <v>1781</v>
      </c>
      <c r="E19" s="105"/>
      <c r="H19" t="b">
        <f>MAX(E19:E19)=MIN(E19:E19)</f>
        <v>1</v>
      </c>
    </row>
    <row r="20" spans="1:8" ht="11.25">
      <c r="B20" s="3" t="s">
        <v>1782</v>
      </c>
      <c r="E20" s="105">
        <f>finCashExpense*paramAPDays/paramDaysPerYear</f>
        <v>29107878.943431728</v>
      </c>
      <c r="F20" t="s">
        <v>3789</v>
      </c>
      <c r="H20" t="b">
        <f>MAX(E20:E20)=MIN(E20:E20)</f>
        <v>1</v>
      </c>
    </row>
    <row r="21" spans="1:8" ht="11.25">
      <c r="B21" s="3" t="s">
        <v>1783</v>
      </c>
      <c r="E21" s="107">
        <f>obalOtherCurrLiabValue*(1+paramOtherCurrLiabGrowth)</f>
        <v>137651886.67518741</v>
      </c>
      <c r="F21" t="s">
        <v>3790</v>
      </c>
      <c r="H21" t="b">
        <f>MAX(E21:E21)=MIN(E21:E21)</f>
        <v>1</v>
      </c>
    </row>
    <row r="22" spans="1:8" ht="11.25">
      <c r="B22" s="3" t="s">
        <v>1784</v>
      </c>
      <c r="E22" s="105">
        <f>finCashFlowSpecLoansChange+obalSpecLoansValue</f>
        <v>0</v>
      </c>
      <c r="F22" t="s">
        <v>112</v>
      </c>
      <c r="H22" t="b">
        <f>MAX(E22:E22)=MIN(E22:E22)</f>
        <v>1</v>
      </c>
    </row>
    <row r="23" spans="1:8" s="26" customFormat="1" ht="11.25">
      <c r="D23"/>
      <c r="E23" s="105"/>
      <c r="G23"/>
      <c r="H23" t="b">
        <f>MAX(E23:E23)=MIN(E23:E23)</f>
        <v>1</v>
      </c>
    </row>
    <row r="24" spans="1:8" ht="11.25">
      <c r="A24" s="2" t="s">
        <v>1272</v>
      </c>
      <c r="D24" s="14"/>
      <c r="E24" s="106">
        <f>SUM(E20:E23)</f>
        <v>166759765.61861914</v>
      </c>
      <c r="H24" t="b">
        <f>MAX(E24:E24)=MIN(E24:E24)</f>
        <v>1</v>
      </c>
    </row>
    <row r="25" spans="1:8" ht="11.25">
      <c r="B25" s="3" t="s">
        <v>1273</v>
      </c>
      <c r="E25" s="105">
        <f>obalLTDebtValue</f>
        <v>14464321.654698594</v>
      </c>
      <c r="F25" t="s">
        <v>2157</v>
      </c>
      <c r="H25" t="b">
        <f>MAX(E25:E25)=MIN(E25:E25)</f>
        <v>1</v>
      </c>
    </row>
    <row r="26" spans="1:8" s="26" customFormat="1" ht="11.25">
      <c r="B26" s="26" t="s">
        <v>2611</v>
      </c>
      <c r="D26"/>
      <c r="E26" s="105">
        <f>obalOtherLTLiab</f>
        <v>28928643.309397183</v>
      </c>
      <c r="F26" t="s">
        <v>3128</v>
      </c>
      <c r="G26"/>
      <c r="H26" t="b">
        <f>MAX(E26:E26)=MIN(E26:E26)</f>
        <v>1</v>
      </c>
    </row>
    <row r="27" spans="1:8" ht="11.25">
      <c r="A27" s="2" t="s">
        <v>1274</v>
      </c>
      <c r="D27" s="14"/>
      <c r="E27" s="106">
        <f>SUM(E24:E26)</f>
        <v>210152730.58271492</v>
      </c>
      <c r="H27" t="b">
        <f>MAX(E27:E27)=MIN(E27:E27)</f>
        <v>1</v>
      </c>
    </row>
    <row r="28" spans="1:8" ht="11.25">
      <c r="E28" s="105"/>
      <c r="H28" t="b">
        <f>MAX(E28:E28)=MIN(E28:E28)</f>
        <v>1</v>
      </c>
    </row>
    <row r="29" spans="1:8" ht="11.25">
      <c r="A29" s="2" t="s">
        <v>1275</v>
      </c>
      <c r="E29" s="105"/>
      <c r="H29" t="b">
        <f>MAX(E29:E29)=MIN(E29:E29)</f>
        <v>1</v>
      </c>
    </row>
    <row r="30" spans="1:8" ht="11.25">
      <c r="B30" s="3" t="s">
        <v>2711</v>
      </c>
      <c r="E30" s="105">
        <f>obalCStockValue+finCommonStockChange</f>
        <v>15249117.670937739</v>
      </c>
      <c r="F30" t="s">
        <v>1210</v>
      </c>
      <c r="H30" t="b">
        <f>MAX(E30:E30)=MIN(E30:E30)</f>
        <v>1</v>
      </c>
    </row>
    <row r="31" spans="1:8" ht="11.25">
      <c r="B31" s="3" t="s">
        <v>2712</v>
      </c>
      <c r="D31" s="324"/>
      <c r="E31" s="105">
        <f>obalRetEarnValue+obalNetEarnValue</f>
        <v>27768689.287789788</v>
      </c>
      <c r="F31" t="s">
        <v>2062</v>
      </c>
      <c r="H31" t="b">
        <f>MAX(E31:E31)=MIN(E31:E31)</f>
        <v>1</v>
      </c>
    </row>
    <row r="32" spans="1:8" ht="11.25">
      <c r="B32" s="3" t="s">
        <v>2713</v>
      </c>
      <c r="E32" s="105">
        <f>finPNLNetIncome</f>
        <v>-22902706.768031094</v>
      </c>
      <c r="F32" t="s">
        <v>1209</v>
      </c>
      <c r="H32" t="b">
        <f>MAX(E32:E32)=MIN(E32:E32)</f>
        <v>1</v>
      </c>
    </row>
    <row r="33" spans="1:8" s="26" customFormat="1" ht="11.25">
      <c r="D33"/>
      <c r="E33" s="105"/>
      <c r="G33"/>
      <c r="H33" t="b">
        <f>MAX(E33:E33)=MIN(E33:E33)</f>
        <v>1</v>
      </c>
    </row>
    <row r="34" spans="1:8" ht="11.25">
      <c r="A34" s="2" t="s">
        <v>2714</v>
      </c>
      <c r="D34" s="14"/>
      <c r="E34" s="106">
        <f>SUM(E30:E33)</f>
        <v>20115100.190696429</v>
      </c>
      <c r="H34" t="b">
        <f>MAX(E34:E34)=MIN(E34:E34)</f>
        <v>1</v>
      </c>
    </row>
    <row r="35" spans="1:8" ht="11.25">
      <c r="A35" s="2" t="s">
        <v>2715</v>
      </c>
      <c r="E35" s="106">
        <f>SUM(E34,E27)</f>
        <v>230267830.77341133</v>
      </c>
      <c r="H35" t="b">
        <f>MAX(E35:E35)=MIN(E35:E35)</f>
        <v>1</v>
      </c>
    </row>
    <row r="36" spans="1:8" ht="11.25">
      <c r="A36" s="24" t="s">
        <v>2294</v>
      </c>
      <c r="E36" s="108" t="b">
        <f>E35=E16</f>
        <v>1</v>
      </c>
      <c r="H36" t="b">
        <f>MAX(E36:E36)=MIN(E36:E36)</f>
        <v>1</v>
      </c>
    </row>
    <row r="37" spans="1:8" ht="11.25">
      <c r="A37" s="2"/>
      <c r="D37" s="14"/>
      <c r="E37" s="106"/>
      <c r="H37" t="b">
        <f>MAX(E37:E37)=MIN(E37:E37)</f>
        <v>1</v>
      </c>
    </row>
    <row r="38" spans="1:8" ht="11.25">
      <c r="A38" s="2" t="s">
        <v>4558</v>
      </c>
      <c r="D38" s="14"/>
      <c r="E38" s="106">
        <f>finPNLTotalRev</f>
        <v>200512505.05278993</v>
      </c>
      <c r="F38" t="s">
        <v>4561</v>
      </c>
      <c r="H38" t="b">
        <f>MAX(E38:E38)=MIN(E38:E38)</f>
        <v>1</v>
      </c>
    </row>
    <row r="39" spans="1:8" ht="11.25">
      <c r="A39" s="2"/>
      <c r="B39" t="s">
        <v>635</v>
      </c>
      <c r="D39" s="14"/>
      <c r="E39" s="106">
        <f>finPNLBusBTotalRev</f>
        <v>117600000</v>
      </c>
      <c r="F39" t="s">
        <v>39</v>
      </c>
      <c r="H39" t="b">
        <f>MAX(E39:E39)=MIN(E39:E39)</f>
        <v>1</v>
      </c>
    </row>
    <row r="40" spans="1:8" ht="11.25">
      <c r="A40" s="2"/>
      <c r="B40" t="s">
        <v>3293</v>
      </c>
      <c r="D40" s="14"/>
      <c r="E40" s="106">
        <f>finPNLProd1Rev</f>
        <v>200512505.05278993</v>
      </c>
      <c r="F40" t="s">
        <v>40</v>
      </c>
      <c r="H40" t="b">
        <f>MAX(E40:E40)=MIN(E40:E40)</f>
        <v>1</v>
      </c>
    </row>
    <row r="41" spans="1:8" ht="11.25">
      <c r="A41" s="2" t="s">
        <v>983</v>
      </c>
      <c r="D41" s="14"/>
      <c r="E41" s="106">
        <f>(cbalBusAV1HrsSold*cbalBusAV1PricePerHr)+(cbalBusAV2HrsSold*cbalBusAV2PricePerHr)+(cbalBusAV3HrsSold*cbalBusAV3PricePerHr)+paramV1BaseRevenue+paramV2BaseRevenue+paramV3BaseRevenue</f>
        <v>557461193.15301216</v>
      </c>
      <c r="F41" t="s">
        <v>2057</v>
      </c>
      <c r="H41" t="b">
        <f>MAX(E41:E41)=MIN(E41:E41)</f>
        <v>1</v>
      </c>
    </row>
    <row r="42" spans="1:8" ht="11.25">
      <c r="A42" s="2" t="s">
        <v>3519</v>
      </c>
      <c r="D42" s="14"/>
      <c r="E42" s="106">
        <f>finPNLTotalOpIncome</f>
        <v>-36001529.698513702</v>
      </c>
      <c r="F42" t="s">
        <v>3521</v>
      </c>
      <c r="H42" t="b">
        <f>MAX(E42:E42)=MIN(E42:E42)</f>
        <v>1</v>
      </c>
    </row>
    <row r="43" spans="1:8" ht="11.25">
      <c r="A43" s="2" t="s">
        <v>2179</v>
      </c>
      <c r="D43" s="14"/>
      <c r="E43" s="536">
        <f>E42/E38</f>
        <v>-0.17954755335102615</v>
      </c>
      <c r="F43" t="s">
        <v>2180</v>
      </c>
      <c r="H43" t="b">
        <f>MAX(E43:E43)=MIN(E43:E43)</f>
        <v>1</v>
      </c>
    </row>
    <row r="44" spans="1:8" ht="11.25">
      <c r="B44" t="s">
        <v>2182</v>
      </c>
      <c r="E44" s="281">
        <f>IF(xxSim0Tool1,$E43,AVERAGE($E43,#REF!,#REF!,#REF!,#REF!))</f>
        <v>-0.17954755335102615</v>
      </c>
      <c r="F44" s="700" t="s">
        <v>6203</v>
      </c>
      <c r="H44" t="b">
        <f>MAX(E44:E44)=MIN(E44:E44)</f>
        <v>1</v>
      </c>
    </row>
    <row r="45" spans="1:8" ht="11.25">
      <c r="A45" s="2" t="s">
        <v>4448</v>
      </c>
      <c r="E45" s="109"/>
      <c r="H45" t="b">
        <f>MAX(E45:E45)=MIN(E45:E45)</f>
        <v>1</v>
      </c>
    </row>
    <row r="46" spans="1:8" ht="11.25">
      <c r="A46" s="134" t="s">
        <v>2321</v>
      </c>
      <c r="E46" s="1013">
        <f ca="1">capESATEnd</f>
        <v>0.6174379006842422</v>
      </c>
      <c r="F46" t="s">
        <v>2723</v>
      </c>
      <c r="H46" t="b">
        <f ca="1">MAX(E46:E46)=MIN(E46:E46)</f>
        <v>1</v>
      </c>
    </row>
    <row r="47" spans="1:8" ht="11.25">
      <c r="A47" s="134" t="s">
        <v>291</v>
      </c>
      <c r="E47" s="540">
        <f ca="1">IF(xxYear=0,0,finBalCardScoreThisYr+obalCumBalCardPoints)</f>
        <v>1600.0000000003029</v>
      </c>
      <c r="F47" t="s">
        <v>292</v>
      </c>
      <c r="H47" t="b">
        <f ca="1">MAX(E47:E47)=MIN(E47:E47)</f>
        <v>1</v>
      </c>
    </row>
    <row r="48" spans="1:8" ht="11.25">
      <c r="A48" s="134" t="s">
        <v>4756</v>
      </c>
      <c r="E48" s="1013">
        <f ca="1">capCSATEnd</f>
        <v>0.67005549739544945</v>
      </c>
      <c r="F48" t="s">
        <v>4758</v>
      </c>
      <c r="H48" t="b">
        <f ca="1">MAX(E48:E48)=MIN(E48:E48)</f>
        <v>1</v>
      </c>
    </row>
    <row r="49" spans="1:8" ht="11.25">
      <c r="A49" s="134"/>
      <c r="E49" s="1013"/>
      <c r="H49" t="b">
        <f>MAX(E49:E49)=MIN(E49:E49)</f>
        <v>1</v>
      </c>
    </row>
    <row r="50" spans="1:8" ht="11.25">
      <c r="A50" s="86" t="s">
        <v>4726</v>
      </c>
      <c r="E50" s="1007"/>
      <c r="H50" t="b">
        <f>MAX(E50:E50)=MIN(E50:E50)</f>
        <v>1</v>
      </c>
    </row>
    <row r="51" spans="1:8" ht="11.25">
      <c r="A51" s="134"/>
      <c r="B51" t="s">
        <v>1340</v>
      </c>
      <c r="E51" s="1007">
        <f>finBookings</f>
        <v>441261193.15301216</v>
      </c>
      <c r="F51" t="s">
        <v>4729</v>
      </c>
      <c r="H51" t="b">
        <f>MAX(E51:E51)=MIN(E51:E51)</f>
        <v>1</v>
      </c>
    </row>
    <row r="52" spans="1:8" ht="11.25">
      <c r="A52" s="134"/>
      <c r="B52" t="s">
        <v>4798</v>
      </c>
      <c r="E52" s="1007">
        <f>finPNLProd1V1Bookings</f>
        <v>218723281.55856597</v>
      </c>
      <c r="F52" t="s">
        <v>4804</v>
      </c>
      <c r="H52" t="b">
        <f>MAX(E52:E52)=MIN(E52:E52)</f>
        <v>1</v>
      </c>
    </row>
    <row r="53" spans="1:8" ht="11.25">
      <c r="A53" s="134"/>
      <c r="B53" t="s">
        <v>4799</v>
      </c>
      <c r="E53" s="1007">
        <f>finPNLProd1V2Bookings</f>
        <v>148311154.92392948</v>
      </c>
      <c r="F53" t="s">
        <v>4805</v>
      </c>
      <c r="H53" t="b">
        <f>MAX(E53:E53)=MIN(E53:E53)</f>
        <v>1</v>
      </c>
    </row>
    <row r="54" spans="1:8" ht="11.25">
      <c r="A54" s="134"/>
      <c r="B54" t="s">
        <v>4800</v>
      </c>
      <c r="E54" s="1007">
        <f>finPNLProd1V3Bookings</f>
        <v>74226756.670516759</v>
      </c>
      <c r="F54" t="s">
        <v>4806</v>
      </c>
      <c r="H54" t="b">
        <f>MAX(E54:E54)=MIN(E54:E54)</f>
        <v>1</v>
      </c>
    </row>
    <row r="55" spans="1:8" ht="11.25">
      <c r="A55" s="134"/>
      <c r="E55" s="540"/>
      <c r="H55" t="b">
        <f>MAX(E55:E55)=MIN(E55:E55)</f>
        <v>1</v>
      </c>
    </row>
    <row r="56" spans="1:8" ht="11.25">
      <c r="A56" s="2" t="s">
        <v>1013</v>
      </c>
      <c r="E56" s="516"/>
      <c r="H56" t="b">
        <f>MAX(E56:E56)=MIN(E56:E56)</f>
        <v>1</v>
      </c>
    </row>
    <row r="57" spans="1:8" ht="11.25">
      <c r="B57" s="700" t="s">
        <v>5169</v>
      </c>
      <c r="E57" s="516"/>
      <c r="F57" s="2"/>
      <c r="H57" t="b">
        <f>MAX(E57:E57)=MIN(E57:E57)</f>
        <v>1</v>
      </c>
    </row>
    <row r="58" spans="1:8" ht="11.25">
      <c r="C58" t="s">
        <v>4253</v>
      </c>
      <c r="E58" s="516">
        <f>IF(xxSim0Tool1=1,0,MMProd5Seg1Units)</f>
        <v>0</v>
      </c>
      <c r="F58" t="s">
        <v>4426</v>
      </c>
      <c r="H58" t="b">
        <f>MAX(E58:E58)=MIN(E58:E58)</f>
        <v>1</v>
      </c>
    </row>
    <row r="59" spans="1:8" ht="11.25">
      <c r="C59" t="s">
        <v>1593</v>
      </c>
      <c r="E59" s="516">
        <f>IF(OR(xxSim0Tool1=1,decEmp1BusAHire+decEmp1BusBHire=0),0,MIN(decEmp1BusBHire+0,MMProd5Seg1Units*(decEmp1BusBHire/(decEmp1BusAHire+decEmp1BusBHire))))</f>
        <v>0</v>
      </c>
      <c r="F59" t="s">
        <v>4427</v>
      </c>
      <c r="H59" t="b">
        <f>MAX(E59:E59)=MIN(E59:E59)</f>
        <v>1</v>
      </c>
    </row>
    <row r="60" spans="1:8" ht="11.25">
      <c r="B60" s="700" t="s">
        <v>4705</v>
      </c>
      <c r="E60" s="516"/>
      <c r="H60" t="b">
        <f>MAX(E60:E60)=MIN(E60:E60)</f>
        <v>1</v>
      </c>
    </row>
    <row r="61" spans="1:8" ht="11.25">
      <c r="C61" t="s">
        <v>4253</v>
      </c>
      <c r="E61" s="516">
        <f>IF(xxSim0Tool1=1,0,MMProd5Seg2Units)</f>
        <v>0</v>
      </c>
      <c r="F61" t="s">
        <v>4428</v>
      </c>
      <c r="G61">
        <v>63</v>
      </c>
      <c r="H61" t="b">
        <f>MAX(E61:E61)=MIN(E61:E61)</f>
        <v>1</v>
      </c>
    </row>
    <row r="62" spans="1:8" ht="11.25">
      <c r="C62" t="s">
        <v>1593</v>
      </c>
      <c r="E62" s="516">
        <f>IF(OR(xxSim0Tool1=1,decEmp2BusAHire+decEmp2BusBHire=0),0,MIN(decEmp2BusBHire+0,MMProd5Seg2Units*(decEmp2BusBHire/(decEmp2BusAHire+decEmp2BusBHire))))</f>
        <v>0</v>
      </c>
      <c r="F62" t="s">
        <v>4429</v>
      </c>
      <c r="H62" t="b">
        <f>MAX(E62:E62)=MIN(E62:E62)</f>
        <v>1</v>
      </c>
    </row>
    <row r="63" spans="1:8" ht="11.25">
      <c r="B63" s="700" t="s">
        <v>4890</v>
      </c>
      <c r="E63" s="516"/>
      <c r="H63" t="b">
        <f>MAX(E63:E63)=MIN(E63:E63)</f>
        <v>1</v>
      </c>
    </row>
    <row r="64" spans="1:8" ht="11.25">
      <c r="C64" t="s">
        <v>4253</v>
      </c>
      <c r="E64" s="516">
        <f>IF(xxSim0Tool1=1,0,MMProd5Seg3Units)</f>
        <v>0</v>
      </c>
      <c r="F64" t="s">
        <v>4430</v>
      </c>
      <c r="H64" t="b">
        <f>MAX(E64:E64)=MIN(E64:E64)</f>
        <v>1</v>
      </c>
    </row>
    <row r="65" spans="1:8" ht="11.25">
      <c r="C65" t="s">
        <v>1593</v>
      </c>
      <c r="E65" s="516">
        <f>IF(OR(xxSim0Tool1=1,decEmp3BusAHire+decEmp3BusBHire=0),0,MIN(decEmp3BusBHire+0,MMProd5Seg3Units*(decEmp3BusBHire/(decEmp3BusAHire+decEmp3BusBHire))))</f>
        <v>0</v>
      </c>
      <c r="F65" t="s">
        <v>4431</v>
      </c>
      <c r="H65" t="b">
        <f>MAX(E65:E65)=MIN(E65:E65)</f>
        <v>1</v>
      </c>
    </row>
    <row r="66" spans="1:8" ht="11.25">
      <c r="B66" s="700" t="s">
        <v>4889</v>
      </c>
      <c r="E66" s="516"/>
      <c r="H66" t="b">
        <f>MAX(E66:E66)=MIN(E66:E66)</f>
        <v>1</v>
      </c>
    </row>
    <row r="67" spans="1:8" ht="11.25">
      <c r="C67" t="s">
        <v>4253</v>
      </c>
      <c r="E67" s="516">
        <f>IF(xxSim0Tool1=1,0,MMProd5Seg4Units)</f>
        <v>0</v>
      </c>
      <c r="F67" t="s">
        <v>4432</v>
      </c>
      <c r="H67" t="b">
        <f>MAX(E67:E67)=MIN(E67:E67)</f>
        <v>1</v>
      </c>
    </row>
    <row r="68" spans="1:8" ht="11.25">
      <c r="C68" t="s">
        <v>1593</v>
      </c>
      <c r="E68" s="516">
        <f>IF(OR(xxSim0Tool1=1,decEmp4BusAHire+decEmp4BusBHire=0),0,MIN(decEmp4BusBHire+0,MMProd5Seg4Units*(decEmp4BusBHire/(decEmp4BusAHire+decEmp4BusBHire))))</f>
        <v>0</v>
      </c>
      <c r="F68" t="s">
        <v>3678</v>
      </c>
      <c r="H68" t="b">
        <f>MAX(E68:E68)=MIN(E68:E68)</f>
        <v>1</v>
      </c>
    </row>
    <row r="69" spans="1:8" ht="11.25">
      <c r="B69" s="700" t="s">
        <v>4891</v>
      </c>
      <c r="E69" s="602">
        <f>IF(OR(xxSim0Tool1=1,decEmp7BusAHire=0),0,MIN(decEmp7BusAHire+0,(mmEmp7Share*INDEX(xxMMProd5Seg6Units,xxYear+2))))</f>
        <v>0</v>
      </c>
      <c r="F69" t="s">
        <v>4340</v>
      </c>
      <c r="G69">
        <v>88</v>
      </c>
      <c r="H69" t="b">
        <f>MAX(E69:E69)=MIN(E69:E69)</f>
        <v>1</v>
      </c>
    </row>
    <row r="70" spans="1:8" ht="11.25">
      <c r="B70" s="700" t="s">
        <v>4891</v>
      </c>
      <c r="E70" s="602">
        <f>IF(OR(xxSim0Tool1=1,decEmp8BusAHire=0),0,MIN(decEmp8BusAHire+0,(mmEmp8Share*INDEX(xxMMProd5Seg7Units,xxYear+2))))</f>
        <v>0</v>
      </c>
      <c r="F70" t="s">
        <v>4341</v>
      </c>
      <c r="G70">
        <v>88</v>
      </c>
      <c r="H70" t="b">
        <f>MAX(E70:E70)=MIN(E70:E70)</f>
        <v>1</v>
      </c>
    </row>
    <row r="71" spans="1:8" ht="11.25">
      <c r="B71" s="700" t="s">
        <v>4891</v>
      </c>
      <c r="E71" s="602">
        <f>decEmp9BusAHire</f>
        <v>26</v>
      </c>
      <c r="F71" t="s">
        <v>4342</v>
      </c>
      <c r="G71">
        <v>88</v>
      </c>
      <c r="H71" t="b">
        <f>MAX(E71:E71)=MIN(E71:E71)</f>
        <v>1</v>
      </c>
    </row>
    <row r="72" spans="1:8" ht="11.25">
      <c r="B72" s="700" t="s">
        <v>4696</v>
      </c>
      <c r="E72" s="517">
        <f>IF(xxSim0Tool1=1,0,MMProd5Seg5Units)</f>
        <v>0</v>
      </c>
      <c r="F72" t="s">
        <v>3679</v>
      </c>
      <c r="H72" t="b">
        <f>MAX(E72:E72)=MIN(E72:E72)</f>
        <v>1</v>
      </c>
    </row>
    <row r="73" spans="1:8" ht="11.25">
      <c r="B73" t="s">
        <v>1089</v>
      </c>
      <c r="E73" s="517">
        <f>SUM(E58:E72)</f>
        <v>26</v>
      </c>
      <c r="F73" t="s">
        <v>1090</v>
      </c>
      <c r="H73" t="b">
        <f>MAX(E73:E73)=MIN(E73:E73)</f>
        <v>1</v>
      </c>
    </row>
    <row r="74" spans="1:8" ht="11.25">
      <c r="A74" s="2" t="s">
        <v>3657</v>
      </c>
      <c r="E74" s="105">
        <v>0</v>
      </c>
      <c r="F74" t="s">
        <v>705</v>
      </c>
      <c r="H74" t="b">
        <f>MAX(E74:E74)=MIN(E74:E74)</f>
        <v>1</v>
      </c>
    </row>
    <row r="75" spans="1:8" ht="11.25">
      <c r="A75" s="2" t="s">
        <v>3680</v>
      </c>
      <c r="E75" s="105"/>
      <c r="H75" t="b">
        <f>MAX(E75:E75)=MIN(E75:E75)</f>
        <v>1</v>
      </c>
    </row>
    <row r="76" spans="1:8" ht="11.25">
      <c r="B76" t="s">
        <v>2022</v>
      </c>
      <c r="E76" s="106"/>
      <c r="F76" s="2" t="s">
        <v>1131</v>
      </c>
      <c r="H76" t="b">
        <f>MAX(E76:E76)=MIN(E76:E76)</f>
        <v>1</v>
      </c>
    </row>
    <row r="77" spans="1:8" ht="11.25">
      <c r="C77" t="s">
        <v>4253</v>
      </c>
      <c r="E77" s="685">
        <f>MAX(capBusAEmp1End+0,0)</f>
        <v>234</v>
      </c>
      <c r="F77" t="s">
        <v>1038</v>
      </c>
      <c r="H77" t="b">
        <f>MAX(E77:E77)=MIN(E77:E77)</f>
        <v>1</v>
      </c>
    </row>
    <row r="78" spans="1:8" ht="11.25">
      <c r="C78" t="s">
        <v>1593</v>
      </c>
      <c r="E78" s="685">
        <f>MAX(capBusBEmp1End+0,0)</f>
        <v>9</v>
      </c>
      <c r="F78" t="s">
        <v>3391</v>
      </c>
      <c r="H78" t="b">
        <f>MAX(E78:E78)=MIN(E78:E78)</f>
        <v>1</v>
      </c>
    </row>
    <row r="79" spans="1:8" ht="11.25">
      <c r="B79" t="s">
        <v>3861</v>
      </c>
      <c r="E79" s="688"/>
      <c r="F79" t="s">
        <v>1132</v>
      </c>
      <c r="H79" t="b">
        <f>MAX(E79:E79)=MIN(E79:E79)</f>
        <v>1</v>
      </c>
    </row>
    <row r="80" spans="1:8" ht="11.25">
      <c r="C80" t="s">
        <v>4253</v>
      </c>
      <c r="E80" s="685">
        <f>MAX(capBusAEmp2End+0,0)</f>
        <v>365</v>
      </c>
      <c r="F80" t="s">
        <v>2656</v>
      </c>
      <c r="H80" t="b">
        <f>MAX(E80:E80)=MIN(E80:E80)</f>
        <v>1</v>
      </c>
    </row>
    <row r="81" spans="1:8" ht="11.25">
      <c r="C81" t="s">
        <v>1593</v>
      </c>
      <c r="E81" s="685">
        <f>MAX(capBusBEmp2End+0,0)</f>
        <v>18</v>
      </c>
      <c r="F81" t="s">
        <v>2657</v>
      </c>
      <c r="H81" t="b">
        <f>MAX(E81:E81)=MIN(E81:E81)</f>
        <v>1</v>
      </c>
    </row>
    <row r="82" spans="1:8" ht="11.25">
      <c r="B82" t="s">
        <v>3860</v>
      </c>
      <c r="E82" s="688"/>
      <c r="F82" t="s">
        <v>1133</v>
      </c>
      <c r="H82" t="b">
        <f>MAX(E82:E82)=MIN(E82:E82)</f>
        <v>1</v>
      </c>
    </row>
    <row r="83" spans="1:8" ht="11.25">
      <c r="C83" t="s">
        <v>4253</v>
      </c>
      <c r="E83" s="685">
        <f>MAX(capBusAEmp3End+0,0)</f>
        <v>244</v>
      </c>
      <c r="F83" t="s">
        <v>2658</v>
      </c>
      <c r="H83" t="b">
        <f>MAX(E83:E83)=MIN(E83:E83)</f>
        <v>1</v>
      </c>
    </row>
    <row r="84" spans="1:8" ht="11.25">
      <c r="C84" t="s">
        <v>1593</v>
      </c>
      <c r="E84" s="685">
        <f>MAX(capBusBEmp3End+0,0)</f>
        <v>18</v>
      </c>
      <c r="F84" t="s">
        <v>2645</v>
      </c>
      <c r="H84" t="b">
        <f>MAX(E84:E84)=MIN(E84:E84)</f>
        <v>1</v>
      </c>
    </row>
    <row r="85" spans="1:8" ht="11.25">
      <c r="B85" t="s">
        <v>4068</v>
      </c>
      <c r="E85" s="688"/>
      <c r="F85" t="s">
        <v>1134</v>
      </c>
      <c r="H85" t="b">
        <f>MAX(E85:E85)=MIN(E85:E85)</f>
        <v>1</v>
      </c>
    </row>
    <row r="86" spans="1:8" ht="11.25">
      <c r="C86" t="s">
        <v>4253</v>
      </c>
      <c r="E86" s="685">
        <f>MAX(capBusAEmp4End+0,0)</f>
        <v>78</v>
      </c>
      <c r="F86" t="s">
        <v>2646</v>
      </c>
      <c r="H86" t="b">
        <f>MAX(E86:E86)=MIN(E86:E86)</f>
        <v>1</v>
      </c>
    </row>
    <row r="87" spans="1:8" ht="11.25">
      <c r="C87" t="s">
        <v>1593</v>
      </c>
      <c r="E87" s="685">
        <f>MAX(capBusBEmp4End+0,0)</f>
        <v>11</v>
      </c>
      <c r="F87" t="s">
        <v>2647</v>
      </c>
      <c r="H87" t="b">
        <f>MAX(E87:E87)=MIN(E87:E87)</f>
        <v>1</v>
      </c>
    </row>
    <row r="88" spans="1:8" ht="11.25">
      <c r="B88" t="s">
        <v>3083</v>
      </c>
      <c r="C88" t="s">
        <v>173</v>
      </c>
      <c r="E88" s="689">
        <f>MAX(capBusAEmp7End+0,0)</f>
        <v>61</v>
      </c>
      <c r="F88" t="s">
        <v>2531</v>
      </c>
      <c r="H88" t="b">
        <f>MAX(E88:E88)=MIN(E88:E88)</f>
        <v>1</v>
      </c>
    </row>
    <row r="89" spans="1:8" ht="11.25">
      <c r="B89" t="s">
        <v>3084</v>
      </c>
      <c r="C89" t="s">
        <v>173</v>
      </c>
      <c r="E89" s="689">
        <f>MAX(capBusAEmp8End+0,0)</f>
        <v>171</v>
      </c>
      <c r="F89" t="s">
        <v>2532</v>
      </c>
      <c r="H89" t="b">
        <f>MAX(E89:E89)=MIN(E89:E89)</f>
        <v>1</v>
      </c>
    </row>
    <row r="90" spans="1:8" ht="11.25">
      <c r="B90" t="s">
        <v>3085</v>
      </c>
      <c r="C90" t="s">
        <v>173</v>
      </c>
      <c r="E90" s="689">
        <f>MAX(capBusAEmp9End+0,0)</f>
        <v>328</v>
      </c>
      <c r="F90" t="s">
        <v>2533</v>
      </c>
      <c r="H90" t="b">
        <f>MAX(E90:E90)=MIN(E90:E90)</f>
        <v>1</v>
      </c>
    </row>
    <row r="91" spans="1:8" ht="11.25">
      <c r="B91" t="s">
        <v>4267</v>
      </c>
      <c r="E91" s="685">
        <f>MAX(capEmp6End+0,0)</f>
        <v>102</v>
      </c>
      <c r="F91" t="s">
        <v>2500</v>
      </c>
      <c r="H91" t="b">
        <f>MAX(E91:E91)=MIN(E91:E91)</f>
        <v>1</v>
      </c>
    </row>
    <row r="92" spans="1:8" ht="11.25">
      <c r="E92" s="105">
        <f>SUM(E77:E87,E91)</f>
        <v>1079</v>
      </c>
      <c r="F92" t="s">
        <v>3129</v>
      </c>
      <c r="H92" t="b">
        <f>MAX(E92:E92)=MIN(E92:E92)</f>
        <v>1</v>
      </c>
    </row>
    <row r="93" spans="1:8" ht="11.25">
      <c r="E93" s="105"/>
      <c r="H93" t="b">
        <f>MAX(E93:E93)=MIN(E93:E93)</f>
        <v>1</v>
      </c>
    </row>
    <row r="94" spans="1:8" ht="11.25">
      <c r="A94" s="2" t="s">
        <v>4228</v>
      </c>
      <c r="E94" s="105"/>
      <c r="H94" t="b">
        <f>MAX(E94:E94)=MIN(E94:E94)</f>
        <v>1</v>
      </c>
    </row>
    <row r="95" spans="1:8" ht="11.25">
      <c r="A95" s="2"/>
      <c r="B95" t="s">
        <v>5174</v>
      </c>
      <c r="E95" s="105"/>
      <c r="H95" t="b">
        <f>MAX(E95:E95)=MIN(E95:E95)</f>
        <v>1</v>
      </c>
    </row>
    <row r="96" spans="1:8" ht="11.25">
      <c r="A96" s="2"/>
      <c r="C96" t="s">
        <v>4253</v>
      </c>
      <c r="E96" s="382">
        <f>capBusAEmp1Utiliz</f>
        <v>0.31644779931599104</v>
      </c>
      <c r="F96" t="s">
        <v>325</v>
      </c>
      <c r="H96" t="b">
        <f>MAX(E96:E96)=MIN(E96:E96)</f>
        <v>1</v>
      </c>
    </row>
    <row r="97" spans="1:8" ht="11.25">
      <c r="A97" s="2"/>
      <c r="C97" t="s">
        <v>1593</v>
      </c>
      <c r="E97" s="382">
        <f>capBusBEmp1Utiliz</f>
        <v>0.33580246913580247</v>
      </c>
      <c r="F97" t="s">
        <v>2126</v>
      </c>
      <c r="H97" t="b">
        <f>MAX(E97:E97)=MIN(E97:E97)</f>
        <v>1</v>
      </c>
    </row>
    <row r="98" spans="1:8" ht="11.25">
      <c r="A98" s="2"/>
      <c r="B98" t="s">
        <v>3861</v>
      </c>
      <c r="E98" s="382"/>
      <c r="H98" t="b">
        <f>MAX(E98:E98)=MIN(E98:E98)</f>
        <v>1</v>
      </c>
    </row>
    <row r="99" spans="1:8" ht="11.25">
      <c r="A99" s="2"/>
      <c r="C99" t="s">
        <v>4253</v>
      </c>
      <c r="E99" s="382">
        <f>capBusAEmp2Utiliz</f>
        <v>0.53424657534246578</v>
      </c>
      <c r="F99" t="s">
        <v>326</v>
      </c>
      <c r="H99" t="b">
        <f>MAX(E99:E99)=MIN(E99:E99)</f>
        <v>1</v>
      </c>
    </row>
    <row r="100" spans="1:8" ht="11.25">
      <c r="A100" s="2"/>
      <c r="C100" t="s">
        <v>1593</v>
      </c>
      <c r="E100" s="382">
        <f>capBusBEmp2Utiliz</f>
        <v>0.32111111111111112</v>
      </c>
      <c r="F100" t="s">
        <v>327</v>
      </c>
      <c r="H100" t="b">
        <f>MAX(E100:E100)=MIN(E100:E100)</f>
        <v>1</v>
      </c>
    </row>
    <row r="101" spans="1:8" ht="11.25">
      <c r="A101" s="2"/>
      <c r="B101" t="s">
        <v>3860</v>
      </c>
      <c r="E101" s="382"/>
      <c r="H101" t="b">
        <f>MAX(E101:E101)=MIN(E101:E101)</f>
        <v>1</v>
      </c>
    </row>
    <row r="102" spans="1:8" ht="11.25">
      <c r="C102" t="s">
        <v>4253</v>
      </c>
      <c r="E102" s="382">
        <f>capBusAEmp3Utiliz</f>
        <v>0.54145901639344263</v>
      </c>
      <c r="F102" t="s">
        <v>328</v>
      </c>
      <c r="H102" t="b">
        <f>MAX(E102:E102)=MIN(E102:E102)</f>
        <v>1</v>
      </c>
    </row>
    <row r="103" spans="1:8" ht="11.25">
      <c r="C103" t="s">
        <v>1593</v>
      </c>
      <c r="E103" s="382">
        <f>capBusBEmp3Utiliz</f>
        <v>0.23499999999999999</v>
      </c>
      <c r="F103" t="s">
        <v>329</v>
      </c>
      <c r="H103" t="b">
        <f>MAX(E103:E103)=MIN(E103:E103)</f>
        <v>1</v>
      </c>
    </row>
    <row r="104" spans="1:8" ht="11.25">
      <c r="B104" t="s">
        <v>4068</v>
      </c>
      <c r="E104" s="382"/>
      <c r="H104" t="b">
        <f>MAX(E104:E104)=MIN(E104:E104)</f>
        <v>1</v>
      </c>
    </row>
    <row r="105" spans="1:8" ht="11.25">
      <c r="C105" t="s">
        <v>4253</v>
      </c>
      <c r="E105" s="382">
        <f>capBusAEmp4Utiliz</f>
        <v>0.46076923076923076</v>
      </c>
      <c r="F105" t="s">
        <v>330</v>
      </c>
      <c r="H105" t="b">
        <f>MAX(E105:E105)=MIN(E105:E105)</f>
        <v>1</v>
      </c>
    </row>
    <row r="106" spans="1:8" ht="11.25">
      <c r="C106" t="s">
        <v>1593</v>
      </c>
      <c r="E106" s="382">
        <f>capBusBEmp4Utiliz</f>
        <v>0.21727272727272728</v>
      </c>
      <c r="F106" t="s">
        <v>331</v>
      </c>
      <c r="H106" t="b">
        <f>MAX(E106:E106)=MIN(E106:E106)</f>
        <v>1</v>
      </c>
    </row>
    <row r="107" spans="1:8" ht="11.25">
      <c r="B107" t="s">
        <v>4267</v>
      </c>
      <c r="E107" s="382">
        <f>capEmp6Utiliz</f>
        <v>0.50244539232091079</v>
      </c>
      <c r="F107" t="s">
        <v>2502</v>
      </c>
      <c r="H107" t="b">
        <f>MAX(E107:E107)=MIN(E107:E107)</f>
        <v>1</v>
      </c>
    </row>
    <row r="108" spans="1:8" ht="11.25">
      <c r="B108" t="s">
        <v>3083</v>
      </c>
      <c r="C108" t="s">
        <v>173</v>
      </c>
      <c r="E108" s="382">
        <f>capBusAEmp7Utiliz</f>
        <v>0.72606557377049186</v>
      </c>
      <c r="F108" t="s">
        <v>4014</v>
      </c>
      <c r="H108" t="b">
        <f>MAX(E108:E108)=MIN(E108:E108)</f>
        <v>1</v>
      </c>
    </row>
    <row r="109" spans="1:8" ht="11.25">
      <c r="B109" t="s">
        <v>3084</v>
      </c>
      <c r="C109" t="s">
        <v>173</v>
      </c>
      <c r="E109" s="382">
        <f>capBusAEmp8Utiliz</f>
        <v>0.82228070175438595</v>
      </c>
      <c r="F109" t="s">
        <v>4015</v>
      </c>
      <c r="H109" t="b">
        <f>MAX(E109:E109)=MIN(E109:E109)</f>
        <v>1</v>
      </c>
    </row>
    <row r="110" spans="1:8" ht="11.25">
      <c r="B110" t="s">
        <v>3085</v>
      </c>
      <c r="C110" t="s">
        <v>173</v>
      </c>
      <c r="E110" s="382">
        <f>capBusAEmp9Utiliz</f>
        <v>0.57926829268292679</v>
      </c>
      <c r="F110" t="s">
        <v>4016</v>
      </c>
      <c r="H110" t="b">
        <f>MAX(E110:E110)=MIN(E110:E110)</f>
        <v>1</v>
      </c>
    </row>
    <row r="111" spans="1:8" ht="11.25">
      <c r="E111" s="105"/>
      <c r="H111" t="b">
        <f>MAX(E111:E111)=MIN(E111:E111)</f>
        <v>1</v>
      </c>
    </row>
    <row r="112" spans="1:8" ht="11.25">
      <c r="A112" s="2" t="s">
        <v>2677</v>
      </c>
      <c r="E112" s="105"/>
      <c r="H112" t="b">
        <f>MAX(E112:E112)=MIN(E112:E112)</f>
        <v>1</v>
      </c>
    </row>
    <row r="113" spans="1:8" ht="11.25">
      <c r="A113" s="2"/>
      <c r="B113" t="s">
        <v>2022</v>
      </c>
      <c r="E113" s="105"/>
      <c r="H113" t="b">
        <f>MAX(E113:E113)=MIN(E113:E113)</f>
        <v>1</v>
      </c>
    </row>
    <row r="114" spans="1:8" ht="11.25">
      <c r="A114" s="2"/>
      <c r="C114" t="s">
        <v>4253</v>
      </c>
      <c r="E114" s="382">
        <f>IF(xxSim0Tool1=1,$E96,AVERAGE($E96,#REF!,#REF!,#REF!,#REF!))</f>
        <v>0.31644779931599104</v>
      </c>
      <c r="F114" t="s">
        <v>2678</v>
      </c>
      <c r="H114" t="b">
        <f>MAX(E114:E114)=MIN(E114:E114)</f>
        <v>1</v>
      </c>
    </row>
    <row r="115" spans="1:8" ht="11.25">
      <c r="A115" s="2"/>
      <c r="C115" t="s">
        <v>1593</v>
      </c>
      <c r="E115" s="382">
        <f>IF(xxSim0Tool1=1,$E97,AVERAGE($E97,#REF!,#REF!,#REF!,#REF!))</f>
        <v>0.33580246913580247</v>
      </c>
      <c r="F115" t="s">
        <v>2679</v>
      </c>
      <c r="H115" t="b">
        <f>MAX(E115:E115)=MIN(E115:E115)</f>
        <v>1</v>
      </c>
    </row>
    <row r="116" spans="1:8" ht="11.25">
      <c r="A116" s="2"/>
      <c r="B116" t="s">
        <v>3861</v>
      </c>
      <c r="E116" s="382"/>
      <c r="H116" t="b">
        <f>MAX(E116:E116)=MIN(E116:E116)</f>
        <v>1</v>
      </c>
    </row>
    <row r="117" spans="1:8" ht="11.25">
      <c r="A117" s="2"/>
      <c r="C117" t="s">
        <v>4253</v>
      </c>
      <c r="E117" s="382">
        <f>IF(xxSim0Tool1=1,$E99,AVERAGE($E99,#REF!,#REF!,#REF!,#REF!))</f>
        <v>0.53424657534246578</v>
      </c>
      <c r="F117" t="s">
        <v>2680</v>
      </c>
      <c r="H117" t="b">
        <f>MAX(E117:E117)=MIN(E117:E117)</f>
        <v>1</v>
      </c>
    </row>
    <row r="118" spans="1:8" ht="11.25">
      <c r="A118" s="2"/>
      <c r="C118" t="s">
        <v>1593</v>
      </c>
      <c r="E118" s="382">
        <f>IF(xxSim0Tool1=1,$E100,AVERAGE($E100,#REF!,#REF!,#REF!,#REF!))</f>
        <v>0.32111111111111112</v>
      </c>
      <c r="F118" t="s">
        <v>2687</v>
      </c>
      <c r="H118" t="b">
        <f>MAX(E118:E118)=MIN(E118:E118)</f>
        <v>1</v>
      </c>
    </row>
    <row r="119" spans="1:8" ht="11.25">
      <c r="A119" s="2"/>
      <c r="B119" t="s">
        <v>3860</v>
      </c>
      <c r="E119" s="382"/>
      <c r="H119" t="b">
        <f>MAX(E119:E119)=MIN(E119:E119)</f>
        <v>1</v>
      </c>
    </row>
    <row r="120" spans="1:8" ht="11.25">
      <c r="C120" t="s">
        <v>4253</v>
      </c>
      <c r="E120" s="382">
        <f>IF(xxSim0Tool1=1,$E102,AVERAGE($E102,#REF!,#REF!,#REF!,#REF!))</f>
        <v>0.54145901639344263</v>
      </c>
      <c r="F120" t="s">
        <v>2688</v>
      </c>
      <c r="H120" t="b">
        <f>MAX(E120:E120)=MIN(E120:E120)</f>
        <v>1</v>
      </c>
    </row>
    <row r="121" spans="1:8" ht="11.25">
      <c r="C121" t="s">
        <v>1593</v>
      </c>
      <c r="E121" s="382">
        <f>IF(xxSim0Tool1=1,$E103,AVERAGE($E103,#REF!,#REF!,#REF!,#REF!))</f>
        <v>0.23499999999999999</v>
      </c>
      <c r="F121" t="s">
        <v>2689</v>
      </c>
      <c r="H121" t="b">
        <f>MAX(E121:E121)=MIN(E121:E121)</f>
        <v>1</v>
      </c>
    </row>
    <row r="122" spans="1:8" ht="11.25">
      <c r="B122" t="s">
        <v>4068</v>
      </c>
      <c r="E122" s="382"/>
      <c r="H122" t="b">
        <f>MAX(E122:E122)=MIN(E122:E122)</f>
        <v>1</v>
      </c>
    </row>
    <row r="123" spans="1:8" ht="11.25">
      <c r="C123" t="s">
        <v>4253</v>
      </c>
      <c r="E123" s="382">
        <f>IF(xxSim0Tool1=1,$E105,AVERAGE($E105,#REF!,#REF!,#REF!,#REF!))</f>
        <v>0.46076923076923076</v>
      </c>
      <c r="F123" t="s">
        <v>2690</v>
      </c>
      <c r="H123" t="b">
        <f>MAX(E123:E123)=MIN(E123:E123)</f>
        <v>1</v>
      </c>
    </row>
    <row r="124" spans="1:8" ht="11.25">
      <c r="C124" t="s">
        <v>1593</v>
      </c>
      <c r="E124" s="382">
        <f>IF(xxSim0Tool1=1,$E106,AVERAGE($E106,#REF!,#REF!,#REF!,#REF!))</f>
        <v>0.21727272727272728</v>
      </c>
      <c r="F124" t="s">
        <v>2691</v>
      </c>
      <c r="H124" t="b">
        <f>MAX(E124:E124)=MIN(E124:E124)</f>
        <v>1</v>
      </c>
    </row>
    <row r="125" spans="1:8" ht="11.25">
      <c r="B125" t="s">
        <v>4267</v>
      </c>
      <c r="E125" s="382">
        <f>IF(xxSim0Tool1=1,$E107,AVERAGE($E107,#REF!,#REF!,#REF!,#REF!))</f>
        <v>0.50244539232091079</v>
      </c>
      <c r="F125" t="s">
        <v>2692</v>
      </c>
      <c r="H125" t="b">
        <f>MAX(E125:E125)=MIN(E125:E125)</f>
        <v>1</v>
      </c>
    </row>
    <row r="126" spans="1:8" ht="11.25">
      <c r="E126" s="105"/>
      <c r="H126" t="b">
        <f>MAX(E126:E126)=MIN(E126:E126)</f>
        <v>1</v>
      </c>
    </row>
    <row r="127" spans="1:8" ht="11.25">
      <c r="A127" s="2" t="s">
        <v>3791</v>
      </c>
      <c r="E127" s="105"/>
      <c r="H127" t="b">
        <f>MAX(E127:E127)=MIN(E127:E127)</f>
        <v>1</v>
      </c>
    </row>
    <row r="128" spans="1:8" ht="11.25">
      <c r="C128" t="s">
        <v>940</v>
      </c>
      <c r="E128" s="111">
        <f>capBusAOverallConsUtil</f>
        <v>0.58619505094614266</v>
      </c>
      <c r="F128" t="s">
        <v>3134</v>
      </c>
      <c r="H128" t="b">
        <f>MAX(E128:E128)=MIN(E128:E128)</f>
        <v>1</v>
      </c>
    </row>
    <row r="129" spans="1:8" ht="11.25">
      <c r="C129" t="s">
        <v>2022</v>
      </c>
      <c r="E129" s="111">
        <f>capBusAOverallSolnWFUtil</f>
        <v>0.31644779931599104</v>
      </c>
      <c r="F129" t="s">
        <v>3135</v>
      </c>
      <c r="H129" t="b">
        <f>MAX(E129:E129)=MIN(E129:E129)</f>
        <v>1</v>
      </c>
    </row>
    <row r="130" spans="1:8" ht="11.25">
      <c r="A130" s="2" t="s">
        <v>3133</v>
      </c>
      <c r="E130" s="111"/>
      <c r="H130" t="b">
        <f>MAX(E130:E130)=MIN(E130:E130)</f>
        <v>1</v>
      </c>
    </row>
    <row r="131" spans="1:8" ht="11.25">
      <c r="C131" t="s">
        <v>940</v>
      </c>
      <c r="E131" s="111">
        <f>capBusBOverallConsUtil</f>
        <v>0.26382978723404255</v>
      </c>
      <c r="F131" t="s">
        <v>3136</v>
      </c>
      <c r="H131" t="b">
        <f>MAX(E131:E131)=MIN(E131:E131)</f>
        <v>1</v>
      </c>
    </row>
    <row r="132" spans="1:8" ht="11.25">
      <c r="C132" t="s">
        <v>2022</v>
      </c>
      <c r="E132" s="111">
        <f>capBusBOverallSolnWFUtil</f>
        <v>0.33580246913580247</v>
      </c>
      <c r="F132" t="s">
        <v>3137</v>
      </c>
      <c r="H132" t="b">
        <f>MAX(E132:E132)=MIN(E132:E132)</f>
        <v>1</v>
      </c>
    </row>
    <row r="133" spans="1:8" ht="11.25">
      <c r="A133" s="2" t="s">
        <v>4500</v>
      </c>
      <c r="E133" s="105"/>
      <c r="H133" t="b">
        <f>MAX(E133:E133)=MIN(E133:E133)</f>
        <v>1</v>
      </c>
    </row>
    <row r="134" spans="1:8" ht="11.25">
      <c r="B134" t="s">
        <v>5169</v>
      </c>
      <c r="D134">
        <v>2</v>
      </c>
      <c r="E134" s="105">
        <f>obalEmp1Salary</f>
        <v>40000</v>
      </c>
      <c r="F134" s="358" t="s">
        <v>3063</v>
      </c>
      <c r="H134" t="b">
        <f>MAX(E134:E134)=MIN(E134:E134)</f>
        <v>1</v>
      </c>
    </row>
    <row r="135" spans="1:8" ht="11.25">
      <c r="B135" t="s">
        <v>4705</v>
      </c>
      <c r="D135">
        <v>2</v>
      </c>
      <c r="E135" s="105">
        <f>capEmp2Salary</f>
        <v>103000</v>
      </c>
      <c r="F135" s="358" t="s">
        <v>3064</v>
      </c>
      <c r="H135" t="b">
        <f>MAX(E135:E135)=MIN(E135:E135)</f>
        <v>1</v>
      </c>
    </row>
    <row r="136" spans="1:8" ht="11.25">
      <c r="B136" t="s">
        <v>4704</v>
      </c>
      <c r="D136">
        <v>2</v>
      </c>
      <c r="E136" s="105">
        <f>capEmp3Salary</f>
        <v>154500</v>
      </c>
      <c r="F136" s="358" t="s">
        <v>3065</v>
      </c>
      <c r="H136" t="b">
        <f>MAX(E136:E136)=MIN(E136:E136)</f>
        <v>1</v>
      </c>
    </row>
    <row r="137" spans="1:8" ht="11.25">
      <c r="B137" t="s">
        <v>4703</v>
      </c>
      <c r="D137">
        <v>2</v>
      </c>
      <c r="E137" s="105">
        <f>capEmp4Salary</f>
        <v>309000</v>
      </c>
      <c r="F137" s="358" t="s">
        <v>3066</v>
      </c>
      <c r="H137" t="b">
        <f>MAX(E137:E137)=MIN(E137:E137)</f>
        <v>1</v>
      </c>
    </row>
    <row r="138" spans="1:8" ht="11.25">
      <c r="E138" s="105"/>
      <c r="H138" t="b">
        <f>MAX(E138:E138)=MIN(E138:E138)</f>
        <v>1</v>
      </c>
    </row>
    <row r="139" spans="1:8" ht="11.25">
      <c r="A139" s="2" t="s">
        <v>3417</v>
      </c>
      <c r="E139" s="105"/>
      <c r="H139" t="b">
        <f>MAX(E139:E139)=MIN(E139:E139)</f>
        <v>1</v>
      </c>
    </row>
    <row r="140" spans="1:8" ht="11.25">
      <c r="B140" t="s">
        <v>708</v>
      </c>
      <c r="E140" s="105">
        <f>obalBusACompDev+decCompDevBusAV1+decCompDevBusAV2+decCompDevBusAV3</f>
        <v>9</v>
      </c>
      <c r="F140" t="s">
        <v>3416</v>
      </c>
      <c r="H140" t="b">
        <f>MAX(E140:E140)=MIN(E140:E140)</f>
        <v>1</v>
      </c>
    </row>
    <row r="141" spans="1:8" ht="11.25">
      <c r="C141" t="s">
        <v>946</v>
      </c>
      <c r="E141" s="105">
        <f>obalBusACompDevV1+decCompDevBusAV1</f>
        <v>3</v>
      </c>
      <c r="F141" s="361" t="s">
        <v>2508</v>
      </c>
      <c r="H141" t="b">
        <f>MAX(E141:E141)=MIN(E141:E141)</f>
        <v>1</v>
      </c>
    </row>
    <row r="142" spans="1:8" ht="11.25">
      <c r="C142" t="s">
        <v>947</v>
      </c>
      <c r="E142" s="105">
        <f>obalBusACompDevV2+decCompDevBusAV2</f>
        <v>5</v>
      </c>
      <c r="F142" s="361" t="s">
        <v>2509</v>
      </c>
      <c r="H142" t="b">
        <f>MAX(E142:E142)=MIN(E142:E142)</f>
        <v>1</v>
      </c>
    </row>
    <row r="143" spans="1:8" ht="11.25">
      <c r="C143" t="s">
        <v>948</v>
      </c>
      <c r="E143" s="105">
        <f>obalBusACompDevV3+decCompDevBusAV3</f>
        <v>1</v>
      </c>
      <c r="F143" s="361" t="s">
        <v>2510</v>
      </c>
      <c r="H143" t="b">
        <f>MAX(E143:E143)=MIN(E143:E143)</f>
        <v>1</v>
      </c>
    </row>
    <row r="144" spans="1:8" ht="11.25">
      <c r="B144" t="s">
        <v>709</v>
      </c>
      <c r="E144" s="105">
        <f>decCompDevBusAV1+decCompDevBusAV2+decCompDevBusAV3</f>
        <v>3</v>
      </c>
      <c r="F144" t="s">
        <v>711</v>
      </c>
      <c r="H144" t="b">
        <f>MAX(E144:E144)=MIN(E144:E144)</f>
        <v>1</v>
      </c>
    </row>
    <row r="145" spans="1:8" ht="11.25">
      <c r="A145" s="2" t="s">
        <v>4701</v>
      </c>
      <c r="E145" s="734"/>
      <c r="H145" t="b">
        <f>MAX(E145:E145)=MIN(E145:E145)</f>
        <v>1</v>
      </c>
    </row>
    <row r="146" spans="1:8" ht="11.25">
      <c r="C146" t="s">
        <v>946</v>
      </c>
      <c r="E146" s="734">
        <f ca="1">capTLPrac1</f>
        <v>1.0413797439924106</v>
      </c>
      <c r="F146" s="361" t="s">
        <v>4743</v>
      </c>
      <c r="H146" t="b">
        <f ca="1">MAX(E146:E146)=MIN(E146:E146)</f>
        <v>1</v>
      </c>
    </row>
    <row r="147" spans="1:8" ht="11.25">
      <c r="C147" t="s">
        <v>947</v>
      </c>
      <c r="E147" s="734">
        <f ca="1">capTLPrac2</f>
        <v>1.0524097791489255</v>
      </c>
      <c r="F147" s="361" t="s">
        <v>4744</v>
      </c>
      <c r="H147" t="b">
        <f ca="1">MAX(E147:E147)=MIN(E147:E147)</f>
        <v>1</v>
      </c>
    </row>
    <row r="148" spans="1:8" ht="11.25">
      <c r="C148" t="s">
        <v>948</v>
      </c>
      <c r="E148" s="734">
        <f ca="1">capTLPrac3</f>
        <v>1</v>
      </c>
      <c r="F148" s="361" t="s">
        <v>4745</v>
      </c>
      <c r="H148" t="b">
        <f ca="1">MAX(E148:E148)=MIN(E148:E148)</f>
        <v>1</v>
      </c>
    </row>
    <row r="149" spans="1:8" ht="11.25">
      <c r="A149" s="2" t="s">
        <v>4006</v>
      </c>
      <c r="C149" s="2"/>
      <c r="E149" s="105"/>
      <c r="H149" t="b">
        <f>MAX(E149:E149)=MIN(E149:E149)</f>
        <v>1</v>
      </c>
    </row>
    <row r="150" spans="1:8" ht="11.25">
      <c r="B150" t="s">
        <v>2022</v>
      </c>
      <c r="E150" s="105">
        <f>decEmp1Training</f>
        <v>120</v>
      </c>
      <c r="F150" t="s">
        <v>3731</v>
      </c>
      <c r="H150" t="b">
        <f>MAX(E150:E150)=MIN(E150:E150)</f>
        <v>1</v>
      </c>
    </row>
    <row r="151" spans="1:8" ht="11.25">
      <c r="B151" t="s">
        <v>3861</v>
      </c>
      <c r="E151" s="105">
        <f>decEmp2Training</f>
        <v>120</v>
      </c>
      <c r="F151" t="s">
        <v>1008</v>
      </c>
      <c r="H151" t="b">
        <f>MAX(E151:E151)=MIN(E151:E151)</f>
        <v>1</v>
      </c>
    </row>
    <row r="152" spans="1:8" ht="11.25">
      <c r="B152" t="s">
        <v>3860</v>
      </c>
      <c r="E152" s="105">
        <f>decEmp3Training</f>
        <v>120</v>
      </c>
      <c r="F152" t="s">
        <v>1009</v>
      </c>
      <c r="H152" t="b">
        <f>MAX(E152:E152)=MIN(E152:E152)</f>
        <v>1</v>
      </c>
    </row>
    <row r="153" spans="1:8" ht="11.25">
      <c r="B153" t="s">
        <v>3071</v>
      </c>
      <c r="E153" s="105">
        <f>decEmp4Training</f>
        <v>80</v>
      </c>
      <c r="F153" t="s">
        <v>1773</v>
      </c>
      <c r="H153" t="b">
        <f>MAX(E153:E153)=MIN(E153:E153)</f>
        <v>1</v>
      </c>
    </row>
    <row r="154" spans="1:8" ht="11.25">
      <c r="B154" t="s">
        <v>4267</v>
      </c>
      <c r="E154" s="105">
        <f>decEntWFTraining</f>
        <v>120</v>
      </c>
      <c r="F154" t="s">
        <v>1318</v>
      </c>
      <c r="H154" t="b">
        <f>MAX(E154:E154)=MIN(E154:E154)</f>
        <v>1</v>
      </c>
    </row>
    <row r="155" spans="1:8" ht="11.25">
      <c r="B155" t="s">
        <v>1340</v>
      </c>
      <c r="E155" s="105">
        <f>SUM(E150:E154)</f>
        <v>560</v>
      </c>
      <c r="F155" t="s">
        <v>1825</v>
      </c>
      <c r="H155" t="b">
        <f>MAX(E155:E155)=MIN(E155:E155)</f>
        <v>1</v>
      </c>
    </row>
    <row r="156" spans="1:8" ht="11.25">
      <c r="A156" s="2" t="s">
        <v>960</v>
      </c>
      <c r="E156" s="105"/>
      <c r="H156" t="b">
        <f>MAX(E156:E156)=MIN(E156:E156)</f>
        <v>1</v>
      </c>
    </row>
    <row r="157" spans="1:8" ht="11.25">
      <c r="B157" t="s">
        <v>2022</v>
      </c>
      <c r="E157" s="105">
        <f>capEmp1GeneralTrainingHrsAvailNextYr</f>
        <v>80</v>
      </c>
      <c r="F157" t="s">
        <v>1811</v>
      </c>
      <c r="H157" t="b">
        <f>MAX(E157:E157)=MIN(E157:E157)</f>
        <v>1</v>
      </c>
    </row>
    <row r="158" spans="1:8" ht="11.25">
      <c r="B158" t="s">
        <v>3861</v>
      </c>
      <c r="E158" s="105">
        <f>capEmp2GeneralTrainingHrsAvailNextYr</f>
        <v>120</v>
      </c>
      <c r="F158" t="s">
        <v>1812</v>
      </c>
      <c r="H158" t="b">
        <f>MAX(E158:E158)=MIN(E158:E158)</f>
        <v>1</v>
      </c>
    </row>
    <row r="159" spans="1:8" ht="11.25">
      <c r="B159" t="s">
        <v>3860</v>
      </c>
      <c r="E159" s="105">
        <f>capEmp3GeneralTrainingHrsAvailNextYr</f>
        <v>120</v>
      </c>
      <c r="F159" t="s">
        <v>1813</v>
      </c>
      <c r="H159" t="b">
        <f>MAX(E159:E159)=MIN(E159:E159)</f>
        <v>1</v>
      </c>
    </row>
    <row r="160" spans="1:8" ht="11.25">
      <c r="B160" t="s">
        <v>3071</v>
      </c>
      <c r="E160" s="105">
        <f>capEmp4GeneralTrainingHrsAvailNextYr</f>
        <v>80</v>
      </c>
      <c r="F160" t="s">
        <v>1814</v>
      </c>
      <c r="H160" t="b">
        <f>MAX(E160:E160)=MIN(E160:E160)</f>
        <v>1</v>
      </c>
    </row>
    <row r="161" spans="1:8" ht="11.25">
      <c r="B161" t="s">
        <v>4267</v>
      </c>
      <c r="E161" s="105">
        <f>capEmp6GeneralTrainingHrsAvailNextYr</f>
        <v>120</v>
      </c>
      <c r="F161" t="s">
        <v>1815</v>
      </c>
      <c r="H161" t="b">
        <f>MAX(E161:E161)=MIN(E161:E161)</f>
        <v>1</v>
      </c>
    </row>
    <row r="162" spans="1:8" ht="11.25">
      <c r="B162" t="s">
        <v>1340</v>
      </c>
      <c r="E162" s="105">
        <f>SUM(E157:E161)</f>
        <v>520</v>
      </c>
      <c r="F162" t="s">
        <v>4004</v>
      </c>
      <c r="H162" t="b">
        <f>MAX(E162:E162)=MIN(E162:E162)</f>
        <v>1</v>
      </c>
    </row>
    <row r="163" spans="1:8" ht="11.25">
      <c r="A163" s="2" t="s">
        <v>3654</v>
      </c>
      <c r="E163" s="105">
        <f>MAX(0,INDEX(DataPageTotalTrainingTargetHrs,xxYear+3)-cbalTotalGeneralTrainingHrsCompleted)</f>
        <v>0</v>
      </c>
      <c r="F163" t="s">
        <v>3656</v>
      </c>
      <c r="H163" t="b">
        <f>MAX(E163:E163)=MIN(E163:E163)</f>
        <v>1</v>
      </c>
    </row>
    <row r="164" spans="1:8" ht="11.25">
      <c r="A164" s="2" t="s">
        <v>582</v>
      </c>
      <c r="E164" s="105"/>
      <c r="H164" t="b">
        <f>MAX(E164:E164)=MIN(E164:E164)</f>
        <v>1</v>
      </c>
    </row>
    <row r="165" spans="1:8" ht="11.25">
      <c r="A165" s="2"/>
      <c r="B165" t="s">
        <v>2022</v>
      </c>
      <c r="E165" s="382">
        <f>(decEmp1TrainingBudget-INDEX(DataPageTrainingBudgetTargetEmp1,xxYear+3))/INDEX(DataPageTrainingBudgetTargetEmp1,xxYear+3)</f>
        <v>0</v>
      </c>
      <c r="F165" t="s">
        <v>4300</v>
      </c>
      <c r="H165" t="b">
        <f>MAX(E165:E165)=MIN(E165:E165)</f>
        <v>1</v>
      </c>
    </row>
    <row r="166" spans="1:8" ht="11.25">
      <c r="A166" s="2"/>
      <c r="B166" t="s">
        <v>3861</v>
      </c>
      <c r="E166" s="382">
        <f>(decEmp2TrainingBudget-INDEX(DataPageTrainingBudgetTargetEmp2,xxYear+3))/INDEX(DataPageTrainingBudgetTargetEmp2,xxYear+3)</f>
        <v>0</v>
      </c>
      <c r="F166" t="s">
        <v>4301</v>
      </c>
      <c r="H166" t="b">
        <f>MAX(E166:E166)=MIN(E166:E166)</f>
        <v>1</v>
      </c>
    </row>
    <row r="167" spans="1:8" ht="11.25">
      <c r="A167" s="2"/>
      <c r="B167" t="s">
        <v>3860</v>
      </c>
      <c r="E167" s="382">
        <f>(decEmp3TrainingBudget-INDEX(DataPageTrainingBudgetTargetEmp3,xxYear+3))/INDEX(DataPageTrainingBudgetTargetEmp3,xxYear+3)</f>
        <v>0</v>
      </c>
      <c r="F167" t="s">
        <v>3666</v>
      </c>
      <c r="H167" t="b">
        <f>MAX(E167:E167)=MIN(E167:E167)</f>
        <v>1</v>
      </c>
    </row>
    <row r="168" spans="1:8" ht="11.25">
      <c r="A168" s="2"/>
      <c r="B168" t="s">
        <v>3071</v>
      </c>
      <c r="E168" s="382">
        <f>(decEmp4TrainingBudget-INDEX(DataPageTrainingBudgetTargetEmp4,xxYear+3))/INDEX(DataPageTrainingBudgetTargetEmp4,xxYear+3)</f>
        <v>0</v>
      </c>
      <c r="F168" t="s">
        <v>3667</v>
      </c>
      <c r="H168" t="b">
        <f>MAX(E168:E168)=MIN(E168:E168)</f>
        <v>1</v>
      </c>
    </row>
    <row r="169" spans="1:8" ht="11.25">
      <c r="A169" s="2"/>
      <c r="B169" t="s">
        <v>4267</v>
      </c>
      <c r="E169" s="382">
        <f>(decEntWFTrainingBudget-INDEX(DataPageTrainingBudgetTargetEmp6,xxYear+3))/INDEX(DataPageTrainingBudgetTargetEmp6,xxYear+3)</f>
        <v>0</v>
      </c>
      <c r="F169" t="s">
        <v>3668</v>
      </c>
      <c r="H169" t="b">
        <f>MAX(E169:E169)=MIN(E169:E169)</f>
        <v>1</v>
      </c>
    </row>
    <row r="170" spans="1:8" ht="11.25">
      <c r="B170" t="s">
        <v>2295</v>
      </c>
      <c r="E170" s="105">
        <f>AVERAGE(cbalEmp1TrainingBudgetDelta+0,cbalEmp2TrainingBudgetDelta+0,cbalEmp3TrainingBudgetDelta+0,cbalEmp4TrainingBudgetDelta+0,cbalEmp6TrainingBudgetDelta+0)</f>
        <v>0</v>
      </c>
      <c r="F170" t="s">
        <v>3669</v>
      </c>
      <c r="H170" t="b">
        <f>MAX(E170:E170)=MIN(E170:E170)</f>
        <v>1</v>
      </c>
    </row>
    <row r="171" spans="1:8" ht="11.25">
      <c r="A171" s="2" t="s">
        <v>2474</v>
      </c>
      <c r="E171" s="105"/>
      <c r="H171" t="b">
        <f>MAX(E171:E171)=MIN(E171:E171)</f>
        <v>1</v>
      </c>
    </row>
    <row r="172" spans="1:8" ht="11.25">
      <c r="B172" t="s">
        <v>2022</v>
      </c>
      <c r="E172" s="386">
        <f>decEmp1TrainingBudget</f>
        <v>1000</v>
      </c>
      <c r="F172" s="387" t="s">
        <v>2475</v>
      </c>
      <c r="H172" t="b">
        <f>MAX(E172:E172)=MIN(E172:E172)</f>
        <v>1</v>
      </c>
    </row>
    <row r="173" spans="1:8" ht="11.25">
      <c r="B173" t="s">
        <v>3861</v>
      </c>
      <c r="E173" s="386">
        <f>decEmp2TrainingBudget</f>
        <v>4250</v>
      </c>
      <c r="F173" s="387" t="s">
        <v>2476</v>
      </c>
      <c r="H173" t="b">
        <f>MAX(E173:E173)=MIN(E173:E173)</f>
        <v>1</v>
      </c>
    </row>
    <row r="174" spans="1:8" ht="11.25">
      <c r="B174" t="s">
        <v>3860</v>
      </c>
      <c r="E174" s="386">
        <f>decEmp3TrainingBudget</f>
        <v>4250</v>
      </c>
      <c r="F174" s="387" t="s">
        <v>2477</v>
      </c>
      <c r="H174" t="b">
        <f>MAX(E174:E174)=MIN(E174:E174)</f>
        <v>1</v>
      </c>
    </row>
    <row r="175" spans="1:8" ht="11.25">
      <c r="B175" t="s">
        <v>3071</v>
      </c>
      <c r="E175" s="386">
        <f>decEmp4TrainingBudget</f>
        <v>4250</v>
      </c>
      <c r="F175" s="387" t="s">
        <v>2478</v>
      </c>
      <c r="H175" t="b">
        <f>MAX(E175:E175)=MIN(E175:E175)</f>
        <v>1</v>
      </c>
    </row>
    <row r="176" spans="1:8" ht="11.25">
      <c r="B176" t="s">
        <v>4267</v>
      </c>
      <c r="E176" s="386">
        <f>decEntWFTrainingBudget</f>
        <v>1500</v>
      </c>
      <c r="F176" s="387" t="s">
        <v>2479</v>
      </c>
      <c r="H176" t="b">
        <f>MAX(E176:E176)=MIN(E176:E176)</f>
        <v>1</v>
      </c>
    </row>
    <row r="177" spans="1:8" ht="11.25">
      <c r="E177" s="105"/>
      <c r="H177" t="b">
        <f>MAX(E177:E177)=MIN(E177:E177)</f>
        <v>1</v>
      </c>
    </row>
    <row r="178" spans="1:8" ht="11.25">
      <c r="A178" s="2" t="s">
        <v>174</v>
      </c>
      <c r="E178" s="105"/>
      <c r="H178" t="b">
        <f>MAX(E178:E178)=MIN(E178:E178)</f>
        <v>1</v>
      </c>
    </row>
    <row r="179" spans="1:8" ht="11.25">
      <c r="B179" t="s">
        <v>2022</v>
      </c>
      <c r="E179" s="105">
        <f>obalEmp1CumTrainingHrs+decEmp1Training</f>
        <v>480</v>
      </c>
      <c r="F179" t="s">
        <v>2276</v>
      </c>
      <c r="H179" t="b">
        <f>MAX(E179:E179)=MIN(E179:E179)</f>
        <v>1</v>
      </c>
    </row>
    <row r="180" spans="1:8" ht="11.25">
      <c r="B180" t="s">
        <v>3861</v>
      </c>
      <c r="E180" s="105">
        <f>obalEmp2CumTrainingHrs+decEmp2Training</f>
        <v>480</v>
      </c>
      <c r="F180" t="s">
        <v>3184</v>
      </c>
      <c r="H180" t="b">
        <f>MAX(E180:E180)=MIN(E180:E180)</f>
        <v>1</v>
      </c>
    </row>
    <row r="181" spans="1:8" ht="11.25">
      <c r="B181" t="s">
        <v>3860</v>
      </c>
      <c r="E181" s="105">
        <f>obalEmp3CumTrainingHrs+decEmp3Training</f>
        <v>480</v>
      </c>
      <c r="F181" t="s">
        <v>3185</v>
      </c>
      <c r="H181" t="b">
        <f>MAX(E181:E181)=MIN(E181:E181)</f>
        <v>1</v>
      </c>
    </row>
    <row r="182" spans="1:8" ht="11.25">
      <c r="B182" t="s">
        <v>3071</v>
      </c>
      <c r="E182" s="105">
        <f>obalEmp4CumTrainingHrs+decEmp4Training</f>
        <v>320</v>
      </c>
      <c r="F182" t="s">
        <v>3186</v>
      </c>
      <c r="H182" t="b">
        <f>MAX(E182:E182)=MIN(E182:E182)</f>
        <v>1</v>
      </c>
    </row>
    <row r="183" spans="1:8" ht="11.25">
      <c r="B183" t="s">
        <v>4267</v>
      </c>
      <c r="E183" s="105">
        <f>obalEmp6CumTrainingHrs+decEntWFTraining</f>
        <v>480</v>
      </c>
      <c r="F183" t="s">
        <v>927</v>
      </c>
      <c r="H183" t="b">
        <f>MAX(E183:E183)=MIN(E183:E183)</f>
        <v>1</v>
      </c>
    </row>
    <row r="184" spans="1:8" ht="11.25">
      <c r="E184" s="105"/>
      <c r="H184" t="b">
        <f>MAX(E184:E184)=MIN(E184:E184)</f>
        <v>1</v>
      </c>
    </row>
    <row r="185" spans="1:8" ht="11.25">
      <c r="A185" s="2" t="s">
        <v>361</v>
      </c>
      <c r="E185" s="109"/>
      <c r="H185" t="b">
        <f>MAX(E185:E185)=MIN(E185:E185)</f>
        <v>1</v>
      </c>
    </row>
    <row r="186" spans="1:8" ht="11.25">
      <c r="A186" s="2"/>
      <c r="B186" t="s">
        <v>2636</v>
      </c>
      <c r="E186" s="110">
        <f>obalCStockPricePShare</f>
        <v>5</v>
      </c>
      <c r="F186" s="700" t="s">
        <v>6204</v>
      </c>
      <c r="H186" t="b">
        <f>MAX(E186:E186)=MIN(E186:E186)</f>
        <v>1</v>
      </c>
    </row>
    <row r="187" spans="1:8" ht="11.25">
      <c r="B187" t="s">
        <v>362</v>
      </c>
      <c r="E187" s="105">
        <f>obalCStockShares+finStockchange</f>
        <v>10000000</v>
      </c>
      <c r="F187" t="s">
        <v>2288</v>
      </c>
      <c r="H187" t="b">
        <f>MAX(E187:E187)=MIN(E187:E187)</f>
        <v>1</v>
      </c>
    </row>
    <row r="188" spans="1:8" ht="11.25">
      <c r="E188" s="109"/>
      <c r="H188" t="b">
        <f>MAX(E188:E188)=MIN(E188:E188)</f>
        <v>1</v>
      </c>
    </row>
    <row r="189" spans="1:8" ht="11.25">
      <c r="A189" s="2" t="s">
        <v>363</v>
      </c>
      <c r="E189" s="109"/>
      <c r="H189" t="b">
        <f>MAX(E189:E189)=MIN(E189:E189)</f>
        <v>1</v>
      </c>
    </row>
    <row r="190" spans="1:8" ht="11.25">
      <c r="B190" t="s">
        <v>364</v>
      </c>
      <c r="E190" s="111">
        <f>obalCSAT</f>
        <v>0.64303124999999983</v>
      </c>
      <c r="F190" t="s">
        <v>4758</v>
      </c>
      <c r="H190" t="b">
        <f>MAX(E190:E190)=MIN(E190:E190)</f>
        <v>1</v>
      </c>
    </row>
    <row r="191" spans="1:8" ht="11.25">
      <c r="D191" s="15"/>
      <c r="E191" s="1024"/>
      <c r="H191" t="b">
        <f>MAX(E191:E191)=MIN(E191:E191)</f>
        <v>1</v>
      </c>
    </row>
    <row r="192" spans="1:8" ht="11.25">
      <c r="A192" s="2" t="s">
        <v>4778</v>
      </c>
      <c r="D192" s="15"/>
      <c r="E192" s="1024"/>
      <c r="H192" t="b">
        <f>MAX(E192:E192)=MIN(E192:E192)</f>
        <v>1</v>
      </c>
    </row>
    <row r="193" spans="1:8" ht="11.25">
      <c r="B193" t="s">
        <v>4927</v>
      </c>
      <c r="D193" s="15"/>
      <c r="E193" s="1024">
        <f>obalIndustryEminence+decIndustryEminence+paramSpecProgIndustryEminenceLevelAdd</f>
        <v>4</v>
      </c>
      <c r="F193" t="s">
        <v>4929</v>
      </c>
      <c r="H193" t="b">
        <f>MAX(E193:E193)=MIN(E193:E193)</f>
        <v>1</v>
      </c>
    </row>
    <row r="194" spans="1:8" ht="11.25">
      <c r="B194" t="s">
        <v>4774</v>
      </c>
      <c r="D194" s="15"/>
      <c r="E194" s="1024">
        <f>obalInternalAssets+decInternalAssets</f>
        <v>7</v>
      </c>
      <c r="F194" t="s">
        <v>4780</v>
      </c>
      <c r="H194" t="b">
        <f>MAX(E194:E194)=MIN(E194:E194)</f>
        <v>1</v>
      </c>
    </row>
    <row r="195" spans="1:8" ht="11.25">
      <c r="D195" s="15"/>
      <c r="E195" s="1024"/>
      <c r="H195" t="b">
        <f>MAX(E195:E195)=MIN(E195:E195)</f>
        <v>1</v>
      </c>
    </row>
    <row r="196" spans="1:8" ht="11.25">
      <c r="A196" s="2" t="s">
        <v>1928</v>
      </c>
      <c r="E196" s="111"/>
      <c r="H196" t="b">
        <f>MAX(E196:E196)=MIN(E196:E196)</f>
        <v>1</v>
      </c>
    </row>
    <row r="197" spans="1:8" ht="11.25">
      <c r="A197" s="2"/>
      <c r="B197" t="s">
        <v>712</v>
      </c>
      <c r="E197" s="275">
        <f>decV1H1Dev+decV1H2Dev+decV1H3Dev+decV2H1Dev+decV2H2Dev+decV2H3Dev+decV3H1Dev+decV3H2Dev+decV3H3Dev</f>
        <v>0</v>
      </c>
      <c r="F197" t="s">
        <v>2817</v>
      </c>
      <c r="H197" t="b">
        <f>MAX(E197:E197)=MIN(E197:E197)</f>
        <v>1</v>
      </c>
    </row>
    <row r="198" spans="1:8" ht="11.25">
      <c r="B198" t="s">
        <v>2072</v>
      </c>
      <c r="E198" s="275">
        <f>obalV1H1Comp+decV1H1Dev</f>
        <v>4</v>
      </c>
      <c r="F198" t="s">
        <v>2081</v>
      </c>
      <c r="H198" t="b">
        <f>MAX(E198:E198)=MIN(E198:E198)</f>
        <v>1</v>
      </c>
    </row>
    <row r="199" spans="1:8" ht="11.25">
      <c r="B199" t="s">
        <v>2073</v>
      </c>
      <c r="E199" s="275">
        <f>obalV1H2Comp+decV1H2Dev</f>
        <v>4</v>
      </c>
      <c r="F199" t="s">
        <v>2082</v>
      </c>
      <c r="H199" t="b">
        <f>MAX(E199:E199)=MIN(E199:E199)</f>
        <v>1</v>
      </c>
    </row>
    <row r="200" spans="1:8" ht="11.25">
      <c r="B200" t="s">
        <v>2074</v>
      </c>
      <c r="E200" s="275">
        <f>obalV1H3Comp+decV1H3Dev</f>
        <v>2</v>
      </c>
      <c r="F200" t="s">
        <v>2083</v>
      </c>
      <c r="H200" t="b">
        <f>MAX(E200:E200)=MIN(E200:E200)</f>
        <v>1</v>
      </c>
    </row>
    <row r="201" spans="1:8" ht="11.25">
      <c r="B201" t="s">
        <v>2075</v>
      </c>
      <c r="E201" s="275">
        <f>obalV2H1Comp+decV2H1Dev</f>
        <v>0</v>
      </c>
      <c r="F201" t="s">
        <v>2084</v>
      </c>
      <c r="H201" t="b">
        <f>MAX(E201:E201)=MIN(E201:E201)</f>
        <v>1</v>
      </c>
    </row>
    <row r="202" spans="1:8" ht="11.25">
      <c r="B202" t="s">
        <v>2076</v>
      </c>
      <c r="E202" s="275">
        <f>obalV2H2Comp+decV2H2Dev</f>
        <v>2</v>
      </c>
      <c r="F202" t="s">
        <v>2085</v>
      </c>
      <c r="H202" t="b">
        <f>MAX(E202:E202)=MIN(E202:E202)</f>
        <v>1</v>
      </c>
    </row>
    <row r="203" spans="1:8" ht="11.25">
      <c r="B203" t="s">
        <v>2077</v>
      </c>
      <c r="E203" s="275">
        <f>obalV2H3Comp+decV2H3Dev</f>
        <v>2</v>
      </c>
      <c r="F203" t="s">
        <v>3999</v>
      </c>
      <c r="H203" t="b">
        <f>MAX(E203:E203)=MIN(E203:E203)</f>
        <v>1</v>
      </c>
    </row>
    <row r="204" spans="1:8" ht="11.25">
      <c r="B204" t="s">
        <v>2078</v>
      </c>
      <c r="E204" s="275">
        <f>obalV3H1Comp+decV3H1Dev</f>
        <v>6</v>
      </c>
      <c r="F204" t="s">
        <v>2086</v>
      </c>
      <c r="H204" t="b">
        <f>MAX(E204:E204)=MIN(E204:E204)</f>
        <v>1</v>
      </c>
    </row>
    <row r="205" spans="1:8" ht="11.25">
      <c r="B205" t="s">
        <v>2079</v>
      </c>
      <c r="E205" s="275">
        <f>obalV3H2Comp+decV3H2Dev</f>
        <v>2</v>
      </c>
      <c r="F205" t="s">
        <v>1620</v>
      </c>
      <c r="H205" t="b">
        <f>MAX(E205:E205)=MIN(E205:E205)</f>
        <v>1</v>
      </c>
    </row>
    <row r="206" spans="1:8" ht="11.25">
      <c r="B206" t="s">
        <v>2080</v>
      </c>
      <c r="E206" s="275">
        <f>obalV3H3Comp+decV3H3Dev</f>
        <v>2</v>
      </c>
      <c r="F206" t="s">
        <v>4000</v>
      </c>
      <c r="H206" t="b">
        <f>MAX(E206:E206)=MIN(E206:E206)</f>
        <v>1</v>
      </c>
    </row>
    <row r="207" spans="1:8" ht="11.25">
      <c r="B207" t="s">
        <v>2322</v>
      </c>
      <c r="E207" s="393">
        <f>SUM(E198:E206)</f>
        <v>24</v>
      </c>
      <c r="F207" t="s">
        <v>2323</v>
      </c>
      <c r="H207" t="b">
        <f>MAX(E207:E207)=MIN(E207:E207)</f>
        <v>1</v>
      </c>
    </row>
    <row r="208" spans="1:8" ht="11.25">
      <c r="A208" s="2" t="s">
        <v>1929</v>
      </c>
      <c r="E208" s="109"/>
      <c r="H208" t="b">
        <f>MAX(E208:E208)=MIN(E208:E208)</f>
        <v>1</v>
      </c>
    </row>
    <row r="209" spans="1:8" ht="11.25">
      <c r="B209" t="s">
        <v>946</v>
      </c>
      <c r="E209" s="109">
        <f>obalV1Competency+decV1H1Dev+decV1H2Dev+decV1H3Dev</f>
        <v>10</v>
      </c>
      <c r="F209" t="s">
        <v>1673</v>
      </c>
      <c r="H209" t="b">
        <f>MAX(E209:E209)=MIN(E209:E209)</f>
        <v>1</v>
      </c>
    </row>
    <row r="210" spans="1:8" ht="11.25">
      <c r="B210" t="s">
        <v>947</v>
      </c>
      <c r="E210" s="109">
        <f>obalV2Competency+decV2H1Dev+decV2H2Dev+decV2H3Dev</f>
        <v>4</v>
      </c>
      <c r="F210" t="s">
        <v>1674</v>
      </c>
      <c r="H210" t="b">
        <f>MAX(E210:E210)=MIN(E210:E210)</f>
        <v>1</v>
      </c>
    </row>
    <row r="211" spans="1:8" ht="11.25">
      <c r="B211" t="s">
        <v>948</v>
      </c>
      <c r="E211" s="109">
        <f>obalV3Competency+decV3H1Dev+decV3H2Dev+decV3H3Dev</f>
        <v>10</v>
      </c>
      <c r="F211" t="s">
        <v>1675</v>
      </c>
      <c r="H211" t="b">
        <f>MAX(E211:E211)=MIN(E211:E211)</f>
        <v>1</v>
      </c>
    </row>
    <row r="212" spans="1:8" ht="11.25">
      <c r="B212" t="s">
        <v>942</v>
      </c>
      <c r="E212" s="109">
        <f>obalH1Competency+decV1H1Dev+decV2H1Dev+decV3H1Dev</f>
        <v>10</v>
      </c>
      <c r="F212" t="s">
        <v>3638</v>
      </c>
      <c r="H212" t="b">
        <f>MAX(E212:E212)=MIN(E212:E212)</f>
        <v>1</v>
      </c>
    </row>
    <row r="213" spans="1:8" ht="11.25">
      <c r="B213" t="s">
        <v>943</v>
      </c>
      <c r="E213" s="109">
        <f>obalH2Competency+decV1H2Dev+decV2H2Dev+decV3H2Dev</f>
        <v>8</v>
      </c>
      <c r="F213" t="s">
        <v>3639</v>
      </c>
      <c r="H213" t="b">
        <f>MAX(E213:E213)=MIN(E213:E213)</f>
        <v>1</v>
      </c>
    </row>
    <row r="214" spans="1:8" ht="11.25">
      <c r="B214" t="s">
        <v>944</v>
      </c>
      <c r="E214" s="109">
        <f>obalH3Competency+decV1H3Dev+decV2H3Dev+decV3H3Dev</f>
        <v>6</v>
      </c>
      <c r="F214" t="s">
        <v>3640</v>
      </c>
      <c r="H214" t="b">
        <f>MAX(E214:E214)=MIN(E214:E214)</f>
        <v>1</v>
      </c>
    </row>
    <row r="215" spans="1:8" ht="11.25">
      <c r="E215" s="109"/>
      <c r="H215" t="b">
        <f>MAX(E215:E215)=MIN(E215:E215)</f>
        <v>1</v>
      </c>
    </row>
    <row r="216" spans="1:8" ht="11.25">
      <c r="A216" s="2" t="s">
        <v>295</v>
      </c>
      <c r="E216" s="109"/>
      <c r="H216" t="b">
        <f>MAX(E216:E216)=MIN(E216:E216)</f>
        <v>1</v>
      </c>
    </row>
    <row r="217" spans="1:8" ht="11.25">
      <c r="B217" t="s">
        <v>296</v>
      </c>
      <c r="E217" s="377">
        <f>obalBusBGenOpsPctCostReduce+capBusBGenOpsPctCostReduce</f>
        <v>0.14448945294954241</v>
      </c>
      <c r="F217" t="s">
        <v>297</v>
      </c>
      <c r="H217" t="b">
        <f>MAX(E217:E217)=MIN(E217:E217)</f>
        <v>1</v>
      </c>
    </row>
    <row r="218" spans="1:8" ht="11.25">
      <c r="E218" s="109"/>
      <c r="H218" t="b">
        <f>MAX(E218:E218)=MIN(E218:E218)</f>
        <v>1</v>
      </c>
    </row>
    <row r="219" spans="1:8" ht="11.25">
      <c r="A219" s="2" t="s">
        <v>3802</v>
      </c>
      <c r="E219" s="109"/>
      <c r="H219" t="b">
        <f>MAX(E219:E219)=MIN(E219:E219)</f>
        <v>1</v>
      </c>
    </row>
    <row r="220" spans="1:8" ht="11.25">
      <c r="A220" s="2"/>
      <c r="B220" t="s">
        <v>946</v>
      </c>
      <c r="E220" s="281">
        <f>IF(xxSim0Tool1=1,decProd1Growth,#REF!)</f>
        <v>0.2</v>
      </c>
      <c r="F220" t="s">
        <v>2372</v>
      </c>
      <c r="H220" t="b">
        <f>MAX(E220:E220)=MIN(E220:E220)</f>
        <v>1</v>
      </c>
    </row>
    <row r="221" spans="1:8" ht="11.25">
      <c r="A221" s="2"/>
      <c r="B221" t="s">
        <v>947</v>
      </c>
      <c r="E221" s="281">
        <f>IF(xxSim0Tool1=1,decProd1V2Growth,#REF!)</f>
        <v>0.2</v>
      </c>
      <c r="F221" t="s">
        <v>2373</v>
      </c>
      <c r="H221" t="b">
        <f>MAX(E221:E221)=MIN(E221:E221)</f>
        <v>1</v>
      </c>
    </row>
    <row r="222" spans="1:8" ht="11.25">
      <c r="B222" t="s">
        <v>948</v>
      </c>
      <c r="E222" s="281">
        <f>IF(xxSim0Tool1=1,decProd1V3Growth,#REF!)</f>
        <v>0.2</v>
      </c>
      <c r="F222" t="s">
        <v>2374</v>
      </c>
      <c r="H222" t="b">
        <f>MAX(E222:E222)=MIN(E222:E222)</f>
        <v>1</v>
      </c>
    </row>
    <row r="223" spans="1:8" ht="11.25">
      <c r="E223" s="109"/>
      <c r="H223" t="b">
        <f>MAX(E223:E223)=MIN(E223:E223)</f>
        <v>1</v>
      </c>
    </row>
    <row r="224" spans="1:8" ht="11.25">
      <c r="A224" s="2" t="str">
        <f>DataNameProd1</f>
        <v>Consulting</v>
      </c>
      <c r="C224" s="144"/>
      <c r="D224" s="658" t="s">
        <v>3344</v>
      </c>
      <c r="E224" s="109"/>
      <c r="H224" t="b">
        <f>MAX(E224:E224)=MIN(E224:E224)</f>
        <v>1</v>
      </c>
    </row>
    <row r="225" spans="1:8" ht="11.25">
      <c r="A225" s="2"/>
      <c r="B225" t="s">
        <v>946</v>
      </c>
      <c r="C225" s="144"/>
      <c r="D225" s="569">
        <v>1</v>
      </c>
      <c r="E225" s="321">
        <f>IF(xxSim0Tool1=1,capProd1V1HrsForecast,IF(xxYear=0,$D$225*MMProd1UnitsSoldSeg1,MMProd1UnitsSoldSeg1))</f>
        <v>852248.16297476855</v>
      </c>
      <c r="F225" t="s">
        <v>2124</v>
      </c>
      <c r="H225" t="b">
        <f>MAX(E225:E225)=MIN(E225:E225)</f>
        <v>1</v>
      </c>
    </row>
    <row r="226" spans="1:8" ht="11.25">
      <c r="A226" s="2"/>
      <c r="B226" t="s">
        <v>947</v>
      </c>
      <c r="C226" s="144"/>
      <c r="D226" s="569">
        <v>1</v>
      </c>
      <c r="E226" s="321">
        <f>IF(xxSim0Tool1=1,capProd1V2HrsForecast,IF(xxYear=0,$D$226*MMProd1UnitsSoldSeg2,MMProd1UnitsSoldSeg2))</f>
        <v>539313.29063247086</v>
      </c>
      <c r="F226" t="s">
        <v>2125</v>
      </c>
      <c r="H226" t="b">
        <f>MAX(E226:E226)=MIN(E226:E226)</f>
        <v>1</v>
      </c>
    </row>
    <row r="227" spans="1:8" ht="11.25">
      <c r="A227" s="2"/>
      <c r="B227" t="s">
        <v>948</v>
      </c>
      <c r="C227" s="144"/>
      <c r="D227" s="569">
        <v>1</v>
      </c>
      <c r="E227" s="321">
        <f>IF(xxSim0Tool1=1,capProd1V3HrsForecast,IF(xxYear=0,$D$227*MMProd1UnitsSoldSeg3,MMProd1UnitsSoldSeg3))</f>
        <v>251616.12430683646</v>
      </c>
      <c r="F227" t="s">
        <v>1066</v>
      </c>
      <c r="H227" t="b">
        <f>MAX(E227:E227)=MIN(E227:E227)</f>
        <v>1</v>
      </c>
    </row>
    <row r="228" spans="1:8" ht="11.25">
      <c r="A228" s="2" t="s">
        <v>913</v>
      </c>
      <c r="E228" s="109"/>
      <c r="H228" t="b">
        <f>MAX(E228:E228)=MIN(E228:E228)</f>
        <v>1</v>
      </c>
    </row>
    <row r="229" spans="1:8" ht="11.25">
      <c r="B229" t="s">
        <v>946</v>
      </c>
      <c r="E229" s="109">
        <f>decProd1Price</f>
        <v>255</v>
      </c>
      <c r="F229" t="s">
        <v>914</v>
      </c>
      <c r="H229" t="b">
        <f>MAX(E229:E229)=MIN(E229:E229)</f>
        <v>1</v>
      </c>
    </row>
    <row r="230" spans="1:8" ht="11.25">
      <c r="B230" t="s">
        <v>947</v>
      </c>
      <c r="E230" s="109">
        <f>decProd1V2Price</f>
        <v>275</v>
      </c>
      <c r="F230" t="s">
        <v>915</v>
      </c>
      <c r="H230" t="b">
        <f>MAX(E230:E230)=MIN(E230:E230)</f>
        <v>1</v>
      </c>
    </row>
    <row r="231" spans="1:8" ht="11.25">
      <c r="B231" t="s">
        <v>948</v>
      </c>
      <c r="E231" s="109">
        <f>decProd1V3Price</f>
        <v>295</v>
      </c>
      <c r="F231" t="s">
        <v>916</v>
      </c>
      <c r="H231" t="b">
        <f>MAX(E231:E231)=MIN(E231:E231)</f>
        <v>1</v>
      </c>
    </row>
    <row r="232" spans="1:8" ht="11.25">
      <c r="A232" s="2" t="s">
        <v>1842</v>
      </c>
      <c r="E232" s="109"/>
      <c r="H232" t="b">
        <f>MAX(E232:E232)=MIN(E232:E232)</f>
        <v>1</v>
      </c>
    </row>
    <row r="233" spans="1:8" ht="11.25">
      <c r="B233" t="s">
        <v>3293</v>
      </c>
      <c r="E233" s="322">
        <f>capBusABusDevNonPayrollBud</f>
        <v>2000000</v>
      </c>
      <c r="F233" t="s">
        <v>1843</v>
      </c>
      <c r="H233" t="b">
        <f>MAX(E233:E233)=MIN(E233:E233)</f>
        <v>1</v>
      </c>
    </row>
    <row r="234" spans="1:8" ht="11.25">
      <c r="B234" t="s">
        <v>635</v>
      </c>
      <c r="E234" s="322">
        <f>capBusBBusDevNonPayrollBud</f>
        <v>825000</v>
      </c>
      <c r="F234" t="s">
        <v>1844</v>
      </c>
      <c r="H234" t="b">
        <f>MAX(E234:E234)=MIN(E234:E234)</f>
        <v>1</v>
      </c>
    </row>
    <row r="235" spans="1:8" ht="11.25">
      <c r="E235" s="109"/>
      <c r="H235" t="b">
        <f>MAX(E235:E235)=MIN(E235:E235)</f>
        <v>1</v>
      </c>
    </row>
    <row r="236" spans="1:8" ht="11.25">
      <c r="A236" s="2" t="s">
        <v>3219</v>
      </c>
      <c r="E236" s="109"/>
      <c r="H236" t="b">
        <f>MAX(E236:E236)=MIN(E236:E236)</f>
        <v>1</v>
      </c>
    </row>
    <row r="237" spans="1:8" ht="11.25">
      <c r="B237" t="s">
        <v>4064</v>
      </c>
      <c r="E237" s="109"/>
      <c r="H237" t="b">
        <f>MAX(E237:E237)=MIN(E237:E237)</f>
        <v>1</v>
      </c>
    </row>
    <row r="238" spans="1:8" ht="11.25">
      <c r="C238" t="s">
        <v>42</v>
      </c>
      <c r="D238">
        <v>1</v>
      </c>
      <c r="E238" s="322">
        <f>IF(xxYear=$D238,finPNLProd1V1Rev,obalBusAV1Y1Rev)</f>
        <v>115165477.39585172</v>
      </c>
      <c r="F238" t="s">
        <v>2100</v>
      </c>
      <c r="H238" t="b">
        <f>MAX(E238:E238)=MIN(E238:E238)</f>
        <v>1</v>
      </c>
    </row>
    <row r="239" spans="1:8" ht="11.25">
      <c r="C239" t="s">
        <v>43</v>
      </c>
      <c r="D239">
        <v>1</v>
      </c>
      <c r="E239" s="322">
        <f>IF(xxYear=$D239,finPNLProd1V2Rev,obalBusAV2Y1Rev)</f>
        <v>62659656.377267309</v>
      </c>
      <c r="F239" t="s">
        <v>2101</v>
      </c>
      <c r="H239" t="b">
        <f>MAX(E239:E239)=MIN(E239:E239)</f>
        <v>1</v>
      </c>
    </row>
    <row r="240" spans="1:8" ht="11.25">
      <c r="C240" t="s">
        <v>44</v>
      </c>
      <c r="D240">
        <v>1</v>
      </c>
      <c r="E240" s="322">
        <f>IF(xxYear=$D240,finPNLProd1V3Rev,obalBusAV3Y1Rev)</f>
        <v>22687371.279670905</v>
      </c>
      <c r="F240" t="s">
        <v>2102</v>
      </c>
      <c r="H240" t="b">
        <f>MAX(E240:E240)=MIN(E240:E240)</f>
        <v>1</v>
      </c>
    </row>
    <row r="241" spans="1:8" ht="11.25">
      <c r="B241" t="s">
        <v>4065</v>
      </c>
      <c r="E241" s="322"/>
      <c r="H241" t="b">
        <f>MAX(E241:E241)=MIN(E241:E241)</f>
        <v>1</v>
      </c>
    </row>
    <row r="242" spans="1:8" ht="11.25">
      <c r="C242" t="s">
        <v>42</v>
      </c>
      <c r="D242">
        <v>2</v>
      </c>
      <c r="E242" s="322">
        <f>IF(xxYear=$D242,finPNLProd1V1Rev,obalBusAV1Y2Rev)</f>
        <v>0</v>
      </c>
      <c r="F242" t="s">
        <v>2103</v>
      </c>
      <c r="H242" t="b">
        <f>MAX(E242:E242)=MIN(E242:E242)</f>
        <v>1</v>
      </c>
    </row>
    <row r="243" spans="1:8" ht="11.25">
      <c r="C243" t="s">
        <v>43</v>
      </c>
      <c r="D243">
        <v>2</v>
      </c>
      <c r="E243" s="322">
        <f>IF(xxYear=$D243,finPNLProd1V2Rev,obalBusAV2Y2Rev)</f>
        <v>0</v>
      </c>
      <c r="F243" t="s">
        <v>2104</v>
      </c>
      <c r="H243" t="b">
        <f>MAX(E243:E243)=MIN(E243:E243)</f>
        <v>1</v>
      </c>
    </row>
    <row r="244" spans="1:8" ht="11.25">
      <c r="C244" t="s">
        <v>44</v>
      </c>
      <c r="D244">
        <v>2</v>
      </c>
      <c r="E244" s="322">
        <f>IF(xxYear=$D244,finPNLProd1V3Rev,obalBusAV3Y2Rev)</f>
        <v>0</v>
      </c>
      <c r="F244" t="s">
        <v>2105</v>
      </c>
      <c r="H244" t="b">
        <f>MAX(E244:E244)=MIN(E244:E244)</f>
        <v>1</v>
      </c>
    </row>
    <row r="245" spans="1:8" ht="11.25">
      <c r="B245" t="s">
        <v>4066</v>
      </c>
      <c r="E245" s="322"/>
      <c r="H245" t="b">
        <f>MAX(E245:E245)=MIN(E245:E245)</f>
        <v>1</v>
      </c>
    </row>
    <row r="246" spans="1:8" ht="11.25">
      <c r="C246" t="s">
        <v>42</v>
      </c>
      <c r="D246">
        <v>3</v>
      </c>
      <c r="E246" s="322">
        <f>IF(xxYear=$D246,finPNLProd1V1Rev,obalBusAV1Y3Rev)</f>
        <v>0</v>
      </c>
      <c r="F246" t="s">
        <v>2106</v>
      </c>
      <c r="H246" t="b">
        <f>MAX(E246:E246)=MIN(E246:E246)</f>
        <v>1</v>
      </c>
    </row>
    <row r="247" spans="1:8" ht="11.25">
      <c r="C247" t="s">
        <v>43</v>
      </c>
      <c r="D247">
        <v>3</v>
      </c>
      <c r="E247" s="322">
        <f>IF(xxYear=$D247,finPNLProd1V2Rev,obalBusAV2Y3Rev)</f>
        <v>0</v>
      </c>
      <c r="F247" t="s">
        <v>2107</v>
      </c>
      <c r="H247" t="b">
        <f>MAX(E247:E247)=MIN(E247:E247)</f>
        <v>1</v>
      </c>
    </row>
    <row r="248" spans="1:8" ht="11.25">
      <c r="C248" t="s">
        <v>44</v>
      </c>
      <c r="D248">
        <v>3</v>
      </c>
      <c r="E248" s="322">
        <f>IF(xxYear=$D248,finPNLProd1V3Rev,obalBusAV3Y3Rev)</f>
        <v>0</v>
      </c>
      <c r="F248" t="s">
        <v>2108</v>
      </c>
      <c r="H248" t="b">
        <f>MAX(E248:E248)=MIN(E248:E248)</f>
        <v>1</v>
      </c>
    </row>
    <row r="249" spans="1:8" ht="11.25">
      <c r="B249" t="s">
        <v>3220</v>
      </c>
      <c r="E249" s="322">
        <f>SUM(E238:E248)</f>
        <v>200512505.05278993</v>
      </c>
      <c r="F249" t="s">
        <v>3222</v>
      </c>
      <c r="H249" t="b">
        <f>MAX(E249:E249)=MIN(E249:E249)</f>
        <v>1</v>
      </c>
    </row>
    <row r="250" spans="1:8" ht="11.25">
      <c r="E250" s="109"/>
      <c r="H250" t="b">
        <f>MAX(E250:E250)=MIN(E250:E250)</f>
        <v>1</v>
      </c>
    </row>
    <row r="251" spans="1:8" ht="11.25">
      <c r="A251" s="2" t="s">
        <v>2109</v>
      </c>
      <c r="E251" s="109"/>
      <c r="H251" t="b">
        <f>MAX(E251:E251)=MIN(E251:E251)</f>
        <v>1</v>
      </c>
    </row>
    <row r="252" spans="1:8" ht="11.25">
      <c r="B252" t="s">
        <v>42</v>
      </c>
      <c r="E252" s="382">
        <f>finPNLBusAV1OpsMarginPct</f>
        <v>-0.13070969816471451</v>
      </c>
      <c r="F252" t="s">
        <v>695</v>
      </c>
      <c r="H252" t="b">
        <f>MAX(E252:E252)=MIN(E252:E252)</f>
        <v>1</v>
      </c>
    </row>
    <row r="253" spans="1:8" ht="11.25">
      <c r="B253" t="s">
        <v>43</v>
      </c>
      <c r="E253" s="382">
        <f>finPNLBusAV2OpsMarginPct</f>
        <v>-0.18202254386020991</v>
      </c>
      <c r="F253" t="s">
        <v>696</v>
      </c>
      <c r="H253" t="b">
        <f>MAX(E253:E253)=MIN(E253:E253)</f>
        <v>1</v>
      </c>
    </row>
    <row r="254" spans="1:8" ht="11.25">
      <c r="B254" t="s">
        <v>44</v>
      </c>
      <c r="E254" s="382">
        <f>finPNLBusAV3OpsMarginPct</f>
        <v>-0.42062232509328745</v>
      </c>
      <c r="F254" t="s">
        <v>4337</v>
      </c>
      <c r="H254" t="b">
        <f>MAX(E254:E254)=MIN(E254:E254)</f>
        <v>1</v>
      </c>
    </row>
    <row r="255" spans="1:8" ht="11.25">
      <c r="E255" s="109"/>
      <c r="H255" t="b">
        <f>MAX(E255:E255)=MIN(E255:E255)</f>
        <v>1</v>
      </c>
    </row>
    <row r="256" spans="1:8" ht="11.25">
      <c r="A256" s="2" t="s">
        <v>1430</v>
      </c>
      <c r="E256" s="109"/>
      <c r="H256" t="b">
        <f>MAX(E256:E256)=MIN(E256:E256)</f>
        <v>1</v>
      </c>
    </row>
    <row r="257" spans="1:8" ht="11.25">
      <c r="B257" t="s">
        <v>946</v>
      </c>
      <c r="E257" s="382">
        <v>0</v>
      </c>
      <c r="F257" t="s">
        <v>1431</v>
      </c>
      <c r="H257" t="b">
        <f>MAX(E257:E257)=MIN(E257:E257)</f>
        <v>1</v>
      </c>
    </row>
    <row r="258" spans="1:8" ht="11.25">
      <c r="B258" t="s">
        <v>947</v>
      </c>
      <c r="E258" s="382">
        <v>0</v>
      </c>
      <c r="F258" t="s">
        <v>1432</v>
      </c>
      <c r="H258" t="b">
        <f>MAX(E258:E258)=MIN(E258:E258)</f>
        <v>1</v>
      </c>
    </row>
    <row r="259" spans="1:8" ht="11.25">
      <c r="B259" t="s">
        <v>948</v>
      </c>
      <c r="E259" s="382">
        <v>0</v>
      </c>
      <c r="F259" t="s">
        <v>3634</v>
      </c>
      <c r="H259" t="b">
        <f>MAX(E259:E259)=MIN(E259:E259)</f>
        <v>1</v>
      </c>
    </row>
    <row r="260" spans="1:8" ht="11.25">
      <c r="A260" s="2" t="s">
        <v>4137</v>
      </c>
      <c r="E260" s="382">
        <f>finPNLNetIncome/finPNLTotalRev</f>
        <v>-0.11422084005185305</v>
      </c>
      <c r="F260" t="s">
        <v>4138</v>
      </c>
      <c r="H260" t="b">
        <f>MAX(E260:E260)=MIN(E260:E260)</f>
        <v>1</v>
      </c>
    </row>
    <row r="261" spans="1:8" ht="11.25">
      <c r="A261" s="2" t="s">
        <v>2230</v>
      </c>
      <c r="E261" s="110"/>
      <c r="H261" t="b">
        <f>MAX(E261:E261)=MIN(E261:E261)</f>
        <v>1</v>
      </c>
    </row>
    <row r="262" spans="1:8" ht="11.25">
      <c r="B262" t="s">
        <v>1701</v>
      </c>
      <c r="D262">
        <v>1</v>
      </c>
      <c r="E262" s="110">
        <f>IF(xxSim0Tool1=0,IF(xxYear=$D262,#REF!,obalY1V1H1BidWon),obalY1V1H1BidWon)</f>
        <v>0</v>
      </c>
      <c r="F262" t="s">
        <v>4260</v>
      </c>
      <c r="H262" t="b">
        <f>MAX(E262:E262)=MIN(E262:E262)</f>
        <v>1</v>
      </c>
    </row>
    <row r="263" spans="1:8" ht="11.25">
      <c r="B263" t="s">
        <v>2160</v>
      </c>
      <c r="D263">
        <v>1</v>
      </c>
      <c r="E263" s="110">
        <f>IF(xxSim0Tool1=0,IF(xxYear=$D263,#REF!,obalY1V1H2BidWon),obalY1V1H2BidWon)</f>
        <v>0</v>
      </c>
      <c r="F263" t="s">
        <v>4261</v>
      </c>
      <c r="H263" t="b">
        <f>MAX(E263:E263)=MIN(E263:E263)</f>
        <v>1</v>
      </c>
    </row>
    <row r="264" spans="1:8" ht="11.25">
      <c r="B264" t="s">
        <v>2559</v>
      </c>
      <c r="D264">
        <v>1</v>
      </c>
      <c r="E264" s="110">
        <f>IF(xxSim0Tool1=0,IF(xxYear=$D264,#REF!,obalY1V1H3BidWon),obalY1V1H3BidWon)</f>
        <v>0</v>
      </c>
      <c r="F264" t="s">
        <v>4262</v>
      </c>
      <c r="H264" t="b">
        <f>MAX(E264:E264)=MIN(E264:E264)</f>
        <v>1</v>
      </c>
    </row>
    <row r="265" spans="1:8" ht="11.25">
      <c r="B265" t="s">
        <v>2560</v>
      </c>
      <c r="D265">
        <v>1</v>
      </c>
      <c r="E265" s="110">
        <f>IF(xxSim0Tool1=0,IF(xxYear=$D265,#REF!,obalY1V2H1BidWon),obalY1V2H1BidWon)</f>
        <v>0</v>
      </c>
      <c r="F265" t="s">
        <v>4263</v>
      </c>
      <c r="H265" t="b">
        <f>MAX(E265:E265)=MIN(E265:E265)</f>
        <v>1</v>
      </c>
    </row>
    <row r="266" spans="1:8" ht="11.25">
      <c r="B266" t="s">
        <v>2561</v>
      </c>
      <c r="D266">
        <v>1</v>
      </c>
      <c r="E266" s="110">
        <f>IF(xxSim0Tool1=0,IF(xxYear=$D266,#REF!,obalY1V2H2BidWon),obalY1V2H2BidWon)</f>
        <v>0</v>
      </c>
      <c r="F266" t="s">
        <v>4264</v>
      </c>
      <c r="H266" t="b">
        <f>MAX(E266:E266)=MIN(E266:E266)</f>
        <v>1</v>
      </c>
    </row>
    <row r="267" spans="1:8" ht="11.25">
      <c r="B267" t="s">
        <v>2562</v>
      </c>
      <c r="D267">
        <v>1</v>
      </c>
      <c r="E267" s="110">
        <f>IF(xxSim0Tool1=0,IF(xxYear=$D267,#REF!,obalY1V2H3BidWon),obalY1V2H3BidWon)</f>
        <v>0</v>
      </c>
      <c r="F267" t="s">
        <v>4315</v>
      </c>
      <c r="H267" t="b">
        <f>MAX(E267:E267)=MIN(E267:E267)</f>
        <v>1</v>
      </c>
    </row>
    <row r="268" spans="1:8" ht="11.25">
      <c r="B268" t="s">
        <v>2563</v>
      </c>
      <c r="D268">
        <v>1</v>
      </c>
      <c r="E268" s="110">
        <f>IF(xxSim0Tool1=0,IF(xxYear=$D268,#REF!,obalY1V3H1BidWon),obalY1V3H1BidWon)</f>
        <v>0</v>
      </c>
      <c r="F268" t="s">
        <v>4316</v>
      </c>
      <c r="H268" t="b">
        <f>MAX(E268:E268)=MIN(E268:E268)</f>
        <v>1</v>
      </c>
    </row>
    <row r="269" spans="1:8" ht="11.25">
      <c r="B269" t="s">
        <v>2564</v>
      </c>
      <c r="D269">
        <v>1</v>
      </c>
      <c r="E269" s="110">
        <f>IF(xxSim0Tool1=0,IF(xxYear=$D269,#REF!,obalY1V3H2BidWon),obalY1V3H2BidWon)</f>
        <v>0</v>
      </c>
      <c r="F269" t="s">
        <v>4317</v>
      </c>
      <c r="H269" t="b">
        <f>MAX(E269:E269)=MIN(E269:E269)</f>
        <v>1</v>
      </c>
    </row>
    <row r="270" spans="1:8" ht="11.25">
      <c r="B270" t="s">
        <v>2565</v>
      </c>
      <c r="D270">
        <v>1</v>
      </c>
      <c r="E270" s="110">
        <f>IF(xxSim0Tool1=0,IF(xxYear=$D270,#REF!,obalY1V3H3BidWon),obalY1V3H3BidWon)</f>
        <v>0</v>
      </c>
      <c r="F270" t="s">
        <v>4318</v>
      </c>
      <c r="H270" t="b">
        <f>MAX(E270:E270)=MIN(E270:E270)</f>
        <v>1</v>
      </c>
    </row>
    <row r="271" spans="1:8" ht="11.25">
      <c r="B271" t="s">
        <v>2566</v>
      </c>
      <c r="D271">
        <v>2</v>
      </c>
      <c r="E271" s="110">
        <f>IF(xxSim0Tool1=0,IF(xxYear=$D271,#REF!,obalY2V1H1BidWon),obalY2V1H1BidWon)</f>
        <v>0</v>
      </c>
      <c r="F271" t="s">
        <v>4319</v>
      </c>
      <c r="H271" t="b">
        <f>MAX(E271:E271)=MIN(E271:E271)</f>
        <v>1</v>
      </c>
    </row>
    <row r="272" spans="1:8" ht="11.25">
      <c r="B272" t="s">
        <v>2567</v>
      </c>
      <c r="D272">
        <v>2</v>
      </c>
      <c r="E272" s="110">
        <f>IF(xxSim0Tool1=0,IF(xxYear=$D272,#REF!,obalY2V1H2BidWon),obalY2V1H2BidWon)</f>
        <v>0</v>
      </c>
      <c r="F272" t="s">
        <v>4320</v>
      </c>
      <c r="H272" t="b">
        <f>MAX(E272:E272)=MIN(E272:E272)</f>
        <v>1</v>
      </c>
    </row>
    <row r="273" spans="2:8" ht="11.25">
      <c r="B273" t="s">
        <v>2568</v>
      </c>
      <c r="D273">
        <v>2</v>
      </c>
      <c r="E273" s="110">
        <f>IF(xxSim0Tool1=0,IF(xxYear=$D273,#REF!,obalY2V1H3BidWon),obalY2V1H3BidWon)</f>
        <v>0</v>
      </c>
      <c r="F273" t="s">
        <v>4321</v>
      </c>
      <c r="H273" t="b">
        <f>MAX(E273:E273)=MIN(E273:E273)</f>
        <v>1</v>
      </c>
    </row>
    <row r="274" spans="2:8" ht="11.25">
      <c r="B274" t="s">
        <v>2128</v>
      </c>
      <c r="D274">
        <v>2</v>
      </c>
      <c r="E274" s="110">
        <f>IF(xxSim0Tool1=0,IF(xxYear=$D274,#REF!,obalY2V2H1BidWon),obalY2V2H1BidWon)</f>
        <v>0</v>
      </c>
      <c r="F274" t="s">
        <v>4322</v>
      </c>
      <c r="H274" t="b">
        <f>MAX(E274:E274)=MIN(E274:E274)</f>
        <v>1</v>
      </c>
    </row>
    <row r="275" spans="2:8" ht="11.25">
      <c r="B275" t="s">
        <v>2129</v>
      </c>
      <c r="D275">
        <v>2</v>
      </c>
      <c r="E275" s="110">
        <f>IF(xxSim0Tool1=0,IF(xxYear=$D275,#REF!,obalY2V2H2BidWon),obalY2V2H2BidWon)</f>
        <v>0</v>
      </c>
      <c r="F275" t="s">
        <v>4323</v>
      </c>
      <c r="H275" t="b">
        <f>MAX(E275:E275)=MIN(E275:E275)</f>
        <v>1</v>
      </c>
    </row>
    <row r="276" spans="2:8" ht="11.25">
      <c r="B276" t="s">
        <v>2130</v>
      </c>
      <c r="D276">
        <v>2</v>
      </c>
      <c r="E276" s="110">
        <f>IF(xxSim0Tool1=0,IF(xxYear=$D276,#REF!,obalY2V2H3BidWon),obalY2V2H3BidWon)</f>
        <v>0</v>
      </c>
      <c r="F276" t="s">
        <v>4324</v>
      </c>
      <c r="H276" t="b">
        <f>MAX(E276:E276)=MIN(E276:E276)</f>
        <v>1</v>
      </c>
    </row>
    <row r="277" spans="2:8" ht="11.25">
      <c r="B277" t="s">
        <v>1992</v>
      </c>
      <c r="D277">
        <v>2</v>
      </c>
      <c r="E277" s="110">
        <f>IF(xxSim0Tool1=0,IF(xxYear=$D277,#REF!,obalY2V3H1BidWon),obalY2V3H1BidWon)</f>
        <v>0</v>
      </c>
      <c r="F277" t="s">
        <v>4325</v>
      </c>
      <c r="H277" t="b">
        <f>MAX(E277:E277)=MIN(E277:E277)</f>
        <v>1</v>
      </c>
    </row>
    <row r="278" spans="2:8" ht="11.25">
      <c r="B278" t="s">
        <v>1786</v>
      </c>
      <c r="D278">
        <v>2</v>
      </c>
      <c r="E278" s="110">
        <f>IF(xxSim0Tool1=0,IF(xxYear=$D278,#REF!,obalY2V3H2BidWon),obalY2V3H2BidWon)</f>
        <v>0</v>
      </c>
      <c r="F278" t="s">
        <v>3488</v>
      </c>
      <c r="H278" t="b">
        <f>MAX(E278:E278)=MIN(E278:E278)</f>
        <v>1</v>
      </c>
    </row>
    <row r="279" spans="2:8" ht="11.25">
      <c r="B279" t="s">
        <v>1787</v>
      </c>
      <c r="D279">
        <v>2</v>
      </c>
      <c r="E279" s="110">
        <f>IF(xxSim0Tool1=0,IF(xxYear=$D279,#REF!,obalY2V3H3BidWon),obalY2V3H3BidWon)</f>
        <v>0</v>
      </c>
      <c r="F279" t="s">
        <v>3489</v>
      </c>
      <c r="H279" t="b">
        <f>MAX(E279:E279)=MIN(E279:E279)</f>
        <v>1</v>
      </c>
    </row>
    <row r="280" spans="2:8" ht="11.25">
      <c r="B280" t="s">
        <v>1788</v>
      </c>
      <c r="D280">
        <v>3</v>
      </c>
      <c r="E280" s="110">
        <f>IF(xxSim0Tool1=0,IF(xxYear=$D280,#REF!,obalY3V1H1BidWon),obalY3V1H1BidWon)</f>
        <v>0</v>
      </c>
      <c r="F280" t="s">
        <v>3490</v>
      </c>
      <c r="H280" t="b">
        <f>MAX(E280:E280)=MIN(E280:E280)</f>
        <v>1</v>
      </c>
    </row>
    <row r="281" spans="2:8" ht="11.25">
      <c r="B281" t="s">
        <v>4505</v>
      </c>
      <c r="D281">
        <v>3</v>
      </c>
      <c r="E281" s="110">
        <f>IF(xxSim0Tool1=0,IF(xxYear=$D281,#REF!,obalY3V1H2BidWon),obalY3V1H2BidWon)</f>
        <v>0</v>
      </c>
      <c r="F281" t="s">
        <v>3491</v>
      </c>
      <c r="H281" t="b">
        <f>MAX(E281:E281)=MIN(E281:E281)</f>
        <v>1</v>
      </c>
    </row>
    <row r="282" spans="2:8" ht="11.25">
      <c r="B282" t="s">
        <v>822</v>
      </c>
      <c r="D282">
        <v>3</v>
      </c>
      <c r="E282" s="110">
        <f>IF(xxSim0Tool1=0,IF(xxYear=$D282,#REF!,obalY3V1H3BidWon),obalY3V1H3BidWon)</f>
        <v>0</v>
      </c>
      <c r="F282" t="s">
        <v>3492</v>
      </c>
      <c r="H282" t="b">
        <f>MAX(E282:E282)=MIN(E282:E282)</f>
        <v>1</v>
      </c>
    </row>
    <row r="283" spans="2:8" ht="11.25">
      <c r="B283" t="s">
        <v>823</v>
      </c>
      <c r="D283">
        <v>3</v>
      </c>
      <c r="E283" s="110">
        <f>IF(xxSim0Tool1=0,IF(xxYear=$D283,#REF!,obalY3V2H1BidWon),obalY3V2H1BidWon)</f>
        <v>0</v>
      </c>
      <c r="F283" t="s">
        <v>2617</v>
      </c>
      <c r="H283" t="b">
        <f>MAX(E283:E283)=MIN(E283:E283)</f>
        <v>1</v>
      </c>
    </row>
    <row r="284" spans="2:8" ht="11.25">
      <c r="B284" t="s">
        <v>824</v>
      </c>
      <c r="D284" s="26">
        <v>3</v>
      </c>
      <c r="E284" s="110">
        <f>IF(xxSim0Tool1=0,IF(xxYear=$D284,#REF!,obalY3V2H2BidWon),obalY3V2H2BidWon)</f>
        <v>0</v>
      </c>
      <c r="F284" t="s">
        <v>2618</v>
      </c>
      <c r="H284" t="b">
        <f>MAX(E284:E284)=MIN(E284:E284)</f>
        <v>1</v>
      </c>
    </row>
    <row r="285" spans="2:8" ht="11.25">
      <c r="B285" t="s">
        <v>825</v>
      </c>
      <c r="D285">
        <v>3</v>
      </c>
      <c r="E285" s="110">
        <f>IF(xxSim0Tool1=0,IF(xxYear=$D285,#REF!,obalY3V2H3BidWon),obalY3V2H3BidWon)</f>
        <v>0</v>
      </c>
      <c r="F285" t="s">
        <v>2619</v>
      </c>
      <c r="H285" t="b">
        <f>MAX(E285:E285)=MIN(E285:E285)</f>
        <v>1</v>
      </c>
    </row>
    <row r="286" spans="2:8" ht="11.25">
      <c r="B286" t="s">
        <v>826</v>
      </c>
      <c r="D286">
        <v>3</v>
      </c>
      <c r="E286" s="110">
        <f>IF(xxSim0Tool1=0,IF(xxYear=$D286,#REF!,obalY3V3H1BidWon),obalY3V3H1BidWon)</f>
        <v>0</v>
      </c>
      <c r="F286" t="s">
        <v>2620</v>
      </c>
      <c r="H286" t="b">
        <f>MAX(E286:E286)=MIN(E286:E286)</f>
        <v>1</v>
      </c>
    </row>
    <row r="287" spans="2:8" ht="11.25">
      <c r="B287" t="s">
        <v>827</v>
      </c>
      <c r="D287">
        <v>3</v>
      </c>
      <c r="E287" s="110">
        <f>IF(xxSim0Tool1=0,IF(xxYear=$D287,#REF!,obalY3V3H2BidWon),obalY3V3H2BidWon)</f>
        <v>0</v>
      </c>
      <c r="F287" t="s">
        <v>2621</v>
      </c>
      <c r="H287" t="b">
        <f>MAX(E287:E287)=MIN(E287:E287)</f>
        <v>1</v>
      </c>
    </row>
    <row r="288" spans="2:8" ht="11.25">
      <c r="B288" t="s">
        <v>828</v>
      </c>
      <c r="D288">
        <v>3</v>
      </c>
      <c r="E288" s="110">
        <f>IF(xxSim0Tool1=0,IF(xxYear=$D288,#REF!,obalY3V3H3BidWon),obalY3V3H3BidWon)</f>
        <v>0</v>
      </c>
      <c r="F288" t="s">
        <v>2622</v>
      </c>
      <c r="H288" t="b">
        <f>MAX(E288:E288)=MIN(E288:E288)</f>
        <v>1</v>
      </c>
    </row>
    <row r="289" spans="1:8" ht="11.25">
      <c r="E289" s="110"/>
      <c r="H289" t="b">
        <f>MAX(E289:E289)=MIN(E289:E289)</f>
        <v>1</v>
      </c>
    </row>
    <row r="290" spans="1:8" ht="11.25">
      <c r="A290" s="2" t="s">
        <v>730</v>
      </c>
      <c r="E290" s="110"/>
      <c r="H290" t="b">
        <f>MAX(E290:E290)=MIN(E290:E290)</f>
        <v>1</v>
      </c>
    </row>
    <row r="291" spans="1:8" ht="11.25">
      <c r="B291" t="s">
        <v>1701</v>
      </c>
      <c r="D291">
        <v>1</v>
      </c>
      <c r="E291" s="110">
        <f>(IF(AND(cbalY1V1H1BidWon=1,xxYear=$D291),capBid1Price/paramBusBYearsPerContract,obalY1V1H1BidRev))+(IF(AND(xxYear=$D291,xxSim0Tool1=1),capBid1Price/paramBusBYearsPerContract,0))</f>
        <v>0</v>
      </c>
      <c r="F291" t="s">
        <v>1259</v>
      </c>
      <c r="H291" t="b">
        <f>MAX(E291:E291)=MIN(E291:E291)</f>
        <v>1</v>
      </c>
    </row>
    <row r="292" spans="1:8" ht="11.25">
      <c r="B292" t="s">
        <v>2160</v>
      </c>
      <c r="D292">
        <v>1</v>
      </c>
      <c r="E292" s="110">
        <f>(IF(AND(cbalY1V1H2BidWon=1,xxYear=$D292),capBid2Price/paramBusBYearsPerContract,obalY1V1H2BidRev))+(IF(AND(xxYear=$D292,xxSim0Tool1=1),capBid2Price/paramBusBYearsPerContract,0))</f>
        <v>0</v>
      </c>
      <c r="F292" t="s">
        <v>1260</v>
      </c>
      <c r="H292" t="b">
        <f>MAX(E292:E292)=MIN(E292:E292)</f>
        <v>1</v>
      </c>
    </row>
    <row r="293" spans="1:8" ht="11.25">
      <c r="B293" t="s">
        <v>2559</v>
      </c>
      <c r="D293">
        <v>1</v>
      </c>
      <c r="E293" s="110">
        <f>(IF(AND(cbalY1V1H3BidWon=1,xxYear=$D293),capBid3Price/paramBusBYearsPerContract,obalY1V1H3BidRev))+(IF(AND(xxYear=$D293,xxSim0Tool1=1),capBid3Price/paramBusBYearsPerContract,0))</f>
        <v>0</v>
      </c>
      <c r="F293" t="s">
        <v>2019</v>
      </c>
      <c r="H293" t="b">
        <f>MAX(E293:E293)=MIN(E293:E293)</f>
        <v>1</v>
      </c>
    </row>
    <row r="294" spans="1:8" ht="11.25">
      <c r="B294" t="s">
        <v>2560</v>
      </c>
      <c r="D294">
        <v>1</v>
      </c>
      <c r="E294" s="110">
        <f>(IF(AND(cbalY1V2H1BidWon=1,xxYear=$D294),capBid4Price/paramBusBYearsPerContract,obalY1V2H1BidRev))+(IF(AND(xxYear=$D294,xxSim0Tool1=1),capBid4Price/paramBusBYearsPerContract,0))</f>
        <v>0</v>
      </c>
      <c r="F294" t="s">
        <v>3041</v>
      </c>
      <c r="H294" t="b">
        <f>MAX(E294:E294)=MIN(E294:E294)</f>
        <v>1</v>
      </c>
    </row>
    <row r="295" spans="1:8" ht="11.25">
      <c r="B295" t="s">
        <v>2561</v>
      </c>
      <c r="D295">
        <v>1</v>
      </c>
      <c r="E295" s="110">
        <f>(IF(AND(cbalY1V2H2BidWon=1,xxYear=$D295),capBid5Price/paramBusBYearsPerContract,obalY1V2H2BidRev))+(IF(AND(xxYear=$D295,xxSim0Tool1=1),capBid5Price/paramBusBYearsPerContract,0))</f>
        <v>0</v>
      </c>
      <c r="F295" t="s">
        <v>3042</v>
      </c>
      <c r="H295" t="b">
        <f>MAX(E295:E295)=MIN(E295:E295)</f>
        <v>1</v>
      </c>
    </row>
    <row r="296" spans="1:8" ht="11.25">
      <c r="B296" t="s">
        <v>2562</v>
      </c>
      <c r="D296">
        <v>1</v>
      </c>
      <c r="E296" s="110">
        <f>(IF(AND(cbalY1V2H3BidWon=1,xxYear=$D296),capBid6Price/paramBusBYearsPerContract,obalY1V2H3BidRev))+(IF(AND(xxYear=$D296,xxSim0Tool1=1),capBid6Price/paramBusBYearsPerContract,0))</f>
        <v>0</v>
      </c>
      <c r="F296" t="s">
        <v>3043</v>
      </c>
      <c r="H296" t="b">
        <f>MAX(E296:E296)=MIN(E296:E296)</f>
        <v>1</v>
      </c>
    </row>
    <row r="297" spans="1:8" ht="11.25">
      <c r="B297" t="s">
        <v>2563</v>
      </c>
      <c r="D297">
        <v>1</v>
      </c>
      <c r="E297" s="110">
        <f>(IF(AND(cbalY1V3H1BidWon=1,xxYear=$D297),capBid7Price/paramBusBYearsPerContract,obalY1V3H1BidRev))+(IF(AND(xxYear=$D297,xxSim0Tool1=1),capBid7Price/paramBusBYearsPerContract,0))</f>
        <v>0</v>
      </c>
      <c r="F297" t="s">
        <v>3866</v>
      </c>
      <c r="H297" t="b">
        <f>MAX(E297:E297)=MIN(E297:E297)</f>
        <v>1</v>
      </c>
    </row>
    <row r="298" spans="1:8" ht="11.25">
      <c r="B298" t="s">
        <v>2564</v>
      </c>
      <c r="D298">
        <v>1</v>
      </c>
      <c r="E298" s="110">
        <f>(IF(AND(cbalY1V3H2BidWon=1,xxYear=$D298),capBid8Price/paramBusBYearsPerContract,obalY1V3H2BidRev))+(IF(AND(xxYear=$D298,xxSim0Tool1=1),capBid8Price/paramBusBYearsPerContract,0))</f>
        <v>0</v>
      </c>
      <c r="F298" t="s">
        <v>3867</v>
      </c>
      <c r="H298" t="b">
        <f>MAX(E298:E298)=MIN(E298:E298)</f>
        <v>1</v>
      </c>
    </row>
    <row r="299" spans="1:8" ht="11.25">
      <c r="B299" t="s">
        <v>2565</v>
      </c>
      <c r="D299">
        <v>1</v>
      </c>
      <c r="E299" s="110">
        <f>(IF(AND(cbalY1V3H3BidWon=1,xxYear=$D299),capBid9Price/paramBusBYearsPerContract,obalY1V3H3BidRev))+(IF(AND(xxYear=$D299,xxSim0Tool1=1),capBid9Price/paramBusBYearsPerContract,0))</f>
        <v>0</v>
      </c>
      <c r="F299" t="s">
        <v>3868</v>
      </c>
      <c r="H299" t="b">
        <f>MAX(E299:E299)=MIN(E299:E299)</f>
        <v>1</v>
      </c>
    </row>
    <row r="300" spans="1:8" ht="11.25">
      <c r="B300" t="s">
        <v>2566</v>
      </c>
      <c r="D300">
        <v>2</v>
      </c>
      <c r="E300" s="110">
        <f>(IF(AND(cbalY2V1H1BidWon=1,xxYear=$D300),capBid1Price/paramBusBYearsPerContract,obalY2V1H1BidRev))+(IF(AND(xxYear=$D300,xxSim0Tool1=1),capBid1Price/paramBusBYearsPerContract,0))</f>
        <v>0</v>
      </c>
      <c r="F300" t="s">
        <v>3869</v>
      </c>
      <c r="H300" t="b">
        <f>MAX(E300:E300)=MIN(E300:E300)</f>
        <v>1</v>
      </c>
    </row>
    <row r="301" spans="1:8" ht="11.25">
      <c r="B301" t="s">
        <v>2567</v>
      </c>
      <c r="D301">
        <v>2</v>
      </c>
      <c r="E301" s="110">
        <f>(IF(AND(cbalY2V1H2BidWon=1,xxYear=$D301),capBid2Price/paramBusBYearsPerContract,obalY2V1H2BidRev))+(IF(AND(xxYear=$D301,xxSim0Tool1=1),capBid2Price/paramBusBYearsPerContract,0))</f>
        <v>0</v>
      </c>
      <c r="F301" t="s">
        <v>2455</v>
      </c>
      <c r="H301" t="b">
        <f>MAX(E301:E301)=MIN(E301:E301)</f>
        <v>1</v>
      </c>
    </row>
    <row r="302" spans="1:8" ht="11.25">
      <c r="B302" t="s">
        <v>2568</v>
      </c>
      <c r="D302">
        <v>2</v>
      </c>
      <c r="E302" s="110">
        <f>(IF(AND(cbalY2V1H3BidWon=1,xxYear=$D302),capBid3Price/paramBusBYearsPerContract,obalY2V1H3BidRev))+(IF(AND(xxYear=$D302,xxSim0Tool1=1),capBid3Price/paramBusBYearsPerContract,0))</f>
        <v>0</v>
      </c>
      <c r="F302" t="s">
        <v>2456</v>
      </c>
      <c r="H302" t="b">
        <f>MAX(E302:E302)=MIN(E302:E302)</f>
        <v>1</v>
      </c>
    </row>
    <row r="303" spans="1:8" ht="11.25">
      <c r="B303" t="s">
        <v>2128</v>
      </c>
      <c r="D303">
        <v>2</v>
      </c>
      <c r="E303" s="110">
        <f>(IF(AND(cbalY2V2H1BidWon=1,xxYear=$D303),capBid4Price/paramBusBYearsPerContract,obalY2V2H1BidRev))+(IF(AND(xxYear=$D303,xxSim0Tool1=1),capBid4Price/paramBusBYearsPerContract,0))</f>
        <v>0</v>
      </c>
      <c r="F303" t="s">
        <v>2457</v>
      </c>
      <c r="H303" t="b">
        <f>MAX(E303:E303)=MIN(E303:E303)</f>
        <v>1</v>
      </c>
    </row>
    <row r="304" spans="1:8" ht="11.25">
      <c r="B304" t="s">
        <v>2129</v>
      </c>
      <c r="D304">
        <v>2</v>
      </c>
      <c r="E304" s="110">
        <f>(IF(AND(cbalY2V2H2BidWon=1,xxYear=$D304),capBid5Price/paramBusBYearsPerContract,obalY2V2H2BidRev))+(IF(AND(xxYear=$D304,xxSim0Tool1=1),capBid5Price/paramBusBYearsPerContract,0))</f>
        <v>0</v>
      </c>
      <c r="F304" t="s">
        <v>2458</v>
      </c>
      <c r="H304" t="b">
        <f>MAX(E304:E304)=MIN(E304:E304)</f>
        <v>1</v>
      </c>
    </row>
    <row r="305" spans="1:8" ht="11.25">
      <c r="B305" t="s">
        <v>2130</v>
      </c>
      <c r="D305">
        <v>2</v>
      </c>
      <c r="E305" s="110">
        <f>(IF(AND(cbalY2V2H3BidWon=1,xxYear=$D305),capBid6Price/paramBusBYearsPerContract,obalY2V2H3BidRev))+(IF(AND(xxYear=$D305,xxSim0Tool1=1),capBid6Price/paramBusBYearsPerContract,0))</f>
        <v>0</v>
      </c>
      <c r="F305" t="s">
        <v>2459</v>
      </c>
      <c r="H305" t="b">
        <f>MAX(E305:E305)=MIN(E305:E305)</f>
        <v>1</v>
      </c>
    </row>
    <row r="306" spans="1:8" ht="11.25">
      <c r="B306" t="s">
        <v>1992</v>
      </c>
      <c r="D306">
        <v>2</v>
      </c>
      <c r="E306" s="110">
        <f>(IF(AND(cbalY2V3H1BidWon=1,xxYear=$D306),capBid7Price/paramBusBYearsPerContract,obalY2V3H1BidRev))+(IF(AND(xxYear=$D306,xxSim0Tool1=1),capBid7Price/paramBusBYearsPerContract,0))</f>
        <v>0</v>
      </c>
      <c r="F306" t="s">
        <v>2460</v>
      </c>
      <c r="H306" t="b">
        <f>MAX(E306:E306)=MIN(E306:E306)</f>
        <v>1</v>
      </c>
    </row>
    <row r="307" spans="1:8" ht="11.25">
      <c r="B307" t="s">
        <v>1786</v>
      </c>
      <c r="D307">
        <v>2</v>
      </c>
      <c r="E307" s="110">
        <f>(IF(AND(cbalY2V3H2BidWon=1,xxYear=$D307),capBid8Price/paramBusBYearsPerContract,obalY2V3H2BidRev))+(IF(AND(xxYear=$D307,xxSim0Tool1=1),capBid8Price/paramBusBYearsPerContract,0))</f>
        <v>0</v>
      </c>
      <c r="F307" t="s">
        <v>2461</v>
      </c>
      <c r="H307" t="b">
        <f>MAX(E307:E307)=MIN(E307:E307)</f>
        <v>1</v>
      </c>
    </row>
    <row r="308" spans="1:8" ht="11.25">
      <c r="B308" t="s">
        <v>1787</v>
      </c>
      <c r="D308">
        <v>2</v>
      </c>
      <c r="E308" s="110">
        <f>(IF(AND(cbalY2V3H3BidWon=1,xxYear=$D308),capBid9Price/paramBusBYearsPerContract,obalY2V3H3BidRev))+(IF(AND(xxYear=$D308,xxSim0Tool1=1),capBid9Price/paramBusBYearsPerContract,0))</f>
        <v>0</v>
      </c>
      <c r="F308" t="s">
        <v>1562</v>
      </c>
      <c r="H308" t="b">
        <f>MAX(E308:E308)=MIN(E308:E308)</f>
        <v>1</v>
      </c>
    </row>
    <row r="309" spans="1:8" ht="11.25">
      <c r="B309" t="s">
        <v>1788</v>
      </c>
      <c r="D309">
        <v>3</v>
      </c>
      <c r="E309" s="110">
        <f>(IF(AND(cbalY3V1H1BidWon=1,xxYear=$D309),capBid1Price/paramBusBYearsPerContract,obalY3V1H1BidRev))+(IF(AND(xxYear=$D309,xxSim0Tool1=1),capBid1Price/paramBusBYearsPerContract,0))</f>
        <v>0</v>
      </c>
      <c r="F309" t="s">
        <v>1563</v>
      </c>
      <c r="H309" t="b">
        <f>MAX(E309:E309)=MIN(E309:E309)</f>
        <v>1</v>
      </c>
    </row>
    <row r="310" spans="1:8" ht="11.25">
      <c r="B310" t="s">
        <v>4505</v>
      </c>
      <c r="D310">
        <v>3</v>
      </c>
      <c r="E310" s="110">
        <f>(IF(AND(cbalY3V1H2BidWon=1,xxYear=$D310),capBid2Price/paramBusBYearsPerContract,obalY3V1H2BidRev))+(IF(AND(xxYear=$D310,xxSim0Tool1=1),capBid2Price/paramBusBYearsPerContract,0))</f>
        <v>0</v>
      </c>
      <c r="F310" t="s">
        <v>1564</v>
      </c>
      <c r="H310" t="b">
        <f>MAX(E310:E310)=MIN(E310:E310)</f>
        <v>1</v>
      </c>
    </row>
    <row r="311" spans="1:8" ht="11.25">
      <c r="B311" t="s">
        <v>822</v>
      </c>
      <c r="D311">
        <v>3</v>
      </c>
      <c r="E311" s="110">
        <f>(IF(AND(cbalY3V1H3BidWon=1,xxYear=$D311),capBid3Price/paramBusBYearsPerContract,obalY3V1H3BidRev))+(IF(AND(xxYear=$D311,xxSim0Tool1=1),capBid3Price/paramBusBYearsPerContract,0))</f>
        <v>0</v>
      </c>
      <c r="F311" t="s">
        <v>1565</v>
      </c>
      <c r="H311" t="b">
        <f>MAX(E311:E311)=MIN(E311:E311)</f>
        <v>1</v>
      </c>
    </row>
    <row r="312" spans="1:8" ht="11.25">
      <c r="B312" t="s">
        <v>823</v>
      </c>
      <c r="D312">
        <v>3</v>
      </c>
      <c r="E312" s="110">
        <f>(IF(AND(cbalY3V2H1BidWon=1,xxYear=$D312),capBid4Price/paramBusBYearsPerContract,obalY3V2H1BidRev))+(IF(AND(xxYear=$D312,xxSim0Tool1=1),capBid4Price/paramBusBYearsPerContract,0))</f>
        <v>0</v>
      </c>
      <c r="F312" t="s">
        <v>1566</v>
      </c>
      <c r="H312" t="b">
        <f>MAX(E312:E312)=MIN(E312:E312)</f>
        <v>1</v>
      </c>
    </row>
    <row r="313" spans="1:8" ht="11.25">
      <c r="B313" t="s">
        <v>824</v>
      </c>
      <c r="D313">
        <v>3</v>
      </c>
      <c r="E313" s="110">
        <f>(IF(AND(cbalY3V2H2BidWon=1,xxYear=$D313),capBid5Price/paramBusBYearsPerContract,obalY3V2H2BidRev))+(IF(AND(xxYear=$D313,xxSim0Tool1=1),capBid5Price/paramBusBYearsPerContract,0))</f>
        <v>0</v>
      </c>
      <c r="F313" t="s">
        <v>1567</v>
      </c>
      <c r="H313" t="b">
        <f>MAX(E313:E313)=MIN(E313:E313)</f>
        <v>1</v>
      </c>
    </row>
    <row r="314" spans="1:8" ht="11.25">
      <c r="B314" t="s">
        <v>825</v>
      </c>
      <c r="D314">
        <v>3</v>
      </c>
      <c r="E314" s="110">
        <f>(IF(AND(cbalY3V2H3BidWon=1,xxYear=$D314),capBid6Price/paramBusBYearsPerContract,obalY3V2H3BidRev))+(IF(AND(xxYear=$D314,xxSim0Tool1=1),capBid6Price/paramBusBYearsPerContract,0))</f>
        <v>0</v>
      </c>
      <c r="F314" t="s">
        <v>1568</v>
      </c>
      <c r="H314" t="b">
        <f>MAX(E314:E314)=MIN(E314:E314)</f>
        <v>1</v>
      </c>
    </row>
    <row r="315" spans="1:8" ht="11.25">
      <c r="B315" t="s">
        <v>826</v>
      </c>
      <c r="D315">
        <v>3</v>
      </c>
      <c r="E315" s="110">
        <f>(IF(AND(cbalY3V3H1BidWon=1,xxYear=$D315),capBid7Price/paramBusBYearsPerContract,obalY3V3H1BidRev))+(IF(AND(xxYear=$D315,xxSim0Tool1=1),capBid7Price/paramBusBYearsPerContract,0))</f>
        <v>0</v>
      </c>
      <c r="F315" t="s">
        <v>1569</v>
      </c>
      <c r="H315" t="b">
        <f>MAX(E315:E315)=MIN(E315:E315)</f>
        <v>1</v>
      </c>
    </row>
    <row r="316" spans="1:8" ht="11.25">
      <c r="B316" t="s">
        <v>827</v>
      </c>
      <c r="D316">
        <v>3</v>
      </c>
      <c r="E316" s="110">
        <f>(IF(AND(cbalY3V3H2BidWon=1,xxYear=$D316),capBid8Price/paramBusBYearsPerContract,obalY3V3H2BidRev))+(IF(AND(xxYear=$D316,xxSim0Tool1=1),capBid8Price/paramBusBYearsPerContract,0))</f>
        <v>0</v>
      </c>
      <c r="F316" t="s">
        <v>1570</v>
      </c>
      <c r="H316" t="b">
        <f>MAX(E316:E316)=MIN(E316:E316)</f>
        <v>1</v>
      </c>
    </row>
    <row r="317" spans="1:8" ht="11.25">
      <c r="B317" t="s">
        <v>828</v>
      </c>
      <c r="D317">
        <v>3</v>
      </c>
      <c r="E317" s="443">
        <f>(IF(AND(cbalY3V3H3BidWon=1,xxYear=$D317),capBid9Price/paramBusBYearsPerContract,obalY3V3H3BidRev))+(IF(AND(xxYear=$D317,xxSim0Tool1=1),capBid9Price/paramBusBYearsPerContract,0))</f>
        <v>0</v>
      </c>
      <c r="F317" t="s">
        <v>1571</v>
      </c>
      <c r="H317" t="b">
        <f>MAX(E317:E317)=MIN(E317:E317)</f>
        <v>1</v>
      </c>
    </row>
    <row r="318" spans="1:8" ht="11.25">
      <c r="B318" t="s">
        <v>1340</v>
      </c>
      <c r="E318" s="322">
        <f>SUM(E291:E317)</f>
        <v>0</v>
      </c>
      <c r="F318" t="s">
        <v>2706</v>
      </c>
      <c r="H318" t="b">
        <f>MAX(E318:E318)=MIN(E318:E318)</f>
        <v>1</v>
      </c>
    </row>
    <row r="319" spans="1:8" ht="11.25">
      <c r="A319" s="2" t="s">
        <v>423</v>
      </c>
      <c r="E319" s="110"/>
      <c r="H319" t="b">
        <f>MAX(E319:E319)=MIN(E319:E319)</f>
        <v>1</v>
      </c>
    </row>
    <row r="320" spans="1:8" ht="11.25">
      <c r="B320" t="s">
        <v>1701</v>
      </c>
      <c r="D320">
        <v>1</v>
      </c>
      <c r="E320" s="322">
        <f>capY1V1H1COS</f>
        <v>325550542.67778766</v>
      </c>
      <c r="F320" t="s">
        <v>1355</v>
      </c>
      <c r="H320" t="b">
        <f>MAX(E320:E320)=MIN(E320:E320)</f>
        <v>1</v>
      </c>
    </row>
    <row r="321" spans="2:8" ht="11.25">
      <c r="B321" t="s">
        <v>2160</v>
      </c>
      <c r="D321">
        <v>1</v>
      </c>
      <c r="E321" s="322">
        <f>capY1V1H2COS</f>
        <v>694548449.36338568</v>
      </c>
      <c r="F321" t="s">
        <v>1356</v>
      </c>
      <c r="H321" t="b">
        <f>MAX(E321:E321)=MIN(E321:E321)</f>
        <v>1</v>
      </c>
    </row>
    <row r="322" spans="2:8" ht="11.25">
      <c r="B322" t="s">
        <v>2559</v>
      </c>
      <c r="D322">
        <v>1</v>
      </c>
      <c r="E322" s="322">
        <f>capY1V1H3COS</f>
        <v>178029821.23532209</v>
      </c>
      <c r="F322" t="s">
        <v>1357</v>
      </c>
      <c r="H322" t="b">
        <f>MAX(E322:E322)=MIN(E322:E322)</f>
        <v>1</v>
      </c>
    </row>
    <row r="323" spans="2:8" ht="11.25">
      <c r="B323" t="s">
        <v>2560</v>
      </c>
      <c r="D323">
        <v>1</v>
      </c>
      <c r="E323" s="322">
        <f>capY1V2H1COS</f>
        <v>294342637.77573168</v>
      </c>
      <c r="F323" t="s">
        <v>3557</v>
      </c>
      <c r="H323" t="b">
        <f>MAX(E323:E323)=MIN(E323:E323)</f>
        <v>1</v>
      </c>
    </row>
    <row r="324" spans="2:8" ht="11.25">
      <c r="B324" t="s">
        <v>2561</v>
      </c>
      <c r="D324">
        <v>1</v>
      </c>
      <c r="E324" s="322">
        <f>capY1V2H2COS</f>
        <v>467329337.08191752</v>
      </c>
      <c r="F324" t="s">
        <v>3558</v>
      </c>
      <c r="H324" t="b">
        <f>MAX(E324:E324)=MIN(E324:E324)</f>
        <v>1</v>
      </c>
    </row>
    <row r="325" spans="2:8" ht="11.25">
      <c r="B325" t="s">
        <v>2562</v>
      </c>
      <c r="D325">
        <v>1</v>
      </c>
      <c r="E325" s="322">
        <f>capY1V2H3COS</f>
        <v>146220726.18176523</v>
      </c>
      <c r="F325" t="s">
        <v>3559</v>
      </c>
      <c r="H325" t="b">
        <f>MAX(E325:E325)=MIN(E325:E325)</f>
        <v>1</v>
      </c>
    </row>
    <row r="326" spans="2:8" ht="11.25">
      <c r="B326" t="s">
        <v>2563</v>
      </c>
      <c r="D326">
        <v>1</v>
      </c>
      <c r="E326" s="322">
        <f>capY1V3H1COS</f>
        <v>304993883.14819902</v>
      </c>
      <c r="F326" t="s">
        <v>1389</v>
      </c>
      <c r="H326" t="b">
        <f>MAX(E326:E326)=MIN(E326:E326)</f>
        <v>1</v>
      </c>
    </row>
    <row r="327" spans="2:8" ht="11.25">
      <c r="B327" t="s">
        <v>2564</v>
      </c>
      <c r="D327">
        <v>1</v>
      </c>
      <c r="E327" s="322">
        <f>capY1V3H2COS</f>
        <v>389441114.23493099</v>
      </c>
      <c r="F327" t="s">
        <v>1390</v>
      </c>
      <c r="H327" t="b">
        <f>MAX(E327:E327)=MIN(E327:E327)</f>
        <v>1</v>
      </c>
    </row>
    <row r="328" spans="2:8" ht="11.25">
      <c r="B328" t="s">
        <v>2565</v>
      </c>
      <c r="D328">
        <v>1</v>
      </c>
      <c r="E328" s="322">
        <f>capY1V3H3COS</f>
        <v>106817892.74119274</v>
      </c>
      <c r="F328" t="s">
        <v>1391</v>
      </c>
      <c r="H328" t="b">
        <f>MAX(E328:E328)=MIN(E328:E328)</f>
        <v>1</v>
      </c>
    </row>
    <row r="329" spans="2:8" ht="11.25">
      <c r="B329" t="s">
        <v>2566</v>
      </c>
      <c r="D329">
        <v>2</v>
      </c>
      <c r="E329" s="322">
        <f>capY2V1H1COS</f>
        <v>302189500.77564824</v>
      </c>
      <c r="F329" t="s">
        <v>1392</v>
      </c>
      <c r="H329" t="b">
        <f>MAX(E329:E329)=MIN(E329:E329)</f>
        <v>1</v>
      </c>
    </row>
    <row r="330" spans="2:8" ht="11.25">
      <c r="B330" t="s">
        <v>2567</v>
      </c>
      <c r="D330">
        <v>2</v>
      </c>
      <c r="E330" s="322">
        <f>capY2V1H2COS</f>
        <v>467329337.08191752</v>
      </c>
      <c r="F330" t="s">
        <v>1393</v>
      </c>
      <c r="H330" t="b">
        <f>MAX(E330:E330)=MIN(E330:E330)</f>
        <v>1</v>
      </c>
    </row>
    <row r="331" spans="2:8" ht="11.25">
      <c r="B331" t="s">
        <v>2568</v>
      </c>
      <c r="D331">
        <v>2</v>
      </c>
      <c r="E331" s="322">
        <f>capY2V1H3COS</f>
        <v>146220726.18176523</v>
      </c>
      <c r="F331" t="s">
        <v>1394</v>
      </c>
      <c r="H331" t="b">
        <f>MAX(E331:E331)=MIN(E331:E331)</f>
        <v>1</v>
      </c>
    </row>
    <row r="332" spans="2:8" ht="11.25">
      <c r="B332" t="s">
        <v>2128</v>
      </c>
      <c r="D332">
        <v>2</v>
      </c>
      <c r="E332" s="322">
        <f>capY2V2H1COS</f>
        <v>304993883.14819902</v>
      </c>
      <c r="F332" t="s">
        <v>1395</v>
      </c>
      <c r="H332" t="b">
        <f>MAX(E332:E332)=MIN(E332:E332)</f>
        <v>1</v>
      </c>
    </row>
    <row r="333" spans="2:8" ht="11.25">
      <c r="B333" t="s">
        <v>2129</v>
      </c>
      <c r="D333">
        <v>2</v>
      </c>
      <c r="E333" s="322">
        <f>capY2V2H2COS</f>
        <v>375840733.71901274</v>
      </c>
      <c r="F333" t="s">
        <v>1396</v>
      </c>
      <c r="H333" t="b">
        <f>MAX(E333:E333)=MIN(E333:E333)</f>
        <v>1</v>
      </c>
    </row>
    <row r="334" spans="2:8" ht="11.25">
      <c r="B334" t="s">
        <v>2130</v>
      </c>
      <c r="D334">
        <v>2</v>
      </c>
      <c r="E334" s="322">
        <f>capY2V2H3COS</f>
        <v>219331089.27264789</v>
      </c>
      <c r="F334" t="s">
        <v>1397</v>
      </c>
      <c r="H334" t="b">
        <f>MAX(E334:E334)=MIN(E334:E334)</f>
        <v>1</v>
      </c>
    </row>
    <row r="335" spans="2:8" ht="11.25">
      <c r="B335" t="s">
        <v>1992</v>
      </c>
      <c r="D335">
        <v>2</v>
      </c>
      <c r="E335" s="322">
        <f>capY2V3H1COS</f>
        <v>441513956.663598</v>
      </c>
      <c r="F335" t="s">
        <v>1398</v>
      </c>
      <c r="H335" t="b">
        <f>MAX(E335:E335)=MIN(E335:E335)</f>
        <v>1</v>
      </c>
    </row>
    <row r="336" spans="2:8" ht="11.25">
      <c r="B336" t="s">
        <v>1786</v>
      </c>
      <c r="D336">
        <v>2</v>
      </c>
      <c r="E336" s="322">
        <f>capY2V3H2COS</f>
        <v>389441114.23493099</v>
      </c>
      <c r="F336" t="s">
        <v>1399</v>
      </c>
      <c r="H336" t="b">
        <f>MAX(E336:E336)=MIN(E336:E336)</f>
        <v>1</v>
      </c>
    </row>
    <row r="337" spans="1:8" ht="11.25">
      <c r="B337" t="s">
        <v>1787</v>
      </c>
      <c r="D337">
        <v>2</v>
      </c>
      <c r="E337" s="322">
        <f>capY2V3H3COS</f>
        <v>219331089.27264789</v>
      </c>
      <c r="F337" t="s">
        <v>1400</v>
      </c>
      <c r="H337" t="b">
        <f>MAX(E337:E337)=MIN(E337:E337)</f>
        <v>1</v>
      </c>
    </row>
    <row r="338" spans="1:8" ht="11.25">
      <c r="B338" t="s">
        <v>1788</v>
      </c>
      <c r="D338">
        <v>3</v>
      </c>
      <c r="E338" s="322">
        <f>capY3V1H1COS</f>
        <v>151094750.38782454</v>
      </c>
      <c r="F338" t="s">
        <v>1401</v>
      </c>
      <c r="H338" t="b">
        <f>MAX(E338:E338)=MIN(E338:E338)</f>
        <v>1</v>
      </c>
    </row>
    <row r="339" spans="1:8" ht="11.25">
      <c r="B339" t="s">
        <v>4505</v>
      </c>
      <c r="D339">
        <v>3</v>
      </c>
      <c r="E339" s="322">
        <f>capY3V1H2COS</f>
        <v>375840733.71901274</v>
      </c>
      <c r="F339" t="s">
        <v>863</v>
      </c>
      <c r="H339" t="b">
        <f>MAX(E339:E339)=MIN(E339:E339)</f>
        <v>1</v>
      </c>
    </row>
    <row r="340" spans="1:8" ht="11.25">
      <c r="B340" t="s">
        <v>822</v>
      </c>
      <c r="D340">
        <v>3</v>
      </c>
      <c r="E340" s="322">
        <f>capY3V1H3COS</f>
        <v>106817892.74119274</v>
      </c>
      <c r="F340" t="s">
        <v>864</v>
      </c>
      <c r="H340" t="b">
        <f>MAX(E340:E340)=MIN(E340:E340)</f>
        <v>1</v>
      </c>
    </row>
    <row r="341" spans="1:8" ht="11.25">
      <c r="B341" t="s">
        <v>823</v>
      </c>
      <c r="D341">
        <v>3</v>
      </c>
      <c r="E341" s="322">
        <f>capY3V2H1COS</f>
        <v>294342637.77573168</v>
      </c>
      <c r="F341" t="s">
        <v>865</v>
      </c>
      <c r="H341" t="b">
        <f>MAX(E341:E341)=MIN(E341:E341)</f>
        <v>1</v>
      </c>
    </row>
    <row r="342" spans="1:8" ht="11.25">
      <c r="B342" t="s">
        <v>824</v>
      </c>
      <c r="D342">
        <v>3</v>
      </c>
      <c r="E342" s="322">
        <f>capY3V2H2COS</f>
        <v>385860249.64632517</v>
      </c>
      <c r="F342" t="s">
        <v>866</v>
      </c>
      <c r="H342" t="b">
        <f>MAX(E342:E342)=MIN(E342:E342)</f>
        <v>1</v>
      </c>
    </row>
    <row r="343" spans="1:8" ht="11.25">
      <c r="B343" t="s">
        <v>825</v>
      </c>
      <c r="D343">
        <v>3</v>
      </c>
      <c r="E343" s="322">
        <f>capY3V2H3COS</f>
        <v>295155370.78857934</v>
      </c>
      <c r="F343" t="s">
        <v>867</v>
      </c>
      <c r="H343" t="b">
        <f>MAX(E343:E343)=MIN(E343:E343)</f>
        <v>1</v>
      </c>
    </row>
    <row r="344" spans="1:8" ht="11.25">
      <c r="B344" t="s">
        <v>826</v>
      </c>
      <c r="D344">
        <v>3</v>
      </c>
      <c r="E344" s="322">
        <f>capY3V3H1COS</f>
        <v>367928297.21966529</v>
      </c>
      <c r="F344" t="s">
        <v>868</v>
      </c>
      <c r="H344" t="b">
        <f>MAX(E344:E344)=MIN(E344:E344)</f>
        <v>1</v>
      </c>
    </row>
    <row r="345" spans="1:8" ht="11.25">
      <c r="B345" t="s">
        <v>827</v>
      </c>
      <c r="D345">
        <v>3</v>
      </c>
      <c r="E345" s="322">
        <f>capY3V3H2COS</f>
        <v>526177027.20661712</v>
      </c>
      <c r="F345" t="s">
        <v>869</v>
      </c>
      <c r="H345" t="b">
        <f>MAX(E345:E345)=MIN(E345:E345)</f>
        <v>1</v>
      </c>
    </row>
    <row r="346" spans="1:8" ht="11.25">
      <c r="B346" t="s">
        <v>828</v>
      </c>
      <c r="D346">
        <v>3</v>
      </c>
      <c r="E346" s="322">
        <f>capY3V3H3COS</f>
        <v>284847713.97651482</v>
      </c>
      <c r="F346" t="s">
        <v>870</v>
      </c>
      <c r="H346" t="b">
        <f>MAX(E346:E346)=MIN(E346:E346)</f>
        <v>1</v>
      </c>
    </row>
    <row r="347" spans="1:8" ht="11.25">
      <c r="E347" s="109"/>
      <c r="H347" t="b">
        <f>MAX(E347:E347)=MIN(E347:E347)</f>
        <v>1</v>
      </c>
    </row>
    <row r="348" spans="1:8" ht="11.25">
      <c r="E348" s="322"/>
      <c r="H348" t="b">
        <f>MAX(E348:E348)=MIN(E348:E348)</f>
        <v>1</v>
      </c>
    </row>
    <row r="349" spans="1:8" ht="11.25">
      <c r="A349" s="2" t="s">
        <v>729</v>
      </c>
      <c r="E349" s="110"/>
      <c r="H349" t="b">
        <f>MAX(E349:E349)=MIN(E349:E349)</f>
        <v>1</v>
      </c>
    </row>
    <row r="350" spans="1:8" ht="11.25">
      <c r="B350" t="s">
        <v>1701</v>
      </c>
      <c r="D350">
        <v>1</v>
      </c>
      <c r="E350" s="322">
        <f>(IF(AND(cbalY1V1H1BidWon=1,xxYear=$D350),capY1V1H1COS/paramBusBYearsPerContract,obalY1V1H1COSRealized))</f>
        <v>0</v>
      </c>
      <c r="F350" t="s">
        <v>425</v>
      </c>
      <c r="H350" t="b">
        <f>MAX(E350:E350)=MIN(E350:E350)</f>
        <v>1</v>
      </c>
    </row>
    <row r="351" spans="1:8" ht="11.25">
      <c r="B351" t="s">
        <v>2160</v>
      </c>
      <c r="D351">
        <v>1</v>
      </c>
      <c r="E351" s="322">
        <f>(IF(AND(cbalY1V1H2BidWon=1,xxYear=$D351),capY1V1H2COS/paramBusBYearsPerContract,obalY1V1H2COSRealized))</f>
        <v>0</v>
      </c>
      <c r="F351" t="s">
        <v>426</v>
      </c>
      <c r="H351" t="b">
        <f>MAX(E351:E351)=MIN(E351:E351)</f>
        <v>1</v>
      </c>
    </row>
    <row r="352" spans="1:8" ht="11.25">
      <c r="B352" t="s">
        <v>2559</v>
      </c>
      <c r="D352">
        <v>1</v>
      </c>
      <c r="E352" s="322">
        <f>(IF(AND(cbalY1V1H3BidWon=1,xxYear=$D352),capY1V1H3COS/paramBusBYearsPerContract,obalY1V1H3COSRealized))</f>
        <v>0</v>
      </c>
      <c r="F352" t="s">
        <v>427</v>
      </c>
      <c r="H352" t="b">
        <f>MAX(E352:E352)=MIN(E352:E352)</f>
        <v>1</v>
      </c>
    </row>
    <row r="353" spans="2:8" ht="11.25">
      <c r="B353" t="s">
        <v>2560</v>
      </c>
      <c r="D353">
        <v>1</v>
      </c>
      <c r="E353" s="322">
        <f>(IF(AND(cbalY1V2H1BidWon=1,xxYear=$D353),capY1V2H1COS/paramBusBYearsPerContract,obalY1V2H1COSRealized))</f>
        <v>0</v>
      </c>
      <c r="F353" t="s">
        <v>428</v>
      </c>
      <c r="H353" t="b">
        <f>MAX(E353:E353)=MIN(E353:E353)</f>
        <v>1</v>
      </c>
    </row>
    <row r="354" spans="2:8" ht="11.25">
      <c r="B354" t="s">
        <v>2561</v>
      </c>
      <c r="D354">
        <v>1</v>
      </c>
      <c r="E354" s="322">
        <f>(IF(AND(cbalY1V2H2BidWon=1,xxYear=$D354),capY1V2H2COS/paramBusBYearsPerContract,obalY1V2H2COSRealized))</f>
        <v>0</v>
      </c>
      <c r="F354" t="s">
        <v>235</v>
      </c>
      <c r="H354" t="b">
        <f>MAX(E354:E354)=MIN(E354:E354)</f>
        <v>1</v>
      </c>
    </row>
    <row r="355" spans="2:8" ht="11.25">
      <c r="B355" t="s">
        <v>2562</v>
      </c>
      <c r="D355">
        <v>1</v>
      </c>
      <c r="E355" s="322">
        <f>(IF(AND(cbalY1V2H3BidWon=1,xxYear=$D355),capY1V2H3COS/paramBusBYearsPerContract,obalY1V2H3COSRealized))</f>
        <v>0</v>
      </c>
      <c r="F355" t="s">
        <v>236</v>
      </c>
      <c r="H355" t="b">
        <f>MAX(E355:E355)=MIN(E355:E355)</f>
        <v>1</v>
      </c>
    </row>
    <row r="356" spans="2:8" ht="11.25">
      <c r="B356" t="s">
        <v>2563</v>
      </c>
      <c r="D356">
        <v>1</v>
      </c>
      <c r="E356" s="322">
        <f>(IF(AND(cbalY1V3H1BidWon=1,xxYear=$D356),capY1V3H1COS/paramBusBYearsPerContract,obalY1V3H1COSRealized))</f>
        <v>0</v>
      </c>
      <c r="F356" t="s">
        <v>237</v>
      </c>
      <c r="H356" t="b">
        <f>MAX(E356:E356)=MIN(E356:E356)</f>
        <v>1</v>
      </c>
    </row>
    <row r="357" spans="2:8" ht="11.25">
      <c r="B357" t="s">
        <v>2564</v>
      </c>
      <c r="D357">
        <v>1</v>
      </c>
      <c r="E357" s="322">
        <f>(IF(AND(cbalY1V3H2BidWon=1,xxYear=$D357),capY1V3H2COS/paramBusBYearsPerContract,obalY1V3H2COSRealized))</f>
        <v>0</v>
      </c>
      <c r="F357" t="s">
        <v>238</v>
      </c>
      <c r="H357" t="b">
        <f>MAX(E357:E357)=MIN(E357:E357)</f>
        <v>1</v>
      </c>
    </row>
    <row r="358" spans="2:8" ht="11.25">
      <c r="B358" t="s">
        <v>2565</v>
      </c>
      <c r="D358">
        <v>1</v>
      </c>
      <c r="E358" s="322">
        <f>(IF(AND(cbalY1V3H3BidWon=1,xxYear=$D358),capY1V3H3COS/paramBusBYearsPerContract,obalY1V3H3COSRealized))</f>
        <v>0</v>
      </c>
      <c r="F358" t="s">
        <v>239</v>
      </c>
      <c r="H358" t="b">
        <f>MAX(E358:E358)=MIN(E358:E358)</f>
        <v>1</v>
      </c>
    </row>
    <row r="359" spans="2:8" ht="11.25">
      <c r="B359" t="s">
        <v>2566</v>
      </c>
      <c r="D359">
        <v>2</v>
      </c>
      <c r="E359" s="322">
        <f>(IF(AND(cbalY2V1H1BidWon=1,xxYear=$D359),capY2V1H1COS/paramBusBYearsPerContract,obalY2V1H1COSRealized))</f>
        <v>0</v>
      </c>
      <c r="F359" t="s">
        <v>240</v>
      </c>
      <c r="H359" t="b">
        <f>MAX(E359:E359)=MIN(E359:E359)</f>
        <v>1</v>
      </c>
    </row>
    <row r="360" spans="2:8" ht="11.25">
      <c r="B360" t="s">
        <v>2567</v>
      </c>
      <c r="D360">
        <v>2</v>
      </c>
      <c r="E360" s="322">
        <f>(IF(AND(cbalY2V1H2BidWon=1,xxYear=$D360),capY2V1H2COS/paramBusBYearsPerContract,obalY2V1H2COSRealized))</f>
        <v>0</v>
      </c>
      <c r="F360" t="s">
        <v>430</v>
      </c>
      <c r="H360" t="b">
        <f>MAX(E360:E360)=MIN(E360:E360)</f>
        <v>1</v>
      </c>
    </row>
    <row r="361" spans="2:8" ht="11.25">
      <c r="B361" t="s">
        <v>2568</v>
      </c>
      <c r="D361">
        <v>2</v>
      </c>
      <c r="E361" s="322">
        <f>(IF(AND(cbalY2V1H3BidWon=1,xxYear=$D361),capY2V1H3COS/paramBusBYearsPerContract,obalY2V1H3COSRealized))</f>
        <v>0</v>
      </c>
      <c r="F361" t="s">
        <v>431</v>
      </c>
      <c r="H361" t="b">
        <f>MAX(E361:E361)=MIN(E361:E361)</f>
        <v>1</v>
      </c>
    </row>
    <row r="362" spans="2:8" ht="11.25">
      <c r="B362" t="s">
        <v>2128</v>
      </c>
      <c r="D362">
        <v>2</v>
      </c>
      <c r="E362" s="322">
        <f>(IF(AND(cbalY2V2H1BidWon=1,xxYear=$D362),capY2V2H1COS/paramBusBYearsPerContract,obalY2V2H1COSRealized))</f>
        <v>0</v>
      </c>
      <c r="F362" t="s">
        <v>432</v>
      </c>
      <c r="H362" t="b">
        <f>MAX(E362:E362)=MIN(E362:E362)</f>
        <v>1</v>
      </c>
    </row>
    <row r="363" spans="2:8" ht="11.25">
      <c r="B363" t="s">
        <v>2129</v>
      </c>
      <c r="D363">
        <v>2</v>
      </c>
      <c r="E363" s="322">
        <f>(IF(AND(cbalY2V2H2BidWon=1,xxYear=$D363),capY2V2H2COS/paramBusBYearsPerContract,obalY2V2H2COSRealized))</f>
        <v>0</v>
      </c>
      <c r="F363" t="s">
        <v>433</v>
      </c>
      <c r="H363" t="b">
        <f>MAX(E363:E363)=MIN(E363:E363)</f>
        <v>1</v>
      </c>
    </row>
    <row r="364" spans="2:8" ht="11.25">
      <c r="B364" t="s">
        <v>2130</v>
      </c>
      <c r="D364">
        <v>2</v>
      </c>
      <c r="E364" s="322">
        <f>(IF(AND(cbalY2V2H3BidWon=1,xxYear=$D364),capY2V2H3COS/paramBusBYearsPerContract,obalY2V2H3COSRealized))</f>
        <v>0</v>
      </c>
      <c r="F364" t="s">
        <v>434</v>
      </c>
      <c r="H364" t="b">
        <f>MAX(E364:E364)=MIN(E364:E364)</f>
        <v>1</v>
      </c>
    </row>
    <row r="365" spans="2:8" ht="11.25">
      <c r="B365" t="s">
        <v>1992</v>
      </c>
      <c r="D365">
        <v>2</v>
      </c>
      <c r="E365" s="322">
        <f>(IF(AND(cbalY2V3H1BidWon=1,xxYear=$D365),capY2V3H1COS/paramBusBYearsPerContract,obalY2V3H1COSRealized))</f>
        <v>0</v>
      </c>
      <c r="F365" t="s">
        <v>435</v>
      </c>
      <c r="H365" t="b">
        <f>MAX(E365:E365)=MIN(E365:E365)</f>
        <v>1</v>
      </c>
    </row>
    <row r="366" spans="2:8" ht="11.25">
      <c r="B366" t="s">
        <v>1786</v>
      </c>
      <c r="D366">
        <v>2</v>
      </c>
      <c r="E366" s="322">
        <f>(IF(AND(cbalY2V3H2BidWon=1,xxYear=$D366),capY2V3H2COS/paramBusBYearsPerContract,obalY2V3H2COSRealized))</f>
        <v>0</v>
      </c>
      <c r="F366" t="s">
        <v>436</v>
      </c>
      <c r="H366" t="b">
        <f>MAX(E366:E366)=MIN(E366:E366)</f>
        <v>1</v>
      </c>
    </row>
    <row r="367" spans="2:8" ht="11.25">
      <c r="B367" t="s">
        <v>1787</v>
      </c>
      <c r="D367">
        <v>2</v>
      </c>
      <c r="E367" s="322">
        <f>(IF(AND(cbalY2V3H3BidWon=1,xxYear=$D367),capY2V3H3COS/paramBusBYearsPerContract,obalY2V3H3COSRealized))</f>
        <v>0</v>
      </c>
      <c r="F367" t="s">
        <v>437</v>
      </c>
      <c r="H367" t="b">
        <f>MAX(E367:E367)=MIN(E367:E367)</f>
        <v>1</v>
      </c>
    </row>
    <row r="368" spans="2:8" ht="11.25">
      <c r="B368" t="s">
        <v>1788</v>
      </c>
      <c r="D368">
        <v>3</v>
      </c>
      <c r="E368" s="322">
        <f>(IF(AND(cbalY3V1H1BidWon=1,xxYear=$D368),capY3V1H1COS/paramBusBYearsPerContract,obalY3V1H1COSRealized))</f>
        <v>0</v>
      </c>
      <c r="F368" t="s">
        <v>438</v>
      </c>
      <c r="H368" t="b">
        <f>MAX(E368:E368)=MIN(E368:E368)</f>
        <v>1</v>
      </c>
    </row>
    <row r="369" spans="1:8" ht="11.25">
      <c r="B369" t="s">
        <v>4505</v>
      </c>
      <c r="D369">
        <v>3</v>
      </c>
      <c r="E369" s="322">
        <f>(IF(AND(cbalY3V1H2BidWon=1,xxYear=$D369),capY3V1H2COS/paramBusBYearsPerContract,obalY3V1H2COSRealized))</f>
        <v>0</v>
      </c>
      <c r="F369" t="s">
        <v>439</v>
      </c>
      <c r="H369" t="b">
        <f>MAX(E369:E369)=MIN(E369:E369)</f>
        <v>1</v>
      </c>
    </row>
    <row r="370" spans="1:8" ht="11.25">
      <c r="B370" t="s">
        <v>822</v>
      </c>
      <c r="D370">
        <v>3</v>
      </c>
      <c r="E370" s="322">
        <f>(IF(AND(cbalY3V1H3BidWon=1,xxYear=$D370),capY3V1H3COS/paramBusBYearsPerContract,obalY3V1H3COSRealized))</f>
        <v>0</v>
      </c>
      <c r="F370" t="s">
        <v>440</v>
      </c>
      <c r="H370" t="b">
        <f>MAX(E370:E370)=MIN(E370:E370)</f>
        <v>1</v>
      </c>
    </row>
    <row r="371" spans="1:8" ht="11.25">
      <c r="B371" t="s">
        <v>823</v>
      </c>
      <c r="D371">
        <v>3</v>
      </c>
      <c r="E371" s="322">
        <f>(IF(AND(cbalY3V2H1BidWon=1,xxYear=$D371),capY3V2H1COS/paramBusBYearsPerContract,obalY3V2H1COSRealized))</f>
        <v>0</v>
      </c>
      <c r="F371" t="s">
        <v>441</v>
      </c>
      <c r="H371" t="b">
        <f>MAX(E371:E371)=MIN(E371:E371)</f>
        <v>1</v>
      </c>
    </row>
    <row r="372" spans="1:8" ht="11.25">
      <c r="B372" t="s">
        <v>824</v>
      </c>
      <c r="D372">
        <v>3</v>
      </c>
      <c r="E372" s="322">
        <f>(IF(AND(cbalY3V2H2BidWon=1,xxYear=$D372),capY3V2H2COS/paramBusBYearsPerContract,obalY3V2H2COSRealized))</f>
        <v>0</v>
      </c>
      <c r="F372" t="s">
        <v>442</v>
      </c>
      <c r="H372" t="b">
        <f>MAX(E372:E372)=MIN(E372:E372)</f>
        <v>1</v>
      </c>
    </row>
    <row r="373" spans="1:8" ht="11.25">
      <c r="B373" t="s">
        <v>825</v>
      </c>
      <c r="D373">
        <v>3</v>
      </c>
      <c r="E373" s="322">
        <f>(IF(AND(cbalY3V2H3BidWon=1,xxYear=$D373),capY3V2H3COS/paramBusBYearsPerContract,obalY3V2H3COSRealized))</f>
        <v>0</v>
      </c>
      <c r="F373" t="s">
        <v>443</v>
      </c>
      <c r="H373" t="b">
        <f>MAX(E373:E373)=MIN(E373:E373)</f>
        <v>1</v>
      </c>
    </row>
    <row r="374" spans="1:8" ht="11.25">
      <c r="B374" t="s">
        <v>826</v>
      </c>
      <c r="D374">
        <v>3</v>
      </c>
      <c r="E374" s="322">
        <f>(IF(AND(cbalY3V3H1BidWon=1,xxYear=$D374),capY3V3H1COS/paramBusBYearsPerContract,obalY3V3H1COSRealized))</f>
        <v>0</v>
      </c>
      <c r="F374" t="s">
        <v>1588</v>
      </c>
      <c r="H374" t="b">
        <f>MAX(E374:E374)=MIN(E374:E374)</f>
        <v>1</v>
      </c>
    </row>
    <row r="375" spans="1:8" ht="11.25">
      <c r="B375" t="s">
        <v>827</v>
      </c>
      <c r="D375">
        <v>3</v>
      </c>
      <c r="E375" s="322">
        <f>(IF(AND(cbalY3V3H2BidWon=1,xxYear=$D375),capY3V3H2COS/paramBusBYearsPerContract,obalY3V3H2COSRealized))</f>
        <v>0</v>
      </c>
      <c r="F375" t="s">
        <v>3283</v>
      </c>
      <c r="H375" t="b">
        <f>MAX(E375:E375)=MIN(E375:E375)</f>
        <v>1</v>
      </c>
    </row>
    <row r="376" spans="1:8" ht="11.25">
      <c r="B376" t="s">
        <v>828</v>
      </c>
      <c r="D376">
        <v>3</v>
      </c>
      <c r="E376" s="322">
        <f>(IF(AND(cbalY3V3H3BidWon=1,xxYear=$D376),capY3V3H3COS/paramBusBYearsPerContract,obalY3V3H3COSRealized))</f>
        <v>0</v>
      </c>
      <c r="F376" t="s">
        <v>821</v>
      </c>
      <c r="H376" t="b">
        <f>MAX(E376:E376)=MIN(E376:E376)</f>
        <v>1</v>
      </c>
    </row>
    <row r="377" spans="1:8" ht="11.25">
      <c r="E377" s="322"/>
      <c r="H377" t="b">
        <f>MAX(E377:E377)=MIN(E377:E377)</f>
        <v>1</v>
      </c>
    </row>
    <row r="378" spans="1:8" ht="11.25">
      <c r="A378" s="2" t="s">
        <v>2873</v>
      </c>
      <c r="E378" s="322"/>
      <c r="H378" t="b">
        <f>MAX(E378:E378)=MIN(E378:E378)</f>
        <v>1</v>
      </c>
    </row>
    <row r="379" spans="1:8" ht="11.25">
      <c r="A379" s="2">
        <v>1</v>
      </c>
      <c r="B379" t="s">
        <v>2535</v>
      </c>
      <c r="E379" s="582">
        <f ca="1">finCumBalCardRank</f>
        <v>1</v>
      </c>
      <c r="H379" t="b">
        <f ca="1">MAX(E379:E379)=MIN(E379:E379)</f>
        <v>1</v>
      </c>
    </row>
    <row r="380" spans="1:8" ht="11.25">
      <c r="A380" s="2">
        <v>2</v>
      </c>
      <c r="B380" t="s">
        <v>2364</v>
      </c>
      <c r="E380" s="582" t="str">
        <f>"T"&amp;cbalTeamNumber&amp;": "&amp;decTeamName</f>
        <v>T1: Entrevard</v>
      </c>
      <c r="H380" t="b">
        <f>MAX(E380:E380)=MIN(E380:E380)</f>
        <v>1</v>
      </c>
    </row>
    <row r="381" spans="1:8" ht="11.25">
      <c r="A381" s="2">
        <v>3</v>
      </c>
      <c r="B381" t="s">
        <v>2874</v>
      </c>
      <c r="D381">
        <v>1</v>
      </c>
      <c r="E381" s="322">
        <f>IF(xxYear=$D381,finPNLTotalRev,obalTotalRevY1)</f>
        <v>200512505.05278993</v>
      </c>
      <c r="F381" t="s">
        <v>2914</v>
      </c>
      <c r="H381" t="b">
        <f>MAX(E381:E381)=MIN(E381:E381)</f>
        <v>1</v>
      </c>
    </row>
    <row r="382" spans="1:8" ht="11.25">
      <c r="A382" s="2">
        <v>4</v>
      </c>
      <c r="B382" t="s">
        <v>2875</v>
      </c>
      <c r="D382">
        <v>2</v>
      </c>
      <c r="E382" s="322" t="str">
        <f>IF(xxYear=$D382,finPNLTotalRev,obalTotalRevY2)</f>
        <v>N/A</v>
      </c>
      <c r="F382" t="s">
        <v>2915</v>
      </c>
      <c r="H382" t="b">
        <f>MAX(E382:E382)=MIN(E382:E382)</f>
        <v>1</v>
      </c>
    </row>
    <row r="383" spans="1:8" ht="11.25">
      <c r="A383" s="2">
        <v>5</v>
      </c>
      <c r="B383" t="s">
        <v>2876</v>
      </c>
      <c r="D383">
        <v>3</v>
      </c>
      <c r="E383" s="322" t="str">
        <f>IF(xxYear=$D383,finPNLTotalRev,obalTotalRevY3)</f>
        <v>N/A</v>
      </c>
      <c r="F383" t="s">
        <v>2916</v>
      </c>
      <c r="H383" t="b">
        <f>MAX(E383:E383)=MIN(E383:E383)</f>
        <v>1</v>
      </c>
    </row>
    <row r="384" spans="1:8" ht="11.25">
      <c r="A384" s="2">
        <v>6</v>
      </c>
      <c r="B384" t="s">
        <v>2877</v>
      </c>
      <c r="D384" s="583">
        <v>3</v>
      </c>
      <c r="E384" s="322" t="str">
        <f>IF(xxYear=$D384,cbalConsultingRevenueY4+cbalOutsourcingRevY4,obalTotalRevY4)</f>
        <v>N/A</v>
      </c>
      <c r="F384" t="s">
        <v>1541</v>
      </c>
      <c r="H384" t="b">
        <f>MAX(E384:E384)=MIN(E384:E384)</f>
        <v>1</v>
      </c>
    </row>
    <row r="385" spans="1:8" ht="11.25">
      <c r="A385" s="2">
        <v>7</v>
      </c>
      <c r="B385" t="s">
        <v>2878</v>
      </c>
      <c r="D385">
        <v>1</v>
      </c>
      <c r="E385" s="322">
        <f>IF(xxYear=$D385,finBalCardTotalSalesGrowth,obalTotalSalesGrowthY1)</f>
        <v>0.30292902901643148</v>
      </c>
      <c r="F385" t="s">
        <v>1266</v>
      </c>
      <c r="H385" t="b">
        <f>MAX(E385:E385)=MIN(E385:E385)</f>
        <v>1</v>
      </c>
    </row>
    <row r="386" spans="1:8" ht="11.25">
      <c r="A386" s="2">
        <v>8</v>
      </c>
      <c r="B386" t="s">
        <v>2879</v>
      </c>
      <c r="D386">
        <v>2</v>
      </c>
      <c r="E386" s="322" t="str">
        <f>IF(xxYear=$D386,finBalCardTotalSalesGrowth,obalTotalSalesGrowthY2)</f>
        <v>N/A</v>
      </c>
      <c r="F386" t="s">
        <v>2896</v>
      </c>
      <c r="H386" t="b">
        <f>MAX(E386:E386)=MIN(E386:E386)</f>
        <v>1</v>
      </c>
    </row>
    <row r="387" spans="1:8" ht="11.25">
      <c r="A387" s="2">
        <v>9</v>
      </c>
      <c r="B387" t="s">
        <v>2880</v>
      </c>
      <c r="D387">
        <v>3</v>
      </c>
      <c r="E387" s="322" t="str">
        <f>IF(xxYear=$D387,finBalCardTotalSalesGrowth,obalTotalSalesGrowthY3)</f>
        <v>N/A</v>
      </c>
      <c r="F387" t="s">
        <v>2897</v>
      </c>
      <c r="H387" t="b">
        <f>MAX(E387:E387)=MIN(E387:E387)</f>
        <v>1</v>
      </c>
    </row>
    <row r="388" spans="1:8" ht="11.25">
      <c r="A388" s="2">
        <v>10</v>
      </c>
      <c r="B388" t="s">
        <v>3447</v>
      </c>
      <c r="D388">
        <v>4</v>
      </c>
      <c r="E388" s="322" t="str">
        <f>IF(xxYear=$D388,finBalCardTotalSalesGrowth,obalTotalSalesGrowthY4)</f>
        <v>N/A</v>
      </c>
      <c r="F388" t="s">
        <v>2898</v>
      </c>
      <c r="H388" t="b">
        <f>MAX(E388:E388)=MIN(E388:E388)</f>
        <v>1</v>
      </c>
    </row>
    <row r="389" spans="1:8" ht="11.25">
      <c r="A389" s="2">
        <v>11</v>
      </c>
      <c r="B389" t="s">
        <v>3448</v>
      </c>
      <c r="D389">
        <v>1</v>
      </c>
      <c r="E389" s="322">
        <f>IF(xxYear=$D389,finBalCardTotalCI,obalTotalCIPctRevY1)</f>
        <v>-0.17954755335102615</v>
      </c>
      <c r="F389" t="s">
        <v>2899</v>
      </c>
      <c r="H389" t="b">
        <f>MAX(E389:E389)=MIN(E389:E389)</f>
        <v>1</v>
      </c>
    </row>
    <row r="390" spans="1:8" ht="11.25">
      <c r="A390" s="2">
        <v>12</v>
      </c>
      <c r="B390" t="s">
        <v>3449</v>
      </c>
      <c r="D390">
        <v>2</v>
      </c>
      <c r="E390" s="322" t="str">
        <f>IF(xxYear=$D390,finBalCardTotalCI,obalTotalCIPctRevY2)</f>
        <v>N/A</v>
      </c>
      <c r="F390" t="s">
        <v>2900</v>
      </c>
      <c r="H390" t="b">
        <f>MAX(E390:E390)=MIN(E390:E390)</f>
        <v>1</v>
      </c>
    </row>
    <row r="391" spans="1:8" ht="11.25">
      <c r="A391" s="2">
        <v>13</v>
      </c>
      <c r="B391" t="s">
        <v>3450</v>
      </c>
      <c r="D391">
        <v>3</v>
      </c>
      <c r="E391" s="322" t="str">
        <f>IF(xxYear=$D391,finBalCardTotalCI,obalTotalCIPctRevY3)</f>
        <v>N/A</v>
      </c>
      <c r="F391" t="s">
        <v>2901</v>
      </c>
      <c r="H391" t="b">
        <f>MAX(E391:E391)=MIN(E391:E391)</f>
        <v>1</v>
      </c>
    </row>
    <row r="392" spans="1:8" ht="11.25">
      <c r="A392" s="2">
        <v>14</v>
      </c>
      <c r="B392" t="s">
        <v>3451</v>
      </c>
      <c r="D392">
        <v>4</v>
      </c>
      <c r="E392" s="322" t="str">
        <f>IF(xxYear=$D392,finBalCardTotalCI,obalTotalCIPctRevY4)</f>
        <v>N/A</v>
      </c>
      <c r="F392" t="s">
        <v>2902</v>
      </c>
      <c r="H392" t="b">
        <f>MAX(E392:E392)=MIN(E392:E392)</f>
        <v>1</v>
      </c>
    </row>
    <row r="393" spans="1:8" ht="11.25">
      <c r="A393" s="2">
        <v>15</v>
      </c>
      <c r="B393" t="s">
        <v>3452</v>
      </c>
      <c r="D393">
        <v>1</v>
      </c>
      <c r="E393" s="322">
        <f ca="1">IF(xxYear=$D393,finBalCardTotalEmpEngagement,obalEmpEngagementY1)</f>
        <v>0.6174379006842422</v>
      </c>
      <c r="F393" t="s">
        <v>2903</v>
      </c>
      <c r="H393" t="b">
        <f ca="1">MAX(E393:E393)=MIN(E393:E393)</f>
        <v>1</v>
      </c>
    </row>
    <row r="394" spans="1:8" ht="11.25">
      <c r="A394" s="2">
        <v>16</v>
      </c>
      <c r="B394" t="s">
        <v>3453</v>
      </c>
      <c r="D394">
        <v>2</v>
      </c>
      <c r="E394" s="322" t="str">
        <f>IF(xxYear=$D394,finBalCardTotalEmpEngagement,obalEmpEngagementY2)</f>
        <v>N/A</v>
      </c>
      <c r="F394" t="s">
        <v>2904</v>
      </c>
      <c r="H394" t="b">
        <f>MAX(E394:E394)=MIN(E394:E394)</f>
        <v>1</v>
      </c>
    </row>
    <row r="395" spans="1:8" ht="11.25">
      <c r="A395" s="2">
        <v>17</v>
      </c>
      <c r="B395" t="s">
        <v>3454</v>
      </c>
      <c r="D395">
        <v>3</v>
      </c>
      <c r="E395" s="322" t="str">
        <f>IF(xxYear=$D395,finBalCardTotalEmpEngagement,obalEmpEngagementY3)</f>
        <v>N/A</v>
      </c>
      <c r="F395" t="s">
        <v>2921</v>
      </c>
      <c r="H395" t="b">
        <f>MAX(E395:E395)=MIN(E395:E395)</f>
        <v>1</v>
      </c>
    </row>
    <row r="396" spans="1:8" ht="11.25">
      <c r="A396" s="2">
        <v>18</v>
      </c>
      <c r="B396" t="s">
        <v>3455</v>
      </c>
      <c r="D396">
        <v>4</v>
      </c>
      <c r="E396" s="322" t="str">
        <f>IF(xxYear=$D396,finBalCardTotalEmpEngagement,obalEmpEngagementY4)</f>
        <v>N/A</v>
      </c>
      <c r="F396" t="s">
        <v>2922</v>
      </c>
      <c r="H396" t="b">
        <f>MAX(E396:E396)=MIN(E396:E396)</f>
        <v>1</v>
      </c>
    </row>
    <row r="397" spans="1:8" ht="11.25">
      <c r="A397" s="2">
        <v>19</v>
      </c>
      <c r="B397" t="s">
        <v>3456</v>
      </c>
      <c r="D397">
        <v>1</v>
      </c>
      <c r="E397" s="322" t="s">
        <v>1756</v>
      </c>
      <c r="F397" t="s">
        <v>2923</v>
      </c>
      <c r="H397" t="b">
        <f>MAX(E397:E397)=MIN(E397:E397)</f>
        <v>1</v>
      </c>
    </row>
    <row r="398" spans="1:8" ht="11.25">
      <c r="A398" s="2">
        <v>20</v>
      </c>
      <c r="B398" t="s">
        <v>3457</v>
      </c>
      <c r="D398">
        <v>2</v>
      </c>
      <c r="E398" s="322" t="s">
        <v>1756</v>
      </c>
      <c r="F398" t="s">
        <v>2924</v>
      </c>
      <c r="H398" t="b">
        <f>MAX(E398:E398)=MIN(E398:E398)</f>
        <v>1</v>
      </c>
    </row>
    <row r="399" spans="1:8" ht="11.25">
      <c r="A399" s="2">
        <v>21</v>
      </c>
      <c r="B399" t="s">
        <v>3027</v>
      </c>
      <c r="D399">
        <v>3</v>
      </c>
      <c r="E399" s="322" t="s">
        <v>1756</v>
      </c>
      <c r="F399" t="s">
        <v>2925</v>
      </c>
      <c r="H399" t="b">
        <f>MAX(E399:E399)=MIN(E399:E399)</f>
        <v>1</v>
      </c>
    </row>
    <row r="400" spans="1:8" ht="11.25">
      <c r="A400" s="2">
        <v>22</v>
      </c>
      <c r="B400" t="s">
        <v>3028</v>
      </c>
      <c r="D400">
        <v>4</v>
      </c>
      <c r="E400" s="322" t="s">
        <v>1756</v>
      </c>
      <c r="F400" t="s">
        <v>3348</v>
      </c>
      <c r="H400" t="b">
        <f>MAX(E400:E400)=MIN(E400:E400)</f>
        <v>1</v>
      </c>
    </row>
    <row r="401" spans="1:8" ht="11.25">
      <c r="A401" s="2">
        <v>23</v>
      </c>
      <c r="B401" t="s">
        <v>3029</v>
      </c>
      <c r="D401">
        <v>1</v>
      </c>
      <c r="E401" s="322">
        <f ca="1">IF(xxYear=$D401,finBalCardScoreThisYr,obalTotalInYearScoreY1)</f>
        <v>1600.0000000003029</v>
      </c>
      <c r="F401" t="s">
        <v>3349</v>
      </c>
      <c r="H401" t="b">
        <f ca="1">MAX(E401:E401)=MIN(E401:E401)</f>
        <v>1</v>
      </c>
    </row>
    <row r="402" spans="1:8" ht="11.25">
      <c r="A402" s="2">
        <v>24</v>
      </c>
      <c r="B402" t="s">
        <v>3030</v>
      </c>
      <c r="D402">
        <v>2</v>
      </c>
      <c r="E402" s="322" t="str">
        <f>IF(xxYear=$D402,finBalCardScoreThisYr,obalTotalInYearScoreY2)</f>
        <v>N/A</v>
      </c>
      <c r="F402" t="s">
        <v>3350</v>
      </c>
      <c r="H402" t="b">
        <f>MAX(E402:E402)=MIN(E402:E402)</f>
        <v>1</v>
      </c>
    </row>
    <row r="403" spans="1:8" ht="11.25">
      <c r="A403" s="2">
        <v>25</v>
      </c>
      <c r="B403" t="s">
        <v>3031</v>
      </c>
      <c r="D403">
        <v>3</v>
      </c>
      <c r="E403" s="322" t="str">
        <f>IF(xxYear=$D403,finBalCardScoreThisYr,obalTotalInYearScoreY3)</f>
        <v>N/A</v>
      </c>
      <c r="F403" t="s">
        <v>3351</v>
      </c>
      <c r="H403" t="b">
        <f>MAX(E403:E403)=MIN(E403:E403)</f>
        <v>1</v>
      </c>
    </row>
    <row r="404" spans="1:8" ht="11.25">
      <c r="A404" s="2">
        <v>26</v>
      </c>
      <c r="B404" t="s">
        <v>3032</v>
      </c>
      <c r="D404" s="583">
        <v>3</v>
      </c>
      <c r="E404" s="322" t="str">
        <f>IF(xxYear=$D404,finCumBalCardScore,obalTotalInYearScoreY4)</f>
        <v>N/A</v>
      </c>
      <c r="F404" t="s">
        <v>3352</v>
      </c>
      <c r="H404" t="b">
        <f>MAX(E404:E404)=MIN(E404:E404)</f>
        <v>1</v>
      </c>
    </row>
    <row r="405" spans="1:8" ht="11.25">
      <c r="A405" s="2">
        <v>27</v>
      </c>
      <c r="B405" t="s">
        <v>3033</v>
      </c>
      <c r="D405">
        <v>1</v>
      </c>
      <c r="E405" s="322">
        <f>IF(xxYear=$D405,finPNLProd1Rev,obalConsultingRevenueY1)</f>
        <v>200512505.05278993</v>
      </c>
      <c r="F405" t="s">
        <v>3353</v>
      </c>
      <c r="H405" t="b">
        <f>MAX(E405:E405)=MIN(E405:E405)</f>
        <v>1</v>
      </c>
    </row>
    <row r="406" spans="1:8" ht="11.25">
      <c r="A406" s="2">
        <v>28</v>
      </c>
      <c r="B406" t="s">
        <v>3034</v>
      </c>
      <c r="D406">
        <v>2</v>
      </c>
      <c r="E406" s="322" t="str">
        <f>IF(xxYear=$D406,finPNLProd1Rev,obalConsultingRevenueY2)</f>
        <v>N/A</v>
      </c>
      <c r="F406" t="s">
        <v>3354</v>
      </c>
      <c r="H406" t="b">
        <f>MAX(E406:E406)=MIN(E406:E406)</f>
        <v>1</v>
      </c>
    </row>
    <row r="407" spans="1:8" ht="11.25">
      <c r="A407" s="2">
        <v>29</v>
      </c>
      <c r="B407" t="s">
        <v>3035</v>
      </c>
      <c r="D407">
        <v>3</v>
      </c>
      <c r="E407" s="322" t="str">
        <f>IF(xxYear=$D407,finPNLProd1Rev,obalConsultingRevenueY3)</f>
        <v>N/A</v>
      </c>
      <c r="F407" t="s">
        <v>3355</v>
      </c>
      <c r="H407" t="b">
        <f>MAX(E407:E407)=MIN(E407:E407)</f>
        <v>1</v>
      </c>
    </row>
    <row r="408" spans="1:8" ht="11.25">
      <c r="A408" s="2">
        <v>30</v>
      </c>
      <c r="B408" t="s">
        <v>3036</v>
      </c>
      <c r="D408" s="583">
        <v>3</v>
      </c>
      <c r="E408" s="322" t="str">
        <f>IF(xxYear=$D408,(cbalBusAV1HrsSold*cbalBusAV1PricePerHr)+(cbalBusAV2HrsSold*cbalBusAV2PricePerHr)+(cbalBusAV3HrsSold*cbalBusAV3PricePerHr),obalConsultingRevenueY4)</f>
        <v>N/A</v>
      </c>
      <c r="F408" t="s">
        <v>3356</v>
      </c>
      <c r="H408" t="b">
        <f>MAX(E408:E408)=MIN(E408:E408)</f>
        <v>1</v>
      </c>
    </row>
    <row r="409" spans="1:8" ht="11.25">
      <c r="A409" s="2">
        <v>31</v>
      </c>
      <c r="B409" t="s">
        <v>2416</v>
      </c>
      <c r="D409">
        <v>1</v>
      </c>
      <c r="E409" s="382">
        <f>IF(xxYear=$D409,((cbalBusAV1PricePerHr*cbalBusAV1HrsSold)+(cbalBusAV2HrsSold*cbalBusAV2PricePerHr)+(cbalBusAV3HrsSold*cbalBusAV3PricePerHr)-finPNLProd1Rev)/finPNLProd1Rev,obalConsultingSalesGrowthY1)</f>
        <v>1.1936845935728932</v>
      </c>
      <c r="F409" t="s">
        <v>3357</v>
      </c>
      <c r="H409" t="b">
        <f>MAX(E409:E409)=MIN(E409:E409)</f>
        <v>1</v>
      </c>
    </row>
    <row r="410" spans="1:8" ht="11.25">
      <c r="A410" s="2">
        <v>32</v>
      </c>
      <c r="B410" t="s">
        <v>2417</v>
      </c>
      <c r="D410">
        <v>2</v>
      </c>
      <c r="E410" s="382" t="str">
        <f>IF(xxYear=$D410,((cbalBusAV1PricePerHr*cbalBusAV1HrsSold)+(cbalBusAV2HrsSold*cbalBusAV2PricePerHr)+(cbalBusAV3HrsSold*cbalBusAV3PricePerHr)-finPNLProd1Rev)/finPNLProd1Rev,obalConsultingSalesGrowthY2)</f>
        <v>N/A</v>
      </c>
      <c r="F410" t="s">
        <v>3358</v>
      </c>
      <c r="H410" t="b">
        <f>MAX(E410:E410)=MIN(E410:E410)</f>
        <v>1</v>
      </c>
    </row>
    <row r="411" spans="1:8" ht="11.25">
      <c r="A411" s="2">
        <v>33</v>
      </c>
      <c r="B411" t="s">
        <v>2418</v>
      </c>
      <c r="D411">
        <v>3</v>
      </c>
      <c r="E411" s="382" t="str">
        <f>IF(xxYear=$D411,((cbalBusAV1PricePerHr*cbalBusAV1HrsSold)+(cbalBusAV2HrsSold*cbalBusAV2PricePerHr)+(cbalBusAV3HrsSold*cbalBusAV3PricePerHr)-finPNLProd1Rev)/finPNLProd1Rev,obalConsultingSalesGrowthY3)</f>
        <v>N/A</v>
      </c>
      <c r="F411" t="s">
        <v>3359</v>
      </c>
      <c r="H411" t="b">
        <f>MAX(E411:E411)=MIN(E411:E411)</f>
        <v>1</v>
      </c>
    </row>
    <row r="412" spans="1:8" ht="11.25">
      <c r="A412" s="2">
        <v>34</v>
      </c>
      <c r="B412" t="s">
        <v>2419</v>
      </c>
      <c r="D412">
        <v>4</v>
      </c>
      <c r="E412" s="382" t="str">
        <f>IF(xxYear=$D412,((cbalBusAV1PricePerHr*cbalBusAV1HrsSold)+(cbalBusAV2HrsSold*cbalBusAV2PricePerHr)+(cbalBusAV3HrsSold*cbalBusAV3PricePerHr)-finPNLProd1Rev)/finPNLProd1Rev,obalConsultingSalesGrowthY4)</f>
        <v>N/A</v>
      </c>
      <c r="F412" t="s">
        <v>3360</v>
      </c>
      <c r="H412" t="b">
        <f>MAX(E412:E412)=MIN(E412:E412)</f>
        <v>1</v>
      </c>
    </row>
    <row r="413" spans="1:8" ht="11.25">
      <c r="A413" s="2">
        <v>35</v>
      </c>
      <c r="B413" t="s">
        <v>2420</v>
      </c>
      <c r="D413">
        <v>1</v>
      </c>
      <c r="E413" s="382">
        <f>IF(xxYear=$D413,finPNLProd1Rev/finPNLTotalRev,obalConsultingRevPctofTotalRevY1)</f>
        <v>1</v>
      </c>
      <c r="F413" t="s">
        <v>3361</v>
      </c>
      <c r="H413" t="b">
        <f>MAX(E413:E413)=MIN(E413:E413)</f>
        <v>1</v>
      </c>
    </row>
    <row r="414" spans="1:8" ht="11.25">
      <c r="A414" s="2">
        <v>36</v>
      </c>
      <c r="B414" t="s">
        <v>1261</v>
      </c>
      <c r="D414">
        <v>2</v>
      </c>
      <c r="E414" s="382" t="str">
        <f>IF(xxYear=$D414,finPNLProd1Rev/finPNLTotalRev,obalConsultingRevPctofTotalRevY2)</f>
        <v>N/A</v>
      </c>
      <c r="F414" t="s">
        <v>3362</v>
      </c>
      <c r="H414" t="b">
        <f>MAX(E414:E414)=MIN(E414:E414)</f>
        <v>1</v>
      </c>
    </row>
    <row r="415" spans="1:8" ht="11.25">
      <c r="A415" s="2">
        <v>37</v>
      </c>
      <c r="B415" t="s">
        <v>1262</v>
      </c>
      <c r="D415">
        <v>3</v>
      </c>
      <c r="E415" s="382" t="str">
        <f>IF(xxYear=$D415,finPNLProd1Rev/finPNLTotalRev,obalConsultingRevPctofTotalRevY3)</f>
        <v>N/A</v>
      </c>
      <c r="F415" t="s">
        <v>3363</v>
      </c>
      <c r="H415" t="b">
        <f>MAX(E415:E415)=MIN(E415:E415)</f>
        <v>1</v>
      </c>
    </row>
    <row r="416" spans="1:8" ht="11.25">
      <c r="A416" s="2">
        <v>38</v>
      </c>
      <c r="B416" t="s">
        <v>1130</v>
      </c>
      <c r="D416">
        <v>4</v>
      </c>
      <c r="E416" s="382" t="str">
        <f>IF(xxYear=$D416,finPNLProd1Rev/finPNLTotalRev,obalConsultingRevPctofTotalRevY4)</f>
        <v>N/A</v>
      </c>
      <c r="F416" t="s">
        <v>4503</v>
      </c>
      <c r="H416" t="b">
        <f>MAX(E416:E416)=MIN(E416:E416)</f>
        <v>1</v>
      </c>
    </row>
    <row r="417" spans="1:8" ht="11.25">
      <c r="A417" s="2">
        <v>39</v>
      </c>
      <c r="B417" t="s">
        <v>242</v>
      </c>
      <c r="D417">
        <v>1</v>
      </c>
      <c r="E417" s="382">
        <f>IF(xxYear=$D417,finPNLBusATotalCCI/finPNLProd1Rev,obalConsultingCCIPctRevY1)</f>
        <v>0.52056309616670504</v>
      </c>
      <c r="F417" t="s">
        <v>4504</v>
      </c>
      <c r="H417" t="b">
        <f>MAX(E417:E417)=MIN(E417:E417)</f>
        <v>1</v>
      </c>
    </row>
    <row r="418" spans="1:8" ht="11.25">
      <c r="A418" s="2">
        <v>40</v>
      </c>
      <c r="B418" t="s">
        <v>243</v>
      </c>
      <c r="D418">
        <v>2</v>
      </c>
      <c r="E418" s="382" t="str">
        <f>IF(xxYear=$D418,finPNLBusATotalCCI/finPNLProd1Rev,obalConsultingCCIPctRevY2)</f>
        <v>N/A</v>
      </c>
      <c r="F418" t="s">
        <v>1207</v>
      </c>
      <c r="H418" t="b">
        <f>MAX(E418:E418)=MIN(E418:E418)</f>
        <v>1</v>
      </c>
    </row>
    <row r="419" spans="1:8" ht="11.25">
      <c r="A419" s="2">
        <v>41</v>
      </c>
      <c r="B419" t="s">
        <v>244</v>
      </c>
      <c r="D419">
        <v>3</v>
      </c>
      <c r="E419" s="382" t="str">
        <f>IF(xxYear=$D419,finPNLBusATotalCCI/finPNLProd1Rev,obalConsultingCCIPctRevY3)</f>
        <v>N/A</v>
      </c>
      <c r="F419" t="s">
        <v>1208</v>
      </c>
      <c r="H419" t="b">
        <f>MAX(E419:E419)=MIN(E419:E419)</f>
        <v>1</v>
      </c>
    </row>
    <row r="420" spans="1:8" ht="11.25">
      <c r="A420" s="2">
        <v>42</v>
      </c>
      <c r="B420" t="s">
        <v>245</v>
      </c>
      <c r="D420">
        <v>4</v>
      </c>
      <c r="E420" s="382" t="str">
        <f>IF(xxYear=$D420,finPNLBusATotalCCI/finPNLProd1Rev,obalConsultingCCIPctRevY4)</f>
        <v>N/A</v>
      </c>
      <c r="F420" t="s">
        <v>1863</v>
      </c>
      <c r="H420" t="b">
        <f>MAX(E420:E420)=MIN(E420:E420)</f>
        <v>1</v>
      </c>
    </row>
    <row r="421" spans="1:8" ht="11.25">
      <c r="A421" s="2">
        <v>43</v>
      </c>
      <c r="B421" t="s">
        <v>246</v>
      </c>
      <c r="D421">
        <v>1</v>
      </c>
      <c r="E421" s="382">
        <f>IF(xxYear=$D421,capBusAOverallConsUtil,obalConsultingConsultantUtilY1)</f>
        <v>0.58619505094614266</v>
      </c>
      <c r="F421" t="s">
        <v>1864</v>
      </c>
      <c r="H421" t="b">
        <f>MAX(E421:E421)=MIN(E421:E421)</f>
        <v>1</v>
      </c>
    </row>
    <row r="422" spans="1:8" ht="11.25">
      <c r="A422" s="2">
        <v>44</v>
      </c>
      <c r="B422" t="s">
        <v>247</v>
      </c>
      <c r="D422">
        <v>2</v>
      </c>
      <c r="E422" s="382" t="str">
        <f>IF(xxYear=$D422,capBusAOverallConsUtil,obalConsultingConsultantUtilY2)</f>
        <v>N/A</v>
      </c>
      <c r="F422" t="s">
        <v>1865</v>
      </c>
      <c r="H422" t="b">
        <f>MAX(E422:E422)=MIN(E422:E422)</f>
        <v>1</v>
      </c>
    </row>
    <row r="423" spans="1:8" ht="11.25">
      <c r="A423" s="2">
        <v>45</v>
      </c>
      <c r="B423" t="s">
        <v>248</v>
      </c>
      <c r="D423">
        <v>3</v>
      </c>
      <c r="E423" s="382" t="str">
        <f>IF(xxYear=$D423,capBusAOverallConsUtil,obalConsultingConsultantUtilY3)</f>
        <v>N/A</v>
      </c>
      <c r="F423" t="s">
        <v>1866</v>
      </c>
      <c r="H423" t="b">
        <f>MAX(E423:E423)=MIN(E423:E423)</f>
        <v>1</v>
      </c>
    </row>
    <row r="424" spans="1:8" ht="11.25">
      <c r="A424" s="2">
        <v>46</v>
      </c>
      <c r="B424" t="s">
        <v>249</v>
      </c>
      <c r="D424">
        <v>4</v>
      </c>
      <c r="E424" s="382" t="str">
        <f>IF(xxYear=$D424,capBusAOverallConsUtil,obalConsultingConsultantUtilY4)</f>
        <v>N/A</v>
      </c>
      <c r="F424" t="s">
        <v>1867</v>
      </c>
      <c r="H424" t="b">
        <f>MAX(E424:E424)=MIN(E424:E424)</f>
        <v>1</v>
      </c>
    </row>
    <row r="425" spans="1:8" ht="11.25">
      <c r="A425" s="2">
        <v>47</v>
      </c>
      <c r="B425" t="s">
        <v>250</v>
      </c>
      <c r="D425">
        <v>1</v>
      </c>
      <c r="E425" s="382">
        <f>IF(xxYear=$D425,capBusAOverallSolnWFUtil,obalConsultingSolnWFUtilY1)</f>
        <v>0.31644779931599104</v>
      </c>
      <c r="F425" t="s">
        <v>1868</v>
      </c>
      <c r="H425" t="b">
        <f>MAX(E425:E425)=MIN(E425:E425)</f>
        <v>1</v>
      </c>
    </row>
    <row r="426" spans="1:8" ht="11.25">
      <c r="A426" s="2">
        <v>48</v>
      </c>
      <c r="B426" t="s">
        <v>251</v>
      </c>
      <c r="D426">
        <v>2</v>
      </c>
      <c r="E426" s="382" t="str">
        <f>IF(xxYear=$D426,capBusAOverallSolnWFUtil,obalConsultingSolnWFUtilY2)</f>
        <v>N/A</v>
      </c>
      <c r="F426" t="s">
        <v>1869</v>
      </c>
      <c r="H426" t="b">
        <f>MAX(E426:E426)=MIN(E426:E426)</f>
        <v>1</v>
      </c>
    </row>
    <row r="427" spans="1:8" ht="11.25">
      <c r="A427" s="2">
        <v>49</v>
      </c>
      <c r="B427" t="s">
        <v>252</v>
      </c>
      <c r="D427">
        <v>3</v>
      </c>
      <c r="E427" s="382" t="str">
        <f>IF(xxYear=$D427,capBusAOverallSolnWFUtil,obalConsultingSolnWFUtilY3)</f>
        <v>N/A</v>
      </c>
      <c r="F427" t="s">
        <v>1870</v>
      </c>
      <c r="H427" t="b">
        <f>MAX(E427:E427)=MIN(E427:E427)</f>
        <v>1</v>
      </c>
    </row>
    <row r="428" spans="1:8" ht="11.25">
      <c r="A428" s="2">
        <v>50</v>
      </c>
      <c r="B428" t="s">
        <v>2544</v>
      </c>
      <c r="D428">
        <v>4</v>
      </c>
      <c r="E428" s="382" t="str">
        <f>IF(xxYear=$D428,capBusAOverallSolnWFUtil,obalConsultingSolnWFUtilY4)</f>
        <v>N/A</v>
      </c>
      <c r="F428" t="s">
        <v>1991</v>
      </c>
      <c r="H428" t="b">
        <f>MAX(E428:E428)=MIN(E428:E428)</f>
        <v>1</v>
      </c>
    </row>
    <row r="429" spans="1:8" ht="11.25">
      <c r="A429" s="2">
        <v>51</v>
      </c>
      <c r="B429" t="s">
        <v>2545</v>
      </c>
      <c r="D429">
        <v>1</v>
      </c>
      <c r="E429" s="322">
        <f>IF(xxYear=$D429,finPNLBusBTotalRev,obalOutsourcingRevY1)</f>
        <v>117600000</v>
      </c>
      <c r="F429" t="s">
        <v>4176</v>
      </c>
      <c r="H429" t="b">
        <f>MAX(E429:E429)=MIN(E429:E429)</f>
        <v>1</v>
      </c>
    </row>
    <row r="430" spans="1:8" ht="11.25">
      <c r="A430" s="2">
        <v>52</v>
      </c>
      <c r="B430" t="s">
        <v>2546</v>
      </c>
      <c r="D430">
        <v>2</v>
      </c>
      <c r="E430" s="322" t="str">
        <f>IF(xxYear=$D430,finPNLBusBTotalRev,obalOutsourcingRevY2)</f>
        <v>N/A</v>
      </c>
      <c r="F430" t="s">
        <v>4177</v>
      </c>
      <c r="H430" t="b">
        <f>MAX(E430:E430)=MIN(E430:E430)</f>
        <v>1</v>
      </c>
    </row>
    <row r="431" spans="1:8" ht="11.25">
      <c r="A431" s="2">
        <v>53</v>
      </c>
      <c r="B431" t="s">
        <v>2547</v>
      </c>
      <c r="D431">
        <v>3</v>
      </c>
      <c r="E431" s="322" t="str">
        <f>IF(xxYear=$D431,finPNLBusBTotalRev,obalOutsourcingRevY3)</f>
        <v>N/A</v>
      </c>
      <c r="F431" t="s">
        <v>4178</v>
      </c>
      <c r="H431" t="b">
        <f>MAX(E431:E431)=MIN(E431:E431)</f>
        <v>1</v>
      </c>
    </row>
    <row r="432" spans="1:8" ht="11.25">
      <c r="A432" s="2">
        <v>54</v>
      </c>
      <c r="B432" t="s">
        <v>2548</v>
      </c>
      <c r="D432" s="583">
        <v>3</v>
      </c>
      <c r="E432" s="322" t="str">
        <f>IF(xxYear=$D432,cbalTotalRealizedRev+(paramV1BaseRevenue+paramV2BaseRevenue+paramV3BaseRevenue),obalOutsourcingRevY4)</f>
        <v>N/A</v>
      </c>
      <c r="F432" t="s">
        <v>4179</v>
      </c>
      <c r="H432" t="b">
        <f>MAX(E432:E432)=MIN(E432:E432)</f>
        <v>1</v>
      </c>
    </row>
    <row r="433" spans="1:8" ht="11.25">
      <c r="A433" s="2">
        <v>55</v>
      </c>
      <c r="B433" t="s">
        <v>2549</v>
      </c>
      <c r="D433">
        <v>1</v>
      </c>
      <c r="E433" s="382">
        <f>IF(xxYear=$D433,((cbalTotalRealizedRev+(paramV1BaseRevenue+paramV2BaseRevenue+paramV3BaseRevenue)-finPNLBusBTotalRev)/finPNLBusBTotalRev),obalOutsourcingSalesGrowthY1)</f>
        <v>0</v>
      </c>
      <c r="F433" t="s">
        <v>4180</v>
      </c>
      <c r="H433" t="b">
        <f>MAX(E433:E433)=MIN(E433:E433)</f>
        <v>1</v>
      </c>
    </row>
    <row r="434" spans="1:8" ht="11.25">
      <c r="A434" s="2">
        <v>56</v>
      </c>
      <c r="B434" t="s">
        <v>2550</v>
      </c>
      <c r="D434">
        <v>2</v>
      </c>
      <c r="E434" s="382" t="str">
        <f>IF(xxYear=$D434,((cbalTotalRealizedRev+(paramV1BaseRevenue+paramV2BaseRevenue+paramV3BaseRevenue)-finPNLBusBTotalRev)/finPNLBusBTotalRev),obalOutsourcingSalesGrowthY2)</f>
        <v>N/A</v>
      </c>
      <c r="F434" t="s">
        <v>4181</v>
      </c>
      <c r="H434" t="b">
        <f>MAX(E434:E434)=MIN(E434:E434)</f>
        <v>1</v>
      </c>
    </row>
    <row r="435" spans="1:8" ht="11.25">
      <c r="A435" s="2">
        <v>57</v>
      </c>
      <c r="B435" t="s">
        <v>2551</v>
      </c>
      <c r="D435">
        <v>3</v>
      </c>
      <c r="E435" s="382" t="str">
        <f>IF(xxYear=$D435,((cbalTotalRealizedRev+(paramV1BaseRevenue+paramV2BaseRevenue+paramV3BaseRevenue)-finPNLBusBTotalRev)/finPNLBusBTotalRev),obalOutsourcingSalesGrowthY3)</f>
        <v>N/A</v>
      </c>
      <c r="F435" t="s">
        <v>4182</v>
      </c>
      <c r="H435" t="b">
        <f>MAX(E435:E435)=MIN(E435:E435)</f>
        <v>1</v>
      </c>
    </row>
    <row r="436" spans="1:8" ht="11.25">
      <c r="A436" s="2">
        <v>58</v>
      </c>
      <c r="B436" t="s">
        <v>2552</v>
      </c>
      <c r="D436">
        <v>4</v>
      </c>
      <c r="E436" s="382" t="str">
        <f>IF(xxYear=$D436,((cbalTotalRealizedRev+(paramV1BaseRevenue+paramV2BaseRevenue+paramV3BaseRevenue)-finPNLBusBTotalRev)/finPNLBusBTotalRev),obalOutsourcingSalesGrowthY4)</f>
        <v>N/A</v>
      </c>
      <c r="F436" t="s">
        <v>4183</v>
      </c>
      <c r="H436" t="b">
        <f>MAX(E436:E436)=MIN(E436:E436)</f>
        <v>1</v>
      </c>
    </row>
    <row r="437" spans="1:8" ht="11.25">
      <c r="A437" s="2">
        <v>59</v>
      </c>
      <c r="B437" t="s">
        <v>4359</v>
      </c>
      <c r="D437">
        <v>1</v>
      </c>
      <c r="E437" s="382">
        <f>IF(xxYear=$D437,(finPNLBusBTotalRev/finPNLTotalRev),obalOutsourcingRevPctofTotalRevenueY1)</f>
        <v>0.58649708639886999</v>
      </c>
      <c r="F437" t="s">
        <v>4184</v>
      </c>
      <c r="H437" t="b">
        <f>MAX(E437:E437)=MIN(E437:E437)</f>
        <v>1</v>
      </c>
    </row>
    <row r="438" spans="1:8" ht="11.25">
      <c r="A438" s="2">
        <v>60</v>
      </c>
      <c r="B438" t="s">
        <v>1975</v>
      </c>
      <c r="D438">
        <v>2</v>
      </c>
      <c r="E438" s="382" t="str">
        <f>IF(xxYear=$D438,(finPNLBusBTotalRev/finPNLTotalRev),obalOutsourcingRevPctofTotalRevenueY2)</f>
        <v>N/A</v>
      </c>
      <c r="F438" t="s">
        <v>1544</v>
      </c>
      <c r="H438" t="b">
        <f>MAX(E438:E438)=MIN(E438:E438)</f>
        <v>1</v>
      </c>
    </row>
    <row r="439" spans="1:8" ht="11.25">
      <c r="A439" s="2">
        <v>61</v>
      </c>
      <c r="B439" t="s">
        <v>1976</v>
      </c>
      <c r="D439">
        <v>3</v>
      </c>
      <c r="E439" s="382" t="str">
        <f>IF(xxYear=$D439,(finPNLBusBTotalRev/finPNLTotalRev),obalOutsourcingRevPctofTotalRevenueY3)</f>
        <v>N/A</v>
      </c>
      <c r="F439" t="s">
        <v>1545</v>
      </c>
      <c r="H439" t="b">
        <f>MAX(E439:E439)=MIN(E439:E439)</f>
        <v>1</v>
      </c>
    </row>
    <row r="440" spans="1:8" ht="11.25">
      <c r="A440" s="2">
        <v>62</v>
      </c>
      <c r="B440" t="s">
        <v>1977</v>
      </c>
      <c r="D440">
        <v>4</v>
      </c>
      <c r="E440" s="382" t="str">
        <f>IF(xxYear=$D440,(finPNLBusBTotalRev/finPNLTotalRev),obalOutsourcingRevPctofTotalRevenueY4)</f>
        <v>N/A</v>
      </c>
      <c r="F440" t="s">
        <v>1546</v>
      </c>
      <c r="H440" t="b">
        <f>MAX(E440:E440)=MIN(E440:E440)</f>
        <v>1</v>
      </c>
    </row>
    <row r="441" spans="1:8" ht="11.25">
      <c r="A441" s="2">
        <v>63</v>
      </c>
      <c r="B441" t="s">
        <v>2553</v>
      </c>
      <c r="D441">
        <v>1</v>
      </c>
      <c r="E441" s="382">
        <f>IF(xxYear=$D441,finPNLBusBTotalGrossProfit/finPNLBusBTotalRev,obalOutsourcingCCIPctofRevenueY1)</f>
        <v>0.10138055863483121</v>
      </c>
      <c r="F441" t="s">
        <v>1547</v>
      </c>
      <c r="H441" t="b">
        <f>MAX(E441:E441)=MIN(E441:E441)</f>
        <v>1</v>
      </c>
    </row>
    <row r="442" spans="1:8" ht="11.25">
      <c r="A442" s="2">
        <v>64</v>
      </c>
      <c r="B442" t="s">
        <v>2554</v>
      </c>
      <c r="D442">
        <v>2</v>
      </c>
      <c r="E442" s="382" t="str">
        <f>IF(xxYear=$D442,finPNLBusBTotalGrossProfit/finPNLBusBTotalRev,obalOutsourcingCCIPctofRevenueY2)</f>
        <v>N/A</v>
      </c>
      <c r="F442" t="s">
        <v>1548</v>
      </c>
      <c r="H442" t="b">
        <f>MAX(E442:E442)=MIN(E442:E442)</f>
        <v>1</v>
      </c>
    </row>
    <row r="443" spans="1:8" ht="11.25">
      <c r="A443" s="2">
        <v>65</v>
      </c>
      <c r="B443" t="s">
        <v>2555</v>
      </c>
      <c r="D443">
        <v>3</v>
      </c>
      <c r="E443" s="382" t="str">
        <f>IF(xxYear=$D443,finPNLBusBTotalGrossProfit/finPNLBusBTotalRev,obalOutsourcingCCIPctofRevenueY3)</f>
        <v>N/A</v>
      </c>
      <c r="F443" t="s">
        <v>1549</v>
      </c>
      <c r="H443" t="b">
        <f>MAX(E443:E443)=MIN(E443:E443)</f>
        <v>1</v>
      </c>
    </row>
    <row r="444" spans="1:8" ht="11.25">
      <c r="A444" s="2">
        <v>66</v>
      </c>
      <c r="B444" t="s">
        <v>2556</v>
      </c>
      <c r="D444">
        <v>4</v>
      </c>
      <c r="E444" s="382" t="str">
        <f>IF(xxYear=$D444,finPNLBusBTotalGrossProfit/finPNLBusBTotalRev,obalOutsourcingCCIPctofRevenueY4)</f>
        <v>N/A</v>
      </c>
      <c r="F444" t="s">
        <v>1550</v>
      </c>
      <c r="H444" t="b">
        <f>MAX(E444:E444)=MIN(E444:E444)</f>
        <v>1</v>
      </c>
    </row>
    <row r="445" spans="1:8" ht="11.25">
      <c r="A445" s="2">
        <v>67</v>
      </c>
      <c r="B445" t="s">
        <v>1978</v>
      </c>
      <c r="D445">
        <v>1</v>
      </c>
      <c r="E445" s="322">
        <f>IF(xxYear=$D445,capBusBY1OpsSavings,obalOutsourcingProductivityGainY1)</f>
        <v>0</v>
      </c>
      <c r="F445" t="s">
        <v>1551</v>
      </c>
      <c r="H445" t="b">
        <f>MAX(E445:E445)=MIN(E445:E445)</f>
        <v>1</v>
      </c>
    </row>
    <row r="446" spans="1:8" ht="11.25">
      <c r="A446" s="2">
        <v>68</v>
      </c>
      <c r="B446" t="s">
        <v>3062</v>
      </c>
      <c r="D446">
        <v>2</v>
      </c>
      <c r="E446" s="322" t="str">
        <f>IF(xxYear=$D446,capBusBY1OpsSavings+capBusBY2OpsSavings,obalOutsourcingProductivityGainY2)</f>
        <v>N/A</v>
      </c>
      <c r="F446" t="s">
        <v>1552</v>
      </c>
      <c r="H446" t="b">
        <f>MAX(E446:E446)=MIN(E446:E446)</f>
        <v>1</v>
      </c>
    </row>
    <row r="447" spans="1:8" ht="11.25">
      <c r="A447" s="2">
        <v>69</v>
      </c>
      <c r="B447" t="s">
        <v>3933</v>
      </c>
      <c r="D447">
        <v>3</v>
      </c>
      <c r="E447" s="322" t="str">
        <f>IF(xxYear=$D447,capBusBY1OpsSavings+capBusBY2OpsSavings+capBusBY3OpsSavings,obalOutsourcingProductivityGainY3)</f>
        <v>N/A</v>
      </c>
      <c r="F447" t="s">
        <v>1553</v>
      </c>
      <c r="H447" t="b">
        <f>MAX(E447:E447)=MIN(E447:E447)</f>
        <v>1</v>
      </c>
    </row>
    <row r="448" spans="1:8" ht="11.25">
      <c r="A448" s="2">
        <v>70</v>
      </c>
      <c r="B448" t="s">
        <v>3934</v>
      </c>
      <c r="D448">
        <v>4</v>
      </c>
      <c r="E448" s="322" t="str">
        <f>IF(xxYear=$D448,capBusBY1OpsSavings+capBusBY2OpsSavings+capBusBY3OpsSavings,obalOutsourcingProductivityGainY4)</f>
        <v>N/A</v>
      </c>
      <c r="F448" t="s">
        <v>1278</v>
      </c>
      <c r="H448" t="b">
        <f>MAX(E448:E448)=MIN(E448:E448)</f>
        <v>1</v>
      </c>
    </row>
    <row r="449" spans="1:8" ht="11.25">
      <c r="A449" s="2">
        <v>71</v>
      </c>
      <c r="B449" t="s">
        <v>3511</v>
      </c>
      <c r="D449">
        <v>1</v>
      </c>
      <c r="E449" s="382">
        <f>IF(xxYear=$D449,capEmp6Utiliz,obalEnterpriseWFUtilizationY1)</f>
        <v>0.50244539232091079</v>
      </c>
      <c r="F449" t="s">
        <v>1279</v>
      </c>
      <c r="H449" t="b">
        <f>MAX(E449:E449)=MIN(E449:E449)</f>
        <v>1</v>
      </c>
    </row>
    <row r="450" spans="1:8" ht="11.25">
      <c r="A450" s="2">
        <v>72</v>
      </c>
      <c r="B450" t="s">
        <v>3512</v>
      </c>
      <c r="D450">
        <v>2</v>
      </c>
      <c r="E450" s="382" t="str">
        <f>IF(xxYear=$D450,capEmp6Utiliz,obalEnterpriseWFUtilizationY2)</f>
        <v>N/A</v>
      </c>
      <c r="F450" t="s">
        <v>1280</v>
      </c>
      <c r="H450" t="b">
        <f>MAX(E450:E450)=MIN(E450:E450)</f>
        <v>1</v>
      </c>
    </row>
    <row r="451" spans="1:8" ht="11.25">
      <c r="A451" s="2">
        <v>73</v>
      </c>
      <c r="B451" t="s">
        <v>2912</v>
      </c>
      <c r="D451">
        <v>3</v>
      </c>
      <c r="E451" s="382" t="str">
        <f>IF(xxYear=$D451,capEmp6Utiliz,obalEnterpriseWFUtilizationY3)</f>
        <v>N/A</v>
      </c>
      <c r="F451" t="s">
        <v>1281</v>
      </c>
      <c r="H451" t="b">
        <f>MAX(E451:E451)=MIN(E451:E451)</f>
        <v>1</v>
      </c>
    </row>
    <row r="452" spans="1:8" ht="11.25">
      <c r="A452" s="2">
        <v>74</v>
      </c>
      <c r="B452" t="s">
        <v>2913</v>
      </c>
      <c r="D452">
        <v>4</v>
      </c>
      <c r="E452" s="382" t="str">
        <f>IF(xxYear=$D452,capEmp6Utiliz,obalEnterpriseWFUtilizationY4)</f>
        <v>N/A</v>
      </c>
      <c r="F452" t="s">
        <v>1282</v>
      </c>
      <c r="H452" t="b">
        <f>MAX(E452:E452)=MIN(E452:E452)</f>
        <v>1</v>
      </c>
    </row>
    <row r="453" spans="1:8" ht="11.25">
      <c r="A453" s="2">
        <v>75</v>
      </c>
      <c r="B453" t="s">
        <v>4629</v>
      </c>
      <c r="D453">
        <v>1</v>
      </c>
      <c r="E453" s="847">
        <f>IF(xxYear=$D453, capBusAtotalLoadExpSaved-capBusAtotalCostOfQualityIncrease, obalNetLocalSavingsY1)</f>
        <v>0</v>
      </c>
      <c r="F453" t="s">
        <v>4633</v>
      </c>
      <c r="H453" t="b">
        <f>MAX(E453:E453)=MIN(E453:E453)</f>
        <v>1</v>
      </c>
    </row>
    <row r="454" spans="1:8" ht="11.25">
      <c r="A454" s="2">
        <v>76</v>
      </c>
      <c r="B454" t="s">
        <v>4630</v>
      </c>
      <c r="D454">
        <v>2</v>
      </c>
      <c r="E454" s="847" t="str">
        <f>IF(xxYear=$D454, capBusAtotalLoadExpSaved-capBusAtotalCostOfQualityIncrease, obalNetLocalSavingsY2)</f>
        <v>N/A</v>
      </c>
      <c r="F454" t="s">
        <v>4634</v>
      </c>
      <c r="H454" t="b">
        <f>MAX(E454:E454)=MIN(E454:E454)</f>
        <v>1</v>
      </c>
    </row>
    <row r="455" spans="1:8" ht="11.25">
      <c r="A455" s="2">
        <v>77</v>
      </c>
      <c r="B455" t="s">
        <v>4631</v>
      </c>
      <c r="D455">
        <v>3</v>
      </c>
      <c r="E455" s="847" t="str">
        <f>IF(xxYear=$D455, capBusAtotalLoadExpSaved-capBusAtotalCostOfQualityIncrease, obalNetLocalSavingsY3)</f>
        <v>N/A</v>
      </c>
      <c r="F455" t="s">
        <v>4635</v>
      </c>
      <c r="H455" t="b">
        <f>MAX(E455:E455)=MIN(E455:E455)</f>
        <v>1</v>
      </c>
    </row>
    <row r="456" spans="1:8" ht="11.25">
      <c r="A456" s="2">
        <v>78</v>
      </c>
      <c r="B456" t="s">
        <v>4632</v>
      </c>
      <c r="D456">
        <v>4</v>
      </c>
      <c r="E456" s="847" t="str">
        <f>IF(xxYear=$D456, capBusAtotalLoadExpSaved-capBusAtotalCostOfQualityIncrease, obalEnterpriseWFUtilizationY4)</f>
        <v>N/A</v>
      </c>
      <c r="F456" t="s">
        <v>4636</v>
      </c>
      <c r="H456" t="b">
        <f>MAX(E456:E456)=MIN(E456:E456)</f>
        <v>1</v>
      </c>
    </row>
    <row r="457" spans="1:8" ht="11.25">
      <c r="A457" s="2">
        <v>79</v>
      </c>
      <c r="B457" t="s">
        <v>5181</v>
      </c>
      <c r="D457">
        <v>1</v>
      </c>
      <c r="E457" s="322">
        <f>IF(xxYear=$D457,finPNLProd1V1Rev,obalPrac1RevY1)</f>
        <v>115165477.39585172</v>
      </c>
      <c r="F457" t="s">
        <v>5193</v>
      </c>
      <c r="H457" t="b">
        <f>MAX(E457:E457)=MIN(E457:E457)</f>
        <v>1</v>
      </c>
    </row>
    <row r="458" spans="1:8" ht="11.25">
      <c r="A458" s="2">
        <v>80</v>
      </c>
      <c r="B458" t="s">
        <v>5182</v>
      </c>
      <c r="D458">
        <v>2</v>
      </c>
      <c r="E458" s="322" t="str">
        <f>IF(xxYear=$D458,finPNLProd1V1Rev,obalPrac1RevY2)</f>
        <v>N/A</v>
      </c>
      <c r="F458" t="s">
        <v>5194</v>
      </c>
      <c r="H458" t="b">
        <f>MAX(E458:E458)=MIN(E458:E458)</f>
        <v>1</v>
      </c>
    </row>
    <row r="459" spans="1:8" ht="11.25">
      <c r="A459" s="2">
        <v>81</v>
      </c>
      <c r="B459" t="s">
        <v>5185</v>
      </c>
      <c r="D459">
        <v>1</v>
      </c>
      <c r="E459" s="322">
        <f>IF(xxYear=$D459,finPNLProd1V2Rev,obalPrac2RevY1)</f>
        <v>62659656.377267309</v>
      </c>
      <c r="F459" t="s">
        <v>5195</v>
      </c>
      <c r="H459" t="b">
        <f>MAX(E459:E459)=MIN(E459:E459)</f>
        <v>1</v>
      </c>
    </row>
    <row r="460" spans="1:8" ht="11.25">
      <c r="A460" s="2">
        <v>82</v>
      </c>
      <c r="B460" t="s">
        <v>5186</v>
      </c>
      <c r="D460">
        <v>2</v>
      </c>
      <c r="E460" s="322" t="str">
        <f>IF(xxYear=$D460,finPNLProd1V2Rev,obalPrac2RevY2)</f>
        <v>N/A</v>
      </c>
      <c r="F460" t="s">
        <v>5196</v>
      </c>
      <c r="H460" t="b">
        <f>MAX(E460:E460)=MIN(E460:E460)</f>
        <v>1</v>
      </c>
    </row>
    <row r="461" spans="1:8" ht="11.25">
      <c r="A461" s="2">
        <v>83</v>
      </c>
      <c r="B461" t="s">
        <v>5183</v>
      </c>
      <c r="D461">
        <v>1</v>
      </c>
      <c r="E461" s="322">
        <f>IF(xxYear=$D461,finPNLProd1V3Rev,obalPrac3RevY1)</f>
        <v>22687371.279670905</v>
      </c>
      <c r="F461" t="s">
        <v>5197</v>
      </c>
      <c r="H461" t="b">
        <f>MAX(E461:E461)=MIN(E461:E461)</f>
        <v>1</v>
      </c>
    </row>
    <row r="462" spans="1:8" ht="11.25">
      <c r="A462" s="2">
        <v>84</v>
      </c>
      <c r="B462" t="s">
        <v>5184</v>
      </c>
      <c r="D462">
        <v>2</v>
      </c>
      <c r="E462" s="322" t="str">
        <f>IF(xxYear=$D462,finPNLProd1V3Rev,obalPrac3RevY2)</f>
        <v>N/A</v>
      </c>
      <c r="F462" t="s">
        <v>5198</v>
      </c>
      <c r="H462" t="b">
        <f>MAX(E462:E462)=MIN(E462:E462)</f>
        <v>1</v>
      </c>
    </row>
    <row r="463" spans="1:8" ht="11.25">
      <c r="A463" s="2">
        <v>85</v>
      </c>
      <c r="B463" t="s">
        <v>5199</v>
      </c>
      <c r="D463">
        <v>1</v>
      </c>
      <c r="E463" s="1180">
        <f ca="1">IF(xxYear=$D463,capCSATEnd,obalCSATY1)</f>
        <v>0.67005549739544945</v>
      </c>
      <c r="F463" t="s">
        <v>5203</v>
      </c>
      <c r="H463" t="b">
        <f ca="1">MAX(E463:E463)=MIN(E463:E463)</f>
        <v>1</v>
      </c>
    </row>
    <row r="464" spans="1:8" ht="11.25">
      <c r="A464" s="2">
        <v>86</v>
      </c>
      <c r="B464" t="s">
        <v>5200</v>
      </c>
      <c r="D464">
        <v>2</v>
      </c>
      <c r="E464" s="1180" t="str">
        <f>IF(xxYear=$D464,capCSATEnd,obalCSATY2)</f>
        <v>N/A</v>
      </c>
      <c r="F464" t="s">
        <v>5204</v>
      </c>
      <c r="H464" t="b">
        <f>MAX(E464:E464)=MIN(E464:E464)</f>
        <v>1</v>
      </c>
    </row>
    <row r="465" spans="1:8" ht="11.25">
      <c r="A465" s="2">
        <v>87</v>
      </c>
      <c r="B465" t="s">
        <v>5213</v>
      </c>
      <c r="D465">
        <v>1</v>
      </c>
      <c r="E465" s="1180">
        <f>IF(xxYear=$D465,capBusAEmp4Utiliz,obalBusAEmp4UtilizY1)</f>
        <v>0.46076923076923076</v>
      </c>
      <c r="F465" t="s">
        <v>5221</v>
      </c>
      <c r="H465" t="b">
        <f>MAX(E465:E465)=MIN(E465:E465)</f>
        <v>1</v>
      </c>
    </row>
    <row r="466" spans="1:8" ht="11.25">
      <c r="A466" s="2">
        <v>88</v>
      </c>
      <c r="B466" t="s">
        <v>5214</v>
      </c>
      <c r="D466">
        <v>2</v>
      </c>
      <c r="E466" s="1180" t="str">
        <f>IF(xxYear=$D466,capBusAEmp4Utiliz,obalBusAEmp4UtilizY2)</f>
        <v>N/A</v>
      </c>
      <c r="F466" t="s">
        <v>5222</v>
      </c>
      <c r="H466" t="b">
        <f>MAX(E466:E466)=MIN(E466:E466)</f>
        <v>1</v>
      </c>
    </row>
    <row r="467" spans="1:8" ht="11.25">
      <c r="A467" s="2">
        <v>89</v>
      </c>
      <c r="B467" t="s">
        <v>5215</v>
      </c>
      <c r="D467">
        <v>1</v>
      </c>
      <c r="E467" s="1180">
        <f>IF(xxYear=$D467,capBusAEmp3Utiliz,obalBusAEmp3UtilizY1)</f>
        <v>0.54145901639344263</v>
      </c>
      <c r="F467" t="s">
        <v>5223</v>
      </c>
      <c r="H467" t="b">
        <f>MAX(E467:E467)=MIN(E467:E467)</f>
        <v>1</v>
      </c>
    </row>
    <row r="468" spans="1:8" ht="11.25">
      <c r="A468" s="2">
        <v>90</v>
      </c>
      <c r="B468" t="s">
        <v>5216</v>
      </c>
      <c r="D468">
        <v>2</v>
      </c>
      <c r="E468" s="1180" t="str">
        <f>IF(xxYear=$D468,capBusAEmp3Utiliz,obalBusAEmp3UtilizY2)</f>
        <v>N/A</v>
      </c>
      <c r="F468" t="s">
        <v>5224</v>
      </c>
      <c r="H468" t="b">
        <f>MAX(E468:E468)=MIN(E468:E468)</f>
        <v>1</v>
      </c>
    </row>
    <row r="469" spans="1:8" ht="11.25">
      <c r="A469" s="2">
        <v>91</v>
      </c>
      <c r="B469" t="s">
        <v>5217</v>
      </c>
      <c r="D469">
        <v>1</v>
      </c>
      <c r="E469" s="1180">
        <f>IF(xxYear=$D469,capBusAEmp2Utiliz,obalBusAEmp2UtilizY1)</f>
        <v>0.53424657534246578</v>
      </c>
      <c r="F469" t="s">
        <v>5225</v>
      </c>
      <c r="H469" t="b">
        <f>MAX(E469:E469)=MIN(E469:E469)</f>
        <v>1</v>
      </c>
    </row>
    <row r="470" spans="1:8" ht="11.25">
      <c r="A470" s="2">
        <v>92</v>
      </c>
      <c r="B470" t="s">
        <v>5218</v>
      </c>
      <c r="D470">
        <v>2</v>
      </c>
      <c r="E470" s="1180" t="str">
        <f>IF(xxYear=$D470,capBusAEmp2Utiliz,obalBusAEmp2UtilizY2)</f>
        <v>N/A</v>
      </c>
      <c r="F470" t="s">
        <v>5226</v>
      </c>
      <c r="H470" t="b">
        <f>MAX(E470:E470)=MIN(E470:E470)</f>
        <v>1</v>
      </c>
    </row>
    <row r="471" spans="1:8" ht="11.25">
      <c r="A471" s="2">
        <v>93</v>
      </c>
      <c r="B471" t="s">
        <v>5219</v>
      </c>
      <c r="D471">
        <v>1</v>
      </c>
      <c r="E471" s="1180">
        <f>IF(xxYear=$D471,capBusAEmp9Utiliz,obalBusAEmp9UtilizY1)</f>
        <v>0.57926829268292679</v>
      </c>
      <c r="F471" t="s">
        <v>5227</v>
      </c>
      <c r="H471" t="b">
        <f>MAX(E471:E471)=MIN(E471:E471)</f>
        <v>1</v>
      </c>
    </row>
    <row r="472" spans="1:8" ht="11.25">
      <c r="A472" s="2">
        <v>94</v>
      </c>
      <c r="B472" t="s">
        <v>5220</v>
      </c>
      <c r="D472">
        <v>2</v>
      </c>
      <c r="E472" s="1180" t="str">
        <f>IF(xxYear=$D472,capBusAEmp9Utiliz,obalBusAEmp9UtilizY2)</f>
        <v>N/A</v>
      </c>
      <c r="F472" t="s">
        <v>5228</v>
      </c>
      <c r="H472" t="b">
        <f>MAX(E472:E472)=MIN(E472:E472)</f>
        <v>1</v>
      </c>
    </row>
    <row r="473" spans="1:8" ht="11.25">
      <c r="E473" s="322"/>
      <c r="H473" t="b">
        <f>MAX(E473:E473)=MIN(E473:E473)</f>
        <v>1</v>
      </c>
    </row>
    <row r="474" spans="1:8" ht="11.25">
      <c r="A474" s="2" t="s">
        <v>365</v>
      </c>
      <c r="E474" s="109"/>
      <c r="H474" t="b">
        <f>MAX(E474:E474)=MIN(E474:E474)</f>
        <v>1</v>
      </c>
    </row>
    <row r="475" spans="1:8" ht="11.25">
      <c r="B475" s="4" t="s">
        <v>366</v>
      </c>
      <c r="C475" t="s">
        <v>367</v>
      </c>
      <c r="D475" t="s">
        <v>3267</v>
      </c>
      <c r="E475" s="109"/>
      <c r="H475" t="b">
        <f>MAX(E475:E475)=MIN(E475:E475)</f>
        <v>1</v>
      </c>
    </row>
    <row r="476" spans="1:8" ht="11.25">
      <c r="B476" s="4">
        <v>1</v>
      </c>
      <c r="C476" s="4" t="s">
        <v>2984</v>
      </c>
      <c r="D476">
        <f t="shared" ref="D476:D483" si="0">MAX(xxYear-B476+1,0)</f>
        <v>1</v>
      </c>
      <c r="E476" s="109">
        <f>IF(xxYear=$B476,decSpecProg1,obal!E476)</f>
        <v>0</v>
      </c>
      <c r="F476" s="700" t="s">
        <v>6205</v>
      </c>
      <c r="H476" t="b">
        <f>MAX(E476:E476)=MIN(E476:E476)</f>
        <v>1</v>
      </c>
    </row>
    <row r="477" spans="1:8" ht="11.25">
      <c r="B477" s="4">
        <v>1</v>
      </c>
      <c r="C477" s="4" t="s">
        <v>2985</v>
      </c>
      <c r="D477">
        <f t="shared" si="0"/>
        <v>1</v>
      </c>
      <c r="E477" s="109">
        <f>IF(xxYear=$B477,decSpecProg2,obal!E477)</f>
        <v>0</v>
      </c>
      <c r="F477" s="700" t="s">
        <v>6206</v>
      </c>
      <c r="H477" t="b">
        <f>MAX(E477:E477)=MIN(E477:E477)</f>
        <v>1</v>
      </c>
    </row>
    <row r="478" spans="1:8" ht="11.25">
      <c r="B478" s="4">
        <v>1</v>
      </c>
      <c r="C478" s="4" t="s">
        <v>2986</v>
      </c>
      <c r="D478">
        <f t="shared" si="0"/>
        <v>1</v>
      </c>
      <c r="E478" s="109">
        <f>IF(xxYear=$B478,decSpecProg3,obal!E478)</f>
        <v>0</v>
      </c>
      <c r="F478" s="700" t="s">
        <v>6207</v>
      </c>
      <c r="H478" t="b">
        <f>MAX(E478:E478)=MIN(E478:E478)</f>
        <v>1</v>
      </c>
    </row>
    <row r="479" spans="1:8" ht="11.25">
      <c r="B479" s="4">
        <v>1</v>
      </c>
      <c r="C479" s="4" t="s">
        <v>2987</v>
      </c>
      <c r="D479">
        <f t="shared" si="0"/>
        <v>1</v>
      </c>
      <c r="E479" s="109">
        <f>IF(xxYear=$B479,decSpecProg4,obal!E479)</f>
        <v>0</v>
      </c>
      <c r="F479" s="700" t="s">
        <v>6208</v>
      </c>
      <c r="H479" t="b">
        <f>MAX(E479:E479)=MIN(E479:E479)</f>
        <v>1</v>
      </c>
    </row>
    <row r="480" spans="1:8" ht="11.25">
      <c r="B480" s="4">
        <v>1</v>
      </c>
      <c r="C480" s="4" t="s">
        <v>2988</v>
      </c>
      <c r="D480">
        <f t="shared" si="0"/>
        <v>1</v>
      </c>
      <c r="E480" s="109">
        <f>IF(xxYear=$B480,decSpecProg5,obal!E480)</f>
        <v>0</v>
      </c>
      <c r="F480" s="700" t="s">
        <v>6209</v>
      </c>
      <c r="H480" t="b">
        <f>MAX(E480:E480)=MIN(E480:E480)</f>
        <v>1</v>
      </c>
    </row>
    <row r="481" spans="2:8" ht="11.25">
      <c r="B481" s="4">
        <v>1</v>
      </c>
      <c r="C481" s="4" t="s">
        <v>1143</v>
      </c>
      <c r="D481">
        <f>MAX(xxYear-B481+1,0)</f>
        <v>1</v>
      </c>
      <c r="E481" s="109" t="str">
        <f>IF(xxYear=$B481,decSpecProg6,obal!E481)</f>
        <v>-</v>
      </c>
      <c r="F481" s="700" t="s">
        <v>6210</v>
      </c>
      <c r="H481" t="b">
        <f>MAX(E481:E481)=MIN(E481:E481)</f>
        <v>1</v>
      </c>
    </row>
    <row r="482" spans="2:8" ht="11.25">
      <c r="B482" s="4">
        <v>1</v>
      </c>
      <c r="C482" s="4" t="s">
        <v>1144</v>
      </c>
      <c r="D482">
        <f>MAX(xxYear-B482+1,0)</f>
        <v>1</v>
      </c>
      <c r="E482" s="109" t="str">
        <f>IF(xxYear=$B482,decSpecProg7,obal!E482)</f>
        <v>-</v>
      </c>
      <c r="F482" s="700" t="s">
        <v>6211</v>
      </c>
      <c r="H482" t="b">
        <f>MAX(E482:E482)=MIN(E482:E482)</f>
        <v>1</v>
      </c>
    </row>
    <row r="483" spans="2:8" ht="11.25">
      <c r="B483">
        <v>2</v>
      </c>
      <c r="C483" s="4" t="s">
        <v>2984</v>
      </c>
      <c r="D483">
        <f t="shared" si="0"/>
        <v>0</v>
      </c>
      <c r="E483" s="109">
        <f>IF(xxYear=$B483,decSpecProg1,obal!E483)</f>
        <v>0</v>
      </c>
      <c r="F483" s="700" t="s">
        <v>6212</v>
      </c>
      <c r="H483" t="b">
        <f>MAX(E483:E483)=MIN(E483:E483)</f>
        <v>1</v>
      </c>
    </row>
    <row r="484" spans="2:8" ht="11.25">
      <c r="B484">
        <v>2</v>
      </c>
      <c r="C484" s="4" t="s">
        <v>2985</v>
      </c>
      <c r="D484">
        <f t="shared" ref="D484:D520" si="1">MAX(xxYear-B484+1,0)</f>
        <v>0</v>
      </c>
      <c r="E484" s="109">
        <f>IF(xxYear=$B484,decSpecProg2,obal!E484)</f>
        <v>0</v>
      </c>
      <c r="F484" s="700" t="s">
        <v>6213</v>
      </c>
      <c r="H484" t="b">
        <f>MAX(E484:E484)=MIN(E484:E484)</f>
        <v>1</v>
      </c>
    </row>
    <row r="485" spans="2:8" ht="11.25">
      <c r="B485">
        <v>2</v>
      </c>
      <c r="C485" s="4" t="s">
        <v>2986</v>
      </c>
      <c r="D485">
        <f t="shared" si="1"/>
        <v>0</v>
      </c>
      <c r="E485" s="109">
        <f>IF(xxYear=$B485,decSpecProg3,obal!E485)</f>
        <v>0</v>
      </c>
      <c r="F485" s="700" t="s">
        <v>6214</v>
      </c>
      <c r="H485" t="b">
        <f>MAX(E485:E485)=MIN(E485:E485)</f>
        <v>1</v>
      </c>
    </row>
    <row r="486" spans="2:8" ht="11.25">
      <c r="B486">
        <v>2</v>
      </c>
      <c r="C486" s="4" t="s">
        <v>2987</v>
      </c>
      <c r="D486">
        <f t="shared" si="1"/>
        <v>0</v>
      </c>
      <c r="E486" s="109">
        <f>IF(xxYear=$B486,decSpecProg4,obal!E486)</f>
        <v>0</v>
      </c>
      <c r="F486" s="700" t="s">
        <v>6215</v>
      </c>
      <c r="H486" t="b">
        <f>MAX(E486:E486)=MIN(E486:E486)</f>
        <v>1</v>
      </c>
    </row>
    <row r="487" spans="2:8" ht="11.25">
      <c r="B487">
        <v>2</v>
      </c>
      <c r="C487" s="4" t="s">
        <v>2988</v>
      </c>
      <c r="D487">
        <f t="shared" si="1"/>
        <v>0</v>
      </c>
      <c r="E487" s="109">
        <f>IF(xxYear=$B487,decSpecProg5,obal!E487)</f>
        <v>0</v>
      </c>
      <c r="F487" s="700" t="s">
        <v>6216</v>
      </c>
      <c r="H487" t="b">
        <f>MAX(E487:E487)=MIN(E487:E487)</f>
        <v>1</v>
      </c>
    </row>
    <row r="488" spans="2:8" ht="11.25">
      <c r="B488">
        <v>2</v>
      </c>
      <c r="C488" s="4" t="s">
        <v>1143</v>
      </c>
      <c r="D488">
        <f t="shared" si="1"/>
        <v>0</v>
      </c>
      <c r="E488" s="109">
        <f>IF(xxYear=$B488,decSpecProg6,obal!E488)</f>
        <v>0</v>
      </c>
      <c r="F488" s="700" t="s">
        <v>6217</v>
      </c>
      <c r="H488" t="b">
        <f>MAX(E488:E488)=MIN(E488:E488)</f>
        <v>1</v>
      </c>
    </row>
    <row r="489" spans="2:8" ht="11.25">
      <c r="B489">
        <v>2</v>
      </c>
      <c r="C489" s="4" t="s">
        <v>1144</v>
      </c>
      <c r="D489">
        <f t="shared" si="1"/>
        <v>0</v>
      </c>
      <c r="E489" s="109">
        <f>IF(xxYear=$B489,decSpecProg7,obal!E489)</f>
        <v>0</v>
      </c>
      <c r="F489" s="700" t="s">
        <v>6218</v>
      </c>
      <c r="H489" t="b">
        <f>MAX(E489:E489)=MIN(E489:E489)</f>
        <v>1</v>
      </c>
    </row>
    <row r="490" spans="2:8" ht="11.25">
      <c r="B490">
        <v>3</v>
      </c>
      <c r="C490" s="4" t="s">
        <v>2984</v>
      </c>
      <c r="D490">
        <f t="shared" si="1"/>
        <v>0</v>
      </c>
      <c r="E490" s="109">
        <f>IF(xxYear=$B490,decSpecProg1,obal!E490)</f>
        <v>0</v>
      </c>
      <c r="F490" s="700" t="s">
        <v>6219</v>
      </c>
      <c r="H490" t="b">
        <f>MAX(E490:E490)=MIN(E490:E490)</f>
        <v>1</v>
      </c>
    </row>
    <row r="491" spans="2:8" ht="11.25">
      <c r="B491">
        <v>3</v>
      </c>
      <c r="C491" s="4" t="s">
        <v>2985</v>
      </c>
      <c r="D491">
        <f t="shared" si="1"/>
        <v>0</v>
      </c>
      <c r="E491" s="109">
        <f>IF(xxYear=$B491,decSpecProg2,obal!E491)</f>
        <v>0</v>
      </c>
      <c r="F491" s="700" t="s">
        <v>6220</v>
      </c>
      <c r="H491" t="b">
        <f>MAX(E491:E491)=MIN(E491:E491)</f>
        <v>1</v>
      </c>
    </row>
    <row r="492" spans="2:8" ht="11.25">
      <c r="B492">
        <v>3</v>
      </c>
      <c r="C492" s="4" t="s">
        <v>2986</v>
      </c>
      <c r="D492">
        <f t="shared" si="1"/>
        <v>0</v>
      </c>
      <c r="E492" s="109">
        <f>IF(xxYear=$B492,decSpecProg3,obal!E492)</f>
        <v>0</v>
      </c>
      <c r="F492" s="700" t="s">
        <v>6221</v>
      </c>
      <c r="H492" t="b">
        <f>MAX(E492:E492)=MIN(E492:E492)</f>
        <v>1</v>
      </c>
    </row>
    <row r="493" spans="2:8" ht="11.25">
      <c r="B493">
        <v>3</v>
      </c>
      <c r="C493" s="4" t="s">
        <v>2987</v>
      </c>
      <c r="D493">
        <f t="shared" si="1"/>
        <v>0</v>
      </c>
      <c r="E493" s="109">
        <f>IF(xxYear=$B493,decSpecProg4,obal!E493)</f>
        <v>0</v>
      </c>
      <c r="F493" s="700" t="s">
        <v>6222</v>
      </c>
      <c r="H493" t="b">
        <f>MAX(E493:E493)=MIN(E493:E493)</f>
        <v>1</v>
      </c>
    </row>
    <row r="494" spans="2:8" ht="11.25">
      <c r="B494">
        <v>3</v>
      </c>
      <c r="C494" s="4" t="s">
        <v>2988</v>
      </c>
      <c r="D494">
        <f t="shared" si="1"/>
        <v>0</v>
      </c>
      <c r="E494" s="109">
        <f>IF(xxYear=$B494,decSpecProg5,obal!E494)</f>
        <v>0</v>
      </c>
      <c r="F494" s="700" t="s">
        <v>6223</v>
      </c>
      <c r="H494" t="b">
        <f>MAX(E494:E494)=MIN(E494:E494)</f>
        <v>1</v>
      </c>
    </row>
    <row r="495" spans="2:8" ht="11.25">
      <c r="B495">
        <v>3</v>
      </c>
      <c r="C495" s="4" t="s">
        <v>1143</v>
      </c>
      <c r="D495">
        <f t="shared" si="1"/>
        <v>0</v>
      </c>
      <c r="E495" s="109">
        <f>IF(xxYear=$B495,decSpecProg6,obal!E495)</f>
        <v>0</v>
      </c>
      <c r="F495" s="700" t="s">
        <v>6224</v>
      </c>
      <c r="H495" t="b">
        <f>MAX(E495:E495)=MIN(E495:E495)</f>
        <v>1</v>
      </c>
    </row>
    <row r="496" spans="2:8" ht="11.25">
      <c r="B496">
        <v>3</v>
      </c>
      <c r="C496" s="4" t="s">
        <v>1144</v>
      </c>
      <c r="D496">
        <f t="shared" si="1"/>
        <v>0</v>
      </c>
      <c r="E496" s="109">
        <f>IF(xxYear=$B496,decSpecProg7,obal!E496)</f>
        <v>0</v>
      </c>
      <c r="F496" s="700" t="s">
        <v>6225</v>
      </c>
      <c r="H496" t="b">
        <f>MAX(E496:E496)=MIN(E496:E496)</f>
        <v>1</v>
      </c>
    </row>
    <row r="497" spans="1:8" ht="11.25">
      <c r="B497">
        <v>4</v>
      </c>
      <c r="C497" s="4" t="s">
        <v>2984</v>
      </c>
      <c r="D497">
        <f t="shared" si="1"/>
        <v>0</v>
      </c>
      <c r="E497" s="109">
        <f>IF(xxYear=$B497,decSpecProg1,obal!E497)</f>
        <v>0</v>
      </c>
      <c r="F497" s="700" t="s">
        <v>6226</v>
      </c>
      <c r="H497" t="b">
        <f>MAX(E497:E497)=MIN(E497:E497)</f>
        <v>1</v>
      </c>
    </row>
    <row r="498" spans="1:8" ht="11.25">
      <c r="B498">
        <v>4</v>
      </c>
      <c r="C498" s="4" t="s">
        <v>2985</v>
      </c>
      <c r="D498">
        <f t="shared" si="1"/>
        <v>0</v>
      </c>
      <c r="E498" s="109">
        <f>IF(xxYear=$B498,decSpecProg2,obal!E498)</f>
        <v>0</v>
      </c>
      <c r="F498" s="700" t="s">
        <v>6227</v>
      </c>
      <c r="H498" t="b">
        <f>MAX(E498:E498)=MIN(E498:E498)</f>
        <v>1</v>
      </c>
    </row>
    <row r="499" spans="1:8" ht="11.25">
      <c r="B499">
        <v>4</v>
      </c>
      <c r="C499" s="4" t="s">
        <v>2986</v>
      </c>
      <c r="D499">
        <f t="shared" si="1"/>
        <v>0</v>
      </c>
      <c r="E499" s="109">
        <f>IF(xxYear=$B499,decSpecProg3,obal!E499)</f>
        <v>0</v>
      </c>
      <c r="F499" s="700" t="s">
        <v>6228</v>
      </c>
      <c r="H499" t="b">
        <f>MAX(E499:E499)=MIN(E499:E499)</f>
        <v>1</v>
      </c>
    </row>
    <row r="500" spans="1:8" ht="11.25">
      <c r="B500">
        <v>4</v>
      </c>
      <c r="C500" s="4" t="s">
        <v>2987</v>
      </c>
      <c r="D500">
        <f t="shared" si="1"/>
        <v>0</v>
      </c>
      <c r="E500" s="109">
        <f>IF(xxYear=$B500,decSpecProg4,obal!E500)</f>
        <v>0</v>
      </c>
      <c r="F500" s="700" t="s">
        <v>6229</v>
      </c>
      <c r="H500" t="b">
        <f>MAX(E500:E500)=MIN(E500:E500)</f>
        <v>1</v>
      </c>
    </row>
    <row r="501" spans="1:8" ht="11.25">
      <c r="B501">
        <v>4</v>
      </c>
      <c r="C501" s="4" t="s">
        <v>2988</v>
      </c>
      <c r="D501">
        <f t="shared" si="1"/>
        <v>0</v>
      </c>
      <c r="E501" s="109">
        <f>IF(xxYear=$B501,decSpecProg5,obal!E501)</f>
        <v>0</v>
      </c>
      <c r="F501" s="700" t="s">
        <v>6230</v>
      </c>
      <c r="H501" t="b">
        <f>MAX(E501:E501)=MIN(E501:E501)</f>
        <v>1</v>
      </c>
    </row>
    <row r="502" spans="1:8" ht="11.25">
      <c r="B502">
        <v>4</v>
      </c>
      <c r="C502" s="4" t="s">
        <v>1143</v>
      </c>
      <c r="D502">
        <f t="shared" si="1"/>
        <v>0</v>
      </c>
      <c r="E502" s="109">
        <f>IF(xxYear=$B502,decSpecProg6,obal!E502)</f>
        <v>0</v>
      </c>
      <c r="F502" s="700" t="s">
        <v>6231</v>
      </c>
      <c r="H502" t="b">
        <f>MAX(E502:E502)=MIN(E502:E502)</f>
        <v>1</v>
      </c>
    </row>
    <row r="503" spans="1:8" ht="11.25">
      <c r="B503">
        <v>4</v>
      </c>
      <c r="C503" s="4" t="s">
        <v>1144</v>
      </c>
      <c r="D503">
        <f t="shared" si="1"/>
        <v>0</v>
      </c>
      <c r="E503" s="109">
        <f>IF(xxYear=$B503,decSpecProg7,obal!E503)</f>
        <v>0</v>
      </c>
      <c r="F503" s="700" t="s">
        <v>6232</v>
      </c>
      <c r="H503" t="b">
        <f>MAX(E503:E503)=MIN(E503:E503)</f>
        <v>1</v>
      </c>
    </row>
    <row r="504" spans="1:8" ht="11.25">
      <c r="A504" s="2" t="s">
        <v>2803</v>
      </c>
      <c r="C504" s="4"/>
      <c r="E504" s="109"/>
      <c r="H504" t="b">
        <f>MAX(E504:E504)=MIN(E504:E504)</f>
        <v>1</v>
      </c>
    </row>
    <row r="505" spans="1:8" ht="11.25">
      <c r="B505" s="4">
        <v>1</v>
      </c>
      <c r="C505" s="4" t="s">
        <v>2989</v>
      </c>
      <c r="D505">
        <f t="shared" ref="D505:D516" si="2">MAX(xxYear-B505+1,0)</f>
        <v>1</v>
      </c>
      <c r="E505" s="109">
        <f>IF(xxYear=$B505,decWobbler1,obal!E505)</f>
        <v>0</v>
      </c>
      <c r="F505" s="700" t="s">
        <v>6233</v>
      </c>
      <c r="H505" t="b">
        <f>MAX(E505:E505)=MIN(E505:E505)</f>
        <v>1</v>
      </c>
    </row>
    <row r="506" spans="1:8" ht="11.25">
      <c r="B506" s="4">
        <v>1</v>
      </c>
      <c r="C506" s="4" t="s">
        <v>2990</v>
      </c>
      <c r="D506">
        <f t="shared" si="2"/>
        <v>1</v>
      </c>
      <c r="E506" s="109">
        <f>IF(xxYear=$B506,decWobbler2,obal!E506)</f>
        <v>0</v>
      </c>
      <c r="F506" s="700" t="s">
        <v>6234</v>
      </c>
      <c r="H506" t="b">
        <f>MAX(E506:E506)=MIN(E506:E506)</f>
        <v>1</v>
      </c>
    </row>
    <row r="507" spans="1:8" ht="11.25">
      <c r="B507" s="4">
        <v>1</v>
      </c>
      <c r="C507" s="4" t="s">
        <v>2991</v>
      </c>
      <c r="D507">
        <f t="shared" si="2"/>
        <v>1</v>
      </c>
      <c r="E507" s="109">
        <f>IF(xxYear=$B507,decWobbler3,obal!E507)</f>
        <v>0</v>
      </c>
      <c r="F507" s="700" t="s">
        <v>6235</v>
      </c>
      <c r="H507" t="b">
        <f>MAX(E507:E507)=MIN(E507:E507)</f>
        <v>1</v>
      </c>
    </row>
    <row r="508" spans="1:8" ht="11.25">
      <c r="B508" s="4">
        <v>1</v>
      </c>
      <c r="C508" s="4" t="s">
        <v>2992</v>
      </c>
      <c r="D508">
        <f t="shared" si="2"/>
        <v>1</v>
      </c>
      <c r="E508" s="109">
        <f>IF(xxYear=$B508,decWobbler4,obal!E508)</f>
        <v>0</v>
      </c>
      <c r="F508" s="700" t="s">
        <v>6236</v>
      </c>
      <c r="H508" t="b">
        <f>MAX(E508:E508)=MIN(E508:E508)</f>
        <v>1</v>
      </c>
    </row>
    <row r="509" spans="1:8" ht="11.25">
      <c r="B509">
        <v>2</v>
      </c>
      <c r="C509" s="4" t="s">
        <v>2989</v>
      </c>
      <c r="D509">
        <f t="shared" si="2"/>
        <v>0</v>
      </c>
      <c r="E509" s="109">
        <f>IF(xxYear=$B509,decWobbler1,obal!E509)</f>
        <v>0</v>
      </c>
      <c r="F509" s="700" t="s">
        <v>6245</v>
      </c>
      <c r="H509" t="b">
        <f>MAX(E509:E509)=MIN(E509:E509)</f>
        <v>1</v>
      </c>
    </row>
    <row r="510" spans="1:8" ht="11.25">
      <c r="B510">
        <v>2</v>
      </c>
      <c r="C510" s="4" t="s">
        <v>2990</v>
      </c>
      <c r="D510">
        <f t="shared" si="2"/>
        <v>0</v>
      </c>
      <c r="E510" s="109">
        <f>IF(xxYear=$B510,decWobbler2,obal!E510)</f>
        <v>0</v>
      </c>
      <c r="F510" s="700" t="s">
        <v>6246</v>
      </c>
      <c r="H510" t="b">
        <f>MAX(E510:E510)=MIN(E510:E510)</f>
        <v>1</v>
      </c>
    </row>
    <row r="511" spans="1:8" ht="11.25">
      <c r="B511">
        <v>2</v>
      </c>
      <c r="C511" s="4" t="s">
        <v>2991</v>
      </c>
      <c r="D511">
        <f t="shared" si="2"/>
        <v>0</v>
      </c>
      <c r="E511" s="109">
        <f>IF(xxYear=$B511,decWobbler3,obal!E511)</f>
        <v>0</v>
      </c>
      <c r="F511" s="700" t="s">
        <v>6247</v>
      </c>
      <c r="H511" t="b">
        <f>MAX(E511:E511)=MIN(E511:E511)</f>
        <v>1</v>
      </c>
    </row>
    <row r="512" spans="1:8" ht="11.25">
      <c r="B512">
        <v>2</v>
      </c>
      <c r="C512" s="4" t="s">
        <v>2992</v>
      </c>
      <c r="D512">
        <f t="shared" si="2"/>
        <v>0</v>
      </c>
      <c r="E512" s="109">
        <f>IF(xxYear=$B512,decWobbler4,obal!E512)</f>
        <v>0</v>
      </c>
      <c r="F512" s="700" t="s">
        <v>6248</v>
      </c>
      <c r="H512" t="b">
        <f>MAX(E512:E512)=MIN(E512:E512)</f>
        <v>1</v>
      </c>
    </row>
    <row r="513" spans="2:8" ht="11.25">
      <c r="B513">
        <v>3</v>
      </c>
      <c r="C513" s="4" t="s">
        <v>2989</v>
      </c>
      <c r="D513">
        <f t="shared" si="2"/>
        <v>0</v>
      </c>
      <c r="E513" s="109">
        <f>IF(xxYear=$B513,decWobbler1,obal!E513)</f>
        <v>0</v>
      </c>
      <c r="F513" s="700" t="s">
        <v>6241</v>
      </c>
      <c r="H513" t="b">
        <f>MAX(E513:E513)=MIN(E513:E513)</f>
        <v>1</v>
      </c>
    </row>
    <row r="514" spans="2:8" ht="11.25">
      <c r="B514">
        <v>3</v>
      </c>
      <c r="C514" s="4" t="s">
        <v>2990</v>
      </c>
      <c r="D514">
        <f t="shared" si="2"/>
        <v>0</v>
      </c>
      <c r="E514" s="109">
        <f>IF(xxYear=$B514,decWobbler2,obal!E514)</f>
        <v>0</v>
      </c>
      <c r="F514" s="700" t="s">
        <v>6242</v>
      </c>
      <c r="H514" t="b">
        <f>MAX(E514:E514)=MIN(E514:E514)</f>
        <v>1</v>
      </c>
    </row>
    <row r="515" spans="2:8" ht="11.25">
      <c r="B515">
        <v>3</v>
      </c>
      <c r="C515" s="4" t="s">
        <v>2991</v>
      </c>
      <c r="D515">
        <f t="shared" si="2"/>
        <v>0</v>
      </c>
      <c r="E515" s="109">
        <f>IF(xxYear=$B515,decWobbler3,obal!E515)</f>
        <v>0</v>
      </c>
      <c r="F515" s="700" t="s">
        <v>6243</v>
      </c>
      <c r="H515" t="b">
        <f>MAX(E515:E515)=MIN(E515:E515)</f>
        <v>1</v>
      </c>
    </row>
    <row r="516" spans="2:8" ht="11.25">
      <c r="B516">
        <v>3</v>
      </c>
      <c r="C516" s="4" t="s">
        <v>2992</v>
      </c>
      <c r="D516">
        <f t="shared" si="2"/>
        <v>0</v>
      </c>
      <c r="E516" s="109">
        <f>IF(xxYear=$B516,decWobbler4,obal!E516)</f>
        <v>0</v>
      </c>
      <c r="F516" s="700" t="s">
        <v>6244</v>
      </c>
      <c r="H516" t="b">
        <f>MAX(E516:E516)=MIN(E516:E516)</f>
        <v>1</v>
      </c>
    </row>
    <row r="517" spans="2:8" ht="11.25">
      <c r="B517">
        <v>4</v>
      </c>
      <c r="C517" s="4" t="s">
        <v>2989</v>
      </c>
      <c r="D517">
        <f t="shared" si="1"/>
        <v>0</v>
      </c>
      <c r="E517" s="109">
        <f>IF(xxYear=$B517,decWobbler1,obal!E517)</f>
        <v>0</v>
      </c>
      <c r="F517" s="700" t="s">
        <v>6237</v>
      </c>
      <c r="H517" t="b">
        <f>MAX(E517:E517)=MIN(E517:E517)</f>
        <v>1</v>
      </c>
    </row>
    <row r="518" spans="2:8" ht="11.25">
      <c r="B518">
        <v>4</v>
      </c>
      <c r="C518" s="4" t="s">
        <v>2990</v>
      </c>
      <c r="D518">
        <f t="shared" si="1"/>
        <v>0</v>
      </c>
      <c r="E518" s="109">
        <f>IF(xxYear=$B518,decWobbler2,obal!E518)</f>
        <v>0</v>
      </c>
      <c r="F518" s="700" t="s">
        <v>6238</v>
      </c>
      <c r="H518" t="b">
        <f>MAX(E518:E518)=MIN(E518:E518)</f>
        <v>1</v>
      </c>
    </row>
    <row r="519" spans="2:8" ht="11.25">
      <c r="B519">
        <v>4</v>
      </c>
      <c r="C519" s="4" t="s">
        <v>2991</v>
      </c>
      <c r="D519">
        <f t="shared" si="1"/>
        <v>0</v>
      </c>
      <c r="E519" s="109">
        <f>IF(xxYear=$B519,decWobbler3,obal!E519)</f>
        <v>0</v>
      </c>
      <c r="F519" s="700" t="s">
        <v>6239</v>
      </c>
      <c r="H519" t="b">
        <f>MAX(E519:E519)=MIN(E519:E519)</f>
        <v>1</v>
      </c>
    </row>
    <row r="520" spans="2:8" ht="11.25">
      <c r="B520">
        <v>4</v>
      </c>
      <c r="C520" s="4" t="s">
        <v>2992</v>
      </c>
      <c r="D520">
        <f t="shared" si="1"/>
        <v>0</v>
      </c>
      <c r="E520" s="109">
        <f>IF(xxYear=$B520,decWobbler4,obal!E520)</f>
        <v>0</v>
      </c>
      <c r="F520" s="700" t="s">
        <v>6240</v>
      </c>
      <c r="H520" t="b">
        <f>MAX(E520:E520)=MIN(E520:E520)</f>
        <v>1</v>
      </c>
    </row>
    <row r="521" spans="2:8" ht="11.25">
      <c r="B521" s="2" t="s">
        <v>574</v>
      </c>
      <c r="C521" s="4"/>
      <c r="E521" s="109"/>
      <c r="H521" t="b">
        <f>MAX(E521:E521)=MIN(E521:E521)</f>
        <v>1</v>
      </c>
    </row>
    <row r="522" spans="2:8" ht="11.25">
      <c r="B522">
        <v>1</v>
      </c>
      <c r="C522" s="4" t="s">
        <v>575</v>
      </c>
      <c r="D522">
        <f t="shared" ref="D522:D531" si="3">MAX(xxYear-B522+1,0)</f>
        <v>1</v>
      </c>
      <c r="E522" s="205">
        <f>IF(xxYear=$B522,decPopupWobbler1,obal!E522)</f>
        <v>0</v>
      </c>
      <c r="H522" t="b">
        <f>MAX(E522:E522)=MIN(E522:E522)</f>
        <v>1</v>
      </c>
    </row>
    <row r="523" spans="2:8" ht="11.25">
      <c r="B523">
        <v>1</v>
      </c>
      <c r="C523" s="4" t="s">
        <v>576</v>
      </c>
      <c r="D523">
        <f t="shared" si="3"/>
        <v>1</v>
      </c>
      <c r="E523" s="205">
        <f>IF(xxYear=$B523,decPopupWobbler2,obal!E523)</f>
        <v>0</v>
      </c>
      <c r="H523" t="b">
        <f>MAX(E523:E523)=MIN(E523:E523)</f>
        <v>1</v>
      </c>
    </row>
    <row r="524" spans="2:8" ht="11.25">
      <c r="B524">
        <v>1</v>
      </c>
      <c r="C524" s="4" t="s">
        <v>2945</v>
      </c>
      <c r="D524">
        <f t="shared" si="3"/>
        <v>1</v>
      </c>
      <c r="E524" s="205">
        <f>IF(xxYear=$B524,decPopupWobbler3,obal!E524)</f>
        <v>0</v>
      </c>
      <c r="H524" t="b">
        <f>MAX(E524:E524)=MIN(E524:E524)</f>
        <v>1</v>
      </c>
    </row>
    <row r="525" spans="2:8" ht="11.25">
      <c r="B525">
        <v>1</v>
      </c>
      <c r="C525" s="4" t="s">
        <v>2946</v>
      </c>
      <c r="D525">
        <f t="shared" si="3"/>
        <v>1</v>
      </c>
      <c r="E525" s="205">
        <f>IF(xxYear=$B525,decPopupWobbler4,obal!E525)</f>
        <v>0</v>
      </c>
      <c r="H525" t="b">
        <f>MAX(E525:E525)=MIN(E525:E525)</f>
        <v>1</v>
      </c>
    </row>
    <row r="526" spans="2:8" ht="11.25">
      <c r="B526">
        <v>1</v>
      </c>
      <c r="C526" s="4" t="s">
        <v>2947</v>
      </c>
      <c r="D526">
        <f t="shared" si="3"/>
        <v>1</v>
      </c>
      <c r="E526" s="205">
        <f>IF(xxYear=$B526,decPopupWobbler5,obal!E526)</f>
        <v>0</v>
      </c>
      <c r="H526" t="b">
        <f>MAX(E526:E526)=MIN(E526:E526)</f>
        <v>1</v>
      </c>
    </row>
    <row r="527" spans="2:8" ht="11.25">
      <c r="B527">
        <v>1</v>
      </c>
      <c r="C527" s="4" t="s">
        <v>2926</v>
      </c>
      <c r="D527">
        <f t="shared" si="3"/>
        <v>1</v>
      </c>
      <c r="E527" s="205">
        <f>IF(xxYear=$B527,decPopupWobbler6,obal!E527)</f>
        <v>0</v>
      </c>
      <c r="H527" t="b">
        <f>MAX(E527:E527)=MIN(E527:E527)</f>
        <v>1</v>
      </c>
    </row>
    <row r="528" spans="2:8" ht="11.25">
      <c r="B528">
        <v>1</v>
      </c>
      <c r="C528" s="4" t="s">
        <v>2927</v>
      </c>
      <c r="D528">
        <f t="shared" si="3"/>
        <v>1</v>
      </c>
      <c r="E528" s="205">
        <f>IF(xxYear=$B528,decPopupWobbler7,obal!E528)</f>
        <v>0</v>
      </c>
      <c r="H528" t="b">
        <f>MAX(E528:E528)=MIN(E528:E528)</f>
        <v>1</v>
      </c>
    </row>
    <row r="529" spans="2:8" ht="11.25">
      <c r="B529">
        <v>1</v>
      </c>
      <c r="C529" s="4" t="s">
        <v>2928</v>
      </c>
      <c r="D529">
        <f t="shared" si="3"/>
        <v>1</v>
      </c>
      <c r="E529" s="205">
        <f>IF(xxYear=$B529,decPopupWobbler8,obal!E529)</f>
        <v>0</v>
      </c>
      <c r="H529" t="b">
        <f>MAX(E529:E529)=MIN(E529:E529)</f>
        <v>1</v>
      </c>
    </row>
    <row r="530" spans="2:8" ht="11.25">
      <c r="B530">
        <v>1</v>
      </c>
      <c r="C530" s="4" t="s">
        <v>2929</v>
      </c>
      <c r="D530">
        <f t="shared" si="3"/>
        <v>1</v>
      </c>
      <c r="E530" s="205">
        <f>IF(xxYear=$B530,decPopupWobbler9,obal!E530)</f>
        <v>0</v>
      </c>
      <c r="H530" t="b">
        <f>MAX(E530:E530)=MIN(E530:E530)</f>
        <v>1</v>
      </c>
    </row>
    <row r="531" spans="2:8" ht="11.25">
      <c r="B531">
        <v>1</v>
      </c>
      <c r="C531" s="4" t="s">
        <v>2930</v>
      </c>
      <c r="D531">
        <f t="shared" si="3"/>
        <v>1</v>
      </c>
      <c r="E531" s="205">
        <f>IF(xxYear=$B531,decPopupWobbler10,obal!E531)</f>
        <v>0</v>
      </c>
      <c r="H531" t="b">
        <f>MAX(E531:E531)=MIN(E531:E531)</f>
        <v>1</v>
      </c>
    </row>
    <row r="532" spans="2:8" ht="11.25">
      <c r="B532">
        <v>2</v>
      </c>
      <c r="C532" s="4" t="s">
        <v>575</v>
      </c>
      <c r="D532">
        <f t="shared" ref="D532:D551" si="4">MAX(xxYear-B532+1,0)</f>
        <v>0</v>
      </c>
      <c r="E532" s="205">
        <f>IF(xxYear=$B532,decPopupWobbler1,obal!E532)</f>
        <v>0</v>
      </c>
      <c r="H532" t="b">
        <f>MAX(E532:E532)=MIN(E532:E532)</f>
        <v>1</v>
      </c>
    </row>
    <row r="533" spans="2:8" ht="11.25">
      <c r="B533">
        <v>2</v>
      </c>
      <c r="C533" s="4" t="s">
        <v>576</v>
      </c>
      <c r="D533">
        <f t="shared" si="4"/>
        <v>0</v>
      </c>
      <c r="E533" s="205">
        <f>IF(xxYear=$B533,decPopupWobbler2,obal!E533)</f>
        <v>0</v>
      </c>
      <c r="H533" t="b">
        <f>MAX(E533:E533)=MIN(E533:E533)</f>
        <v>1</v>
      </c>
    </row>
    <row r="534" spans="2:8" ht="11.25">
      <c r="B534">
        <v>2</v>
      </c>
      <c r="C534" s="4" t="s">
        <v>2945</v>
      </c>
      <c r="D534">
        <f t="shared" si="4"/>
        <v>0</v>
      </c>
      <c r="E534" s="205">
        <f>IF(xxYear=$B534,decPopupWobbler3,obal!E534)</f>
        <v>0</v>
      </c>
      <c r="H534" t="b">
        <f>MAX(E534:E534)=MIN(E534:E534)</f>
        <v>1</v>
      </c>
    </row>
    <row r="535" spans="2:8" ht="11.25">
      <c r="B535">
        <v>2</v>
      </c>
      <c r="C535" s="4" t="s">
        <v>2946</v>
      </c>
      <c r="D535">
        <f t="shared" si="4"/>
        <v>0</v>
      </c>
      <c r="E535" s="205">
        <f>IF(xxYear=$B535,decPopupWobbler4,obal!E535)</f>
        <v>0</v>
      </c>
      <c r="H535" t="b">
        <f>MAX(E535:E535)=MIN(E535:E535)</f>
        <v>1</v>
      </c>
    </row>
    <row r="536" spans="2:8" ht="11.25">
      <c r="B536">
        <v>2</v>
      </c>
      <c r="C536" s="4" t="s">
        <v>2947</v>
      </c>
      <c r="D536">
        <f t="shared" si="4"/>
        <v>0</v>
      </c>
      <c r="E536" s="205">
        <f>IF(xxYear=$B536,decPopupWobbler5,obal!E536)</f>
        <v>0</v>
      </c>
      <c r="H536" t="b">
        <f>MAX(E536:E536)=MIN(E536:E536)</f>
        <v>1</v>
      </c>
    </row>
    <row r="537" spans="2:8" ht="11.25">
      <c r="B537">
        <v>2</v>
      </c>
      <c r="C537" s="4" t="s">
        <v>2926</v>
      </c>
      <c r="D537">
        <f t="shared" si="4"/>
        <v>0</v>
      </c>
      <c r="E537" s="205">
        <f>IF(xxYear=$B537,decPopupWobbler6,obal!E537)</f>
        <v>0</v>
      </c>
      <c r="H537" t="b">
        <f>MAX(E537:E537)=MIN(E537:E537)</f>
        <v>1</v>
      </c>
    </row>
    <row r="538" spans="2:8" ht="11.25">
      <c r="B538">
        <v>2</v>
      </c>
      <c r="C538" s="4" t="s">
        <v>2927</v>
      </c>
      <c r="D538">
        <f t="shared" si="4"/>
        <v>0</v>
      </c>
      <c r="E538" s="205">
        <f>IF(xxYear=$B538,decPopupWobbler7,obal!E538)</f>
        <v>0</v>
      </c>
      <c r="H538" t="b">
        <f>MAX(E538:E538)=MIN(E538:E538)</f>
        <v>1</v>
      </c>
    </row>
    <row r="539" spans="2:8" ht="11.25">
      <c r="B539">
        <v>2</v>
      </c>
      <c r="C539" s="4" t="s">
        <v>2928</v>
      </c>
      <c r="D539">
        <f t="shared" si="4"/>
        <v>0</v>
      </c>
      <c r="E539" s="205">
        <f>IF(xxYear=$B539,decPopupWobbler8,obal!E539)</f>
        <v>0</v>
      </c>
      <c r="H539" t="b">
        <f>MAX(E539:E539)=MIN(E539:E539)</f>
        <v>1</v>
      </c>
    </row>
    <row r="540" spans="2:8" ht="11.25">
      <c r="B540">
        <v>2</v>
      </c>
      <c r="C540" s="4" t="s">
        <v>2929</v>
      </c>
      <c r="D540">
        <f t="shared" si="4"/>
        <v>0</v>
      </c>
      <c r="E540" s="205">
        <f>IF(xxYear=$B540,decPopupWobbler9,obal!E540)</f>
        <v>0</v>
      </c>
      <c r="H540" t="b">
        <f>MAX(E540:E540)=MIN(E540:E540)</f>
        <v>1</v>
      </c>
    </row>
    <row r="541" spans="2:8" ht="11.25">
      <c r="B541">
        <v>2</v>
      </c>
      <c r="C541" s="4" t="s">
        <v>2930</v>
      </c>
      <c r="D541">
        <f t="shared" si="4"/>
        <v>0</v>
      </c>
      <c r="E541" s="205">
        <f>IF(xxYear=$B541,decPopupWobbler10,obal!E541)</f>
        <v>0</v>
      </c>
      <c r="H541" t="b">
        <f>MAX(E541:E541)=MIN(E541:E541)</f>
        <v>1</v>
      </c>
    </row>
    <row r="542" spans="2:8" ht="11.25">
      <c r="B542">
        <v>3</v>
      </c>
      <c r="C542" s="4" t="s">
        <v>575</v>
      </c>
      <c r="D542">
        <f t="shared" si="4"/>
        <v>0</v>
      </c>
      <c r="E542" s="205">
        <f>IF(xxYear=$B542,decPopupWobbler1,obal!E542)</f>
        <v>0</v>
      </c>
      <c r="H542" t="b">
        <f>MAX(E542:E542)=MIN(E542:E542)</f>
        <v>1</v>
      </c>
    </row>
    <row r="543" spans="2:8" ht="11.25">
      <c r="B543">
        <v>3</v>
      </c>
      <c r="C543" s="4" t="s">
        <v>576</v>
      </c>
      <c r="D543">
        <f t="shared" si="4"/>
        <v>0</v>
      </c>
      <c r="E543" s="205">
        <f>IF(xxYear=$B543,decPopupWobbler2,obal!E543)</f>
        <v>0</v>
      </c>
      <c r="H543" t="b">
        <f>MAX(E543:E543)=MIN(E543:E543)</f>
        <v>1</v>
      </c>
    </row>
    <row r="544" spans="2:8" ht="11.25">
      <c r="B544">
        <v>3</v>
      </c>
      <c r="C544" s="4" t="s">
        <v>2945</v>
      </c>
      <c r="D544">
        <f t="shared" si="4"/>
        <v>0</v>
      </c>
      <c r="E544" s="205">
        <f>IF(xxYear=$B544,decPopupWobbler3,obal!E544)</f>
        <v>0</v>
      </c>
      <c r="H544" t="b">
        <f>MAX(E544:E544)=MIN(E544:E544)</f>
        <v>1</v>
      </c>
    </row>
    <row r="545" spans="2:8" ht="11.25">
      <c r="B545">
        <v>3</v>
      </c>
      <c r="C545" s="4" t="s">
        <v>2946</v>
      </c>
      <c r="D545">
        <f t="shared" si="4"/>
        <v>0</v>
      </c>
      <c r="E545" s="205">
        <f>IF(xxYear=$B545,decPopupWobbler4,obal!E545)</f>
        <v>0</v>
      </c>
      <c r="H545" t="b">
        <f>MAX(E545:E545)=MIN(E545:E545)</f>
        <v>1</v>
      </c>
    </row>
    <row r="546" spans="2:8" ht="11.25">
      <c r="B546">
        <v>3</v>
      </c>
      <c r="C546" s="4" t="s">
        <v>2947</v>
      </c>
      <c r="D546">
        <f t="shared" si="4"/>
        <v>0</v>
      </c>
      <c r="E546" s="205">
        <f>IF(xxYear=$B546,decPopupWobbler5,obal!E546)</f>
        <v>0</v>
      </c>
      <c r="H546" t="b">
        <f>MAX(E546:E546)=MIN(E546:E546)</f>
        <v>1</v>
      </c>
    </row>
    <row r="547" spans="2:8" ht="11.25">
      <c r="B547">
        <v>3</v>
      </c>
      <c r="C547" s="4" t="s">
        <v>2926</v>
      </c>
      <c r="D547">
        <f t="shared" si="4"/>
        <v>0</v>
      </c>
      <c r="E547" s="205">
        <f>IF(xxYear=$B547,decPopupWobbler6,obal!E547)</f>
        <v>0</v>
      </c>
      <c r="H547" t="b">
        <f>MAX(E547:E547)=MIN(E547:E547)</f>
        <v>1</v>
      </c>
    </row>
    <row r="548" spans="2:8" ht="11.25">
      <c r="B548">
        <v>3</v>
      </c>
      <c r="C548" s="4" t="s">
        <v>2927</v>
      </c>
      <c r="D548">
        <f t="shared" si="4"/>
        <v>0</v>
      </c>
      <c r="E548" s="205">
        <f>IF(xxYear=$B548,decPopupWobbler7,obal!E548)</f>
        <v>0</v>
      </c>
      <c r="H548" t="b">
        <f>MAX(E548:E548)=MIN(E548:E548)</f>
        <v>1</v>
      </c>
    </row>
    <row r="549" spans="2:8" ht="11.25">
      <c r="B549">
        <v>3</v>
      </c>
      <c r="C549" s="4" t="s">
        <v>2928</v>
      </c>
      <c r="D549">
        <f t="shared" si="4"/>
        <v>0</v>
      </c>
      <c r="E549" s="205">
        <f>IF(xxYear=$B549,decPopupWobbler8,obal!E549)</f>
        <v>0</v>
      </c>
      <c r="H549" t="b">
        <f>MAX(E549:E549)=MIN(E549:E549)</f>
        <v>1</v>
      </c>
    </row>
    <row r="550" spans="2:8" ht="11.25">
      <c r="B550">
        <v>3</v>
      </c>
      <c r="C550" s="4" t="s">
        <v>2929</v>
      </c>
      <c r="D550">
        <f t="shared" si="4"/>
        <v>0</v>
      </c>
      <c r="E550" s="205">
        <f>IF(xxYear=$B550,decPopupWobbler9,obal!E550)</f>
        <v>0</v>
      </c>
      <c r="H550" t="b">
        <f>MAX(E550:E550)=MIN(E550:E550)</f>
        <v>1</v>
      </c>
    </row>
    <row r="551" spans="2:8" ht="11.25">
      <c r="B551">
        <v>3</v>
      </c>
      <c r="C551" s="4" t="s">
        <v>2930</v>
      </c>
      <c r="D551">
        <f t="shared" si="4"/>
        <v>0</v>
      </c>
      <c r="E551" s="205">
        <f>IF(xxYear=$B551,decPopupWobbler10,obal!E551)</f>
        <v>0</v>
      </c>
      <c r="H551" t="b">
        <f>MAX(E551:E551)=MIN(E551:E551)</f>
        <v>1</v>
      </c>
    </row>
    <row r="552" spans="2:8" ht="11.25">
      <c r="B552">
        <v>4</v>
      </c>
      <c r="C552" s="4" t="s">
        <v>575</v>
      </c>
      <c r="D552">
        <f t="shared" ref="D552:D561" si="5">MAX(xxYear-B552+1,0)</f>
        <v>0</v>
      </c>
      <c r="E552" s="205">
        <f>IF(xxYear=$B552,decPopupWobbler1,obal!E552)</f>
        <v>0</v>
      </c>
      <c r="H552" t="b">
        <f>MAX(E552:E552)=MIN(E552:E552)</f>
        <v>1</v>
      </c>
    </row>
    <row r="553" spans="2:8" ht="11.25">
      <c r="B553">
        <v>4</v>
      </c>
      <c r="C553" s="4" t="s">
        <v>576</v>
      </c>
      <c r="D553">
        <f t="shared" si="5"/>
        <v>0</v>
      </c>
      <c r="E553" s="205">
        <f>IF(xxYear=$B553,decPopupWobbler2,obal!E553)</f>
        <v>0</v>
      </c>
      <c r="H553" t="b">
        <f>MAX(E553:E553)=MIN(E553:E553)</f>
        <v>1</v>
      </c>
    </row>
    <row r="554" spans="2:8" ht="11.25">
      <c r="B554">
        <v>4</v>
      </c>
      <c r="C554" s="4" t="s">
        <v>2945</v>
      </c>
      <c r="D554">
        <f t="shared" si="5"/>
        <v>0</v>
      </c>
      <c r="E554" s="205">
        <f>IF(xxYear=$B554,decPopupWobbler3,obal!E554)</f>
        <v>0</v>
      </c>
      <c r="H554" t="b">
        <f>MAX(E554:E554)=MIN(E554:E554)</f>
        <v>1</v>
      </c>
    </row>
    <row r="555" spans="2:8" ht="11.25">
      <c r="B555">
        <v>4</v>
      </c>
      <c r="C555" s="4" t="s">
        <v>2946</v>
      </c>
      <c r="D555">
        <f t="shared" si="5"/>
        <v>0</v>
      </c>
      <c r="E555" s="205">
        <f>IF(xxYear=$B555,decPopupWobbler4,obal!E555)</f>
        <v>0</v>
      </c>
      <c r="H555" t="b">
        <f>MAX(E555:E555)=MIN(E555:E555)</f>
        <v>1</v>
      </c>
    </row>
    <row r="556" spans="2:8" ht="11.25">
      <c r="B556">
        <v>4</v>
      </c>
      <c r="C556" s="4" t="s">
        <v>2947</v>
      </c>
      <c r="D556">
        <f t="shared" si="5"/>
        <v>0</v>
      </c>
      <c r="E556" s="205">
        <f>IF(xxYear=$B556,decPopupWobbler5,obal!E556)</f>
        <v>0</v>
      </c>
      <c r="H556" t="b">
        <f>MAX(E556:E556)=MIN(E556:E556)</f>
        <v>1</v>
      </c>
    </row>
    <row r="557" spans="2:8" ht="11.25">
      <c r="B557">
        <v>4</v>
      </c>
      <c r="C557" s="4" t="s">
        <v>2926</v>
      </c>
      <c r="D557">
        <f t="shared" si="5"/>
        <v>0</v>
      </c>
      <c r="E557" s="205">
        <f>IF(xxYear=$B557,decPopupWobbler6,obal!E557)</f>
        <v>0</v>
      </c>
      <c r="H557" t="b">
        <f>MAX(E557:E557)=MIN(E557:E557)</f>
        <v>1</v>
      </c>
    </row>
    <row r="558" spans="2:8" ht="11.25">
      <c r="B558">
        <v>4</v>
      </c>
      <c r="C558" s="4" t="s">
        <v>2927</v>
      </c>
      <c r="D558">
        <f t="shared" si="5"/>
        <v>0</v>
      </c>
      <c r="E558" s="205">
        <f>IF(xxYear=$B558,decPopupWobbler7,obal!E558)</f>
        <v>0</v>
      </c>
      <c r="H558" t="b">
        <f>MAX(E558:E558)=MIN(E558:E558)</f>
        <v>1</v>
      </c>
    </row>
    <row r="559" spans="2:8" ht="11.25">
      <c r="B559">
        <v>4</v>
      </c>
      <c r="C559" s="4" t="s">
        <v>2928</v>
      </c>
      <c r="D559">
        <f t="shared" si="5"/>
        <v>0</v>
      </c>
      <c r="E559" s="205">
        <f>IF(xxYear=$B559,decPopupWobbler8,obal!E559)</f>
        <v>0</v>
      </c>
      <c r="H559" t="b">
        <f>MAX(E559:E559)=MIN(E559:E559)</f>
        <v>1</v>
      </c>
    </row>
    <row r="560" spans="2:8" ht="11.25">
      <c r="B560">
        <v>4</v>
      </c>
      <c r="C560" s="4" t="s">
        <v>2929</v>
      </c>
      <c r="D560">
        <f t="shared" si="5"/>
        <v>0</v>
      </c>
      <c r="E560" s="205">
        <f>IF(xxYear=$B560,decPopupWobbler9,obal!E560)</f>
        <v>0</v>
      </c>
      <c r="H560" t="b">
        <f>MAX(E560:E560)=MIN(E560:E560)</f>
        <v>1</v>
      </c>
    </row>
    <row r="561" spans="1:8" ht="11.25">
      <c r="B561">
        <v>4</v>
      </c>
      <c r="C561" s="4" t="s">
        <v>2930</v>
      </c>
      <c r="D561">
        <f t="shared" si="5"/>
        <v>0</v>
      </c>
      <c r="E561" s="205">
        <f>IF(xxYear=$B561,decPopupWobbler10,obal!E561)</f>
        <v>0</v>
      </c>
      <c r="H561" t="b">
        <f>MAX(E561:E561)=MIN(E561:E561)</f>
        <v>1</v>
      </c>
    </row>
    <row r="562" spans="1:8" ht="11.25">
      <c r="E562" s="70"/>
      <c r="H562" t="b">
        <f>MAX(E562:E562)=MIN(E562:E562)</f>
        <v>1</v>
      </c>
    </row>
    <row r="563" spans="1:8" ht="11.25">
      <c r="A563" s="2" t="s">
        <v>368</v>
      </c>
      <c r="E563" s="109"/>
      <c r="H563" t="b">
        <f>MAX(E563:E563)=MIN(E563:E563)</f>
        <v>1</v>
      </c>
    </row>
    <row r="564" spans="1:8" ht="11.25">
      <c r="E564" s="109"/>
      <c r="H564" t="b">
        <f>MAX(E564:E564)=MIN(E564:E564)</f>
        <v>1</v>
      </c>
    </row>
    <row r="565" spans="1:8" ht="11.25">
      <c r="A565" s="2" t="s">
        <v>4612</v>
      </c>
      <c r="E565" s="109"/>
      <c r="H565" t="b">
        <f>MAX(E565:E565)=MIN(E565:E565)</f>
        <v>1</v>
      </c>
    </row>
    <row r="566" spans="1:8" ht="11.25">
      <c r="B566" t="s">
        <v>4613</v>
      </c>
      <c r="E566" s="382">
        <f>capBusALocalPerCostReduce+obalBusALocalPerCostReduce</f>
        <v>0</v>
      </c>
      <c r="F566" t="s">
        <v>4614</v>
      </c>
      <c r="H566" t="b">
        <f>MAX(E566:E566)=MIN(E566:E566)</f>
        <v>1</v>
      </c>
    </row>
    <row r="567" spans="1:8" ht="11.25">
      <c r="E567" s="109"/>
      <c r="H567" t="b">
        <f>MAX(E567:E567)=MIN(E567:E567)</f>
        <v>1</v>
      </c>
    </row>
    <row r="568" spans="1:8" ht="11.25">
      <c r="A568" s="2" t="s">
        <v>5403</v>
      </c>
      <c r="E568" s="109"/>
      <c r="H568" t="b">
        <f>MAX(E568:E568)=MIN(E568:E568)</f>
        <v>1</v>
      </c>
    </row>
    <row r="569" spans="1:8" ht="11.25">
      <c r="B569">
        <v>0</v>
      </c>
      <c r="C569" s="1481" t="s">
        <v>4726</v>
      </c>
      <c r="E569" s="1483">
        <f>IF(xxYear=$B569,finBookings,obalDBYr0Bookings)</f>
        <v>338154510</v>
      </c>
      <c r="F569" t="s">
        <v>5404</v>
      </c>
      <c r="H569" t="b">
        <f>MAX(E569:E569)=MIN(E569:E569)</f>
        <v>1</v>
      </c>
    </row>
    <row r="570" spans="1:8" ht="11.25">
      <c r="B570">
        <v>0</v>
      </c>
      <c r="C570" s="1481" t="s">
        <v>4826</v>
      </c>
      <c r="E570" s="111">
        <f>IF(xxYear=$B570,finBookingsCAGR,obalDBYr0BookingsCAGR)</f>
        <v>0</v>
      </c>
      <c r="F570" t="s">
        <v>5405</v>
      </c>
      <c r="H570" t="b">
        <f>MAX(E570:E570)=MIN(E570:E570)</f>
        <v>1</v>
      </c>
    </row>
    <row r="571" spans="1:8" ht="11.25">
      <c r="B571">
        <v>0</v>
      </c>
      <c r="C571" s="1481" t="s">
        <v>1487</v>
      </c>
      <c r="E571" s="1483">
        <f>IF(xxYear=$B571,finPNLTotalRev,obalDBYr0TotalRev)</f>
        <v>338508633</v>
      </c>
      <c r="F571" t="s">
        <v>5406</v>
      </c>
      <c r="H571" t="b">
        <f>MAX(E571:E571)=MIN(E571:E571)</f>
        <v>1</v>
      </c>
    </row>
    <row r="572" spans="1:8" ht="11.25">
      <c r="B572">
        <v>0</v>
      </c>
      <c r="C572" s="1481" t="s">
        <v>4766</v>
      </c>
      <c r="E572" s="111">
        <f>IF(xxYear=$B572,finPNLTotalGrossProfit/finPNLTotalRev,obalDBYr0GM)</f>
        <v>0.63426051642786396</v>
      </c>
      <c r="F572" t="s">
        <v>5407</v>
      </c>
      <c r="H572" t="b">
        <f>MAX(E572:E572)=MIN(E572:E572)</f>
        <v>1</v>
      </c>
    </row>
    <row r="573" spans="1:8" ht="11.25">
      <c r="B573">
        <v>0</v>
      </c>
      <c r="C573" s="1481" t="s">
        <v>4767</v>
      </c>
      <c r="E573" s="111">
        <f>IF(xxYear=$B573,finPNLTotalOpIncome/finPNLTotalRev,obalDBYr0OM)</f>
        <v>0.22598085562419018</v>
      </c>
      <c r="F573" t="s">
        <v>5408</v>
      </c>
      <c r="H573" t="b">
        <f>MAX(E573:E573)=MIN(E573:E573)</f>
        <v>1</v>
      </c>
    </row>
    <row r="574" spans="1:8" ht="11.25">
      <c r="B574">
        <v>0</v>
      </c>
      <c r="C574" s="1482" t="s">
        <v>5322</v>
      </c>
      <c r="E574" s="1483">
        <f>IF(xxYear=$B574,finPNLBusATotalQualityCost,obalDBYr0BusATotalQualityCost)</f>
        <v>1590280.0405952206</v>
      </c>
      <c r="F574" t="s">
        <v>5409</v>
      </c>
      <c r="H574" t="b">
        <f>MAX(E574:E574)=MIN(E574:E574)</f>
        <v>1</v>
      </c>
    </row>
    <row r="575" spans="1:8" ht="11.25">
      <c r="B575">
        <v>0</v>
      </c>
      <c r="C575" s="1482" t="s">
        <v>4932</v>
      </c>
      <c r="E575" s="111">
        <f>IF(xxYear=$B575,capESATEnd,obalDBYr0ESATEnd)</f>
        <v>0.72606665772184575</v>
      </c>
      <c r="F575" t="s">
        <v>5410</v>
      </c>
      <c r="H575" t="b">
        <f>MAX(E575:E575)=MIN(E575:E575)</f>
        <v>1</v>
      </c>
    </row>
    <row r="576" spans="1:8" ht="11.25">
      <c r="B576">
        <v>0</v>
      </c>
      <c r="C576" s="1482" t="s">
        <v>4933</v>
      </c>
      <c r="E576" s="111">
        <f>IF(xxYear=$B576,capCSATEnd,obalDBYr0CSATEnd)</f>
        <v>0.64303124999999983</v>
      </c>
      <c r="F576" t="s">
        <v>5411</v>
      </c>
      <c r="H576" t="b">
        <f>MAX(E576:E576)=MIN(E576:E576)</f>
        <v>1</v>
      </c>
    </row>
    <row r="577" spans="2:8" ht="11.25">
      <c r="B577">
        <v>0</v>
      </c>
      <c r="C577" s="1482" t="s">
        <v>5323</v>
      </c>
      <c r="E577" s="382">
        <f>IF(xxYear=$B577,capBusAEmp4Utiliz,obalDBYr0BusAEmp4Utiliz)</f>
        <v>0.52852941176470591</v>
      </c>
      <c r="F577" t="s">
        <v>5412</v>
      </c>
      <c r="H577" t="b">
        <f>MAX(E577:E577)=MIN(E577:E577)</f>
        <v>1</v>
      </c>
    </row>
    <row r="578" spans="2:8" ht="11.25">
      <c r="B578">
        <v>0</v>
      </c>
      <c r="C578" s="134" t="s">
        <v>2320</v>
      </c>
      <c r="E578" s="382">
        <f>IF(xxYear=$B578,capBusAEmp3Utiliz,obalDBYr0BusAEmp3Utiliz)</f>
        <v>0.62318867924528298</v>
      </c>
      <c r="F578" t="s">
        <v>5413</v>
      </c>
      <c r="H578" t="b">
        <f>MAX(E578:E578)=MIN(E578:E578)</f>
        <v>1</v>
      </c>
    </row>
    <row r="579" spans="2:8" ht="11.25">
      <c r="B579">
        <v>0</v>
      </c>
      <c r="C579" s="1482" t="s">
        <v>1239</v>
      </c>
      <c r="E579" s="382">
        <f>IF(xxYear=$B579,capBusAEmp2Utiliz,obalDBYr0BusAEmp2Utiliz)</f>
        <v>0.64356435643564358</v>
      </c>
      <c r="F579" t="s">
        <v>5414</v>
      </c>
      <c r="H579" t="b">
        <f>MAX(E579:E579)=MIN(E579:E579)</f>
        <v>1</v>
      </c>
    </row>
    <row r="580" spans="2:8" ht="11.25">
      <c r="B580">
        <v>0</v>
      </c>
      <c r="C580" s="1482" t="s">
        <v>5324</v>
      </c>
      <c r="E580" s="382">
        <f>IF(xxYear=$B580,capBusBEmp4Utiliz,obalDBYr0BusBEmp4Utiliz)</f>
        <v>0.23499999999999999</v>
      </c>
      <c r="F580" t="s">
        <v>5415</v>
      </c>
      <c r="H580" t="b">
        <f>MAX(E580:E580)=MIN(E580:E580)</f>
        <v>1</v>
      </c>
    </row>
    <row r="581" spans="2:8" ht="11.25">
      <c r="B581">
        <v>0</v>
      </c>
      <c r="C581" s="1482" t="s">
        <v>2320</v>
      </c>
      <c r="E581" s="382">
        <f>IF(xxYear=$B581,capBusBEmp3Utiliz,obalDBYr0BusBEmp3Utiliz)</f>
        <v>0.24529411764705883</v>
      </c>
      <c r="F581" t="s">
        <v>5416</v>
      </c>
      <c r="H581" t="b">
        <f>MAX(E581:E581)=MIN(E581:E581)</f>
        <v>1</v>
      </c>
    </row>
    <row r="582" spans="2:8" ht="11.25">
      <c r="B582">
        <v>0</v>
      </c>
      <c r="C582" s="1482" t="s">
        <v>1239</v>
      </c>
      <c r="E582" s="382">
        <f>IF(xxYear=$B582,capBusBEmp2Utiliz,obalDBYr0BusBEmp2Utiliz)</f>
        <v>0.32111111111111112</v>
      </c>
      <c r="F582" t="s">
        <v>5417</v>
      </c>
      <c r="H582" t="b">
        <f>MAX(E582:E582)=MIN(E582:E582)</f>
        <v>1</v>
      </c>
    </row>
    <row r="583" spans="2:8" ht="11.25">
      <c r="B583">
        <v>0</v>
      </c>
      <c r="C583" s="1482" t="s">
        <v>2022</v>
      </c>
      <c r="E583" s="382">
        <f>IF(xxYear=$B583,capBusBEmp1Utiliz,obalDBYr0BusBEmp1Utiliz)</f>
        <v>0.31111111111111112</v>
      </c>
      <c r="F583" t="s">
        <v>5418</v>
      </c>
      <c r="H583" t="b">
        <f>MAX(E583:E583)=MIN(E583:E583)</f>
        <v>1</v>
      </c>
    </row>
    <row r="584" spans="2:8" ht="11.25">
      <c r="B584">
        <v>0</v>
      </c>
      <c r="C584" s="1481" t="s">
        <v>3369</v>
      </c>
      <c r="E584" s="1483">
        <f>IF(xxYear=$B584,finPNLBusBTotalQualityCost,obalDBYr0BusBTotalQualityCost)</f>
        <v>13404593.926293261</v>
      </c>
      <c r="F584" t="s">
        <v>5419</v>
      </c>
      <c r="H584" t="b">
        <f>MAX(E584:E584)=MIN(E584:E584)</f>
        <v>1</v>
      </c>
    </row>
    <row r="585" spans="2:8" ht="11.25">
      <c r="B585">
        <v>0</v>
      </c>
      <c r="C585" s="1481" t="s">
        <v>5325</v>
      </c>
      <c r="E585" s="1483">
        <f>IF(xxYear=$B585,capBusBTotalForecastRev,obalDBYr0BusBTotalForecastRev)</f>
        <v>0</v>
      </c>
      <c r="F585" t="s">
        <v>5420</v>
      </c>
      <c r="H585" t="b">
        <f>MAX(E585:E585)=MIN(E585:E585)</f>
        <v>1</v>
      </c>
    </row>
    <row r="586" spans="2:8" ht="11.25">
      <c r="B586">
        <v>0</v>
      </c>
      <c r="C586" s="134" t="s">
        <v>5326</v>
      </c>
      <c r="E586" s="382">
        <f>IF(xxYear=$B586,capEmp6Utiliz,obalDBYr0Emp6Utiliz)</f>
        <v>0.47469231694623598</v>
      </c>
      <c r="F586" t="s">
        <v>5421</v>
      </c>
      <c r="H586" t="b">
        <f>MAX(E586:E586)=MIN(E586:E586)</f>
        <v>1</v>
      </c>
    </row>
    <row r="587" spans="2:8" ht="11.25">
      <c r="B587">
        <v>0</v>
      </c>
      <c r="C587" s="1482" t="s">
        <v>5327</v>
      </c>
      <c r="E587" s="1483">
        <f>IF(xxYear=$B587,capTotalTrainingBudForecast,obalDBYr0TotalTrainingBudForecast)</f>
        <v>6301500</v>
      </c>
      <c r="F587" t="s">
        <v>5422</v>
      </c>
      <c r="H587" t="b">
        <f>MAX(E587:E587)=MIN(E587:E587)</f>
        <v>1</v>
      </c>
    </row>
    <row r="588" spans="2:8" ht="11.25">
      <c r="B588">
        <v>0</v>
      </c>
      <c r="C588" s="1482" t="s">
        <v>5328</v>
      </c>
      <c r="E588" s="382">
        <f>IF(xxYear=$B588,capBusAEmp7Utiliz,obalDBYr0BusAEmp7Utiliz)</f>
        <v>0.82962264150943399</v>
      </c>
      <c r="F588" t="s">
        <v>5423</v>
      </c>
      <c r="H588" t="b">
        <f>MAX(E588:E588)=MIN(E588:E588)</f>
        <v>1</v>
      </c>
    </row>
    <row r="589" spans="2:8" ht="11.25">
      <c r="B589">
        <v>0</v>
      </c>
      <c r="C589" s="134" t="s">
        <v>2320</v>
      </c>
      <c r="E589" s="382">
        <f>IF(xxYear=$B589,capBusAEmp8Utiliz,obalDBYr0BusAEmp8Utiliz)</f>
        <v>0.86962732919254659</v>
      </c>
      <c r="F589" t="s">
        <v>5424</v>
      </c>
      <c r="H589" t="b">
        <f>MAX(E589:E589)=MIN(E589:E589)</f>
        <v>1</v>
      </c>
    </row>
    <row r="590" spans="2:8" ht="11.25">
      <c r="B590">
        <v>0</v>
      </c>
      <c r="C590" s="134" t="s">
        <v>1239</v>
      </c>
      <c r="E590" s="382">
        <f>IF(xxYear=$B590,capBusAEmp9Utiliz,obalDBYr0BusAEmp9Utiliz)</f>
        <v>0.65292096219931273</v>
      </c>
      <c r="F590" t="s">
        <v>5425</v>
      </c>
      <c r="H590" t="b">
        <f>MAX(E590:E590)=MIN(E590:E590)</f>
        <v>1</v>
      </c>
    </row>
    <row r="591" spans="2:8" ht="11.25">
      <c r="B591">
        <v>0</v>
      </c>
      <c r="C591" s="134" t="s">
        <v>2022</v>
      </c>
      <c r="E591" s="382">
        <f>IF(xxYear=$B591,capBusAEmp1Utiliz,obalDBYr0BusAEmp1Utiliz)</f>
        <v>0.29984777408905949</v>
      </c>
      <c r="F591" t="s">
        <v>5426</v>
      </c>
      <c r="H591" t="b">
        <f>MAX(E591:E591)=MIN(E591:E591)</f>
        <v>1</v>
      </c>
    </row>
    <row r="592" spans="2:8" ht="11.25">
      <c r="B592">
        <v>0</v>
      </c>
      <c r="C592" s="1482" t="s">
        <v>5355</v>
      </c>
      <c r="E592" s="382">
        <f>IF(xxYear=$B592,capBusAEmp4Utiliz,obalDBYr0GaugeBusAEmp4Utiliz)</f>
        <v>0.52852941176470591</v>
      </c>
      <c r="F592" t="s">
        <v>5427</v>
      </c>
      <c r="H592" t="b">
        <f>MAX(E592:E592)=MIN(E592:E592)</f>
        <v>1</v>
      </c>
    </row>
    <row r="593" spans="1:8" ht="11.25">
      <c r="B593">
        <v>0</v>
      </c>
      <c r="C593" s="1482" t="s">
        <v>5356</v>
      </c>
      <c r="E593" s="382">
        <f>IF(xxYear=$B593,capBusAEmp3Utiliz,obalDBYr0GaugeBusAEmp3Utiliz)</f>
        <v>0.62318867924528298</v>
      </c>
      <c r="F593" t="s">
        <v>5428</v>
      </c>
      <c r="H593" t="b">
        <f>MAX(E593:E593)=MIN(E593:E593)</f>
        <v>1</v>
      </c>
    </row>
    <row r="594" spans="1:8" ht="11.25">
      <c r="B594">
        <v>0</v>
      </c>
      <c r="C594" s="1482" t="s">
        <v>4705</v>
      </c>
      <c r="E594" s="382">
        <f>IF(xxYear=$B594,capBusAEmp2Utiliz,obalDBYr0GaugeBusAEmp2Utiliz)</f>
        <v>0.64356435643564358</v>
      </c>
      <c r="F594" t="s">
        <v>5429</v>
      </c>
      <c r="H594" t="b">
        <f>MAX(E594:E594)=MIN(E594:E594)</f>
        <v>1</v>
      </c>
    </row>
    <row r="595" spans="1:8" ht="11.25">
      <c r="B595">
        <v>0</v>
      </c>
      <c r="C595" s="1482" t="s">
        <v>5178</v>
      </c>
      <c r="E595" s="382">
        <f>IF(xxYear=$B595,capBusAEmp9Utiliz,obalDBYr0GaugeBusAEmp9Utiliz)</f>
        <v>0.65292096219931273</v>
      </c>
      <c r="F595" t="s">
        <v>5430</v>
      </c>
      <c r="H595" t="b">
        <f>MAX(E595:E595)=MIN(E595:E595)</f>
        <v>1</v>
      </c>
    </row>
    <row r="596" spans="1:8" ht="11.25">
      <c r="B596">
        <v>0</v>
      </c>
      <c r="C596" s="1482" t="s">
        <v>5357</v>
      </c>
      <c r="E596" s="382">
        <f>IF(xxYear=$B596,capEmp6Utiliz,obalDBYr0GaugeEmp6Utiliz)</f>
        <v>0.47469231694623598</v>
      </c>
      <c r="F596" t="s">
        <v>5431</v>
      </c>
      <c r="H596" t="b">
        <f>MAX(E596:E596)=MIN(E596:E596)</f>
        <v>1</v>
      </c>
    </row>
    <row r="597" spans="1:8" ht="11.25">
      <c r="A597" s="2" t="s">
        <v>5516</v>
      </c>
      <c r="E597" s="109"/>
      <c r="H597" t="b">
        <f>MAX(E597:E597)=MIN(E597:E597)</f>
        <v>1</v>
      </c>
    </row>
    <row r="598" spans="1:8" ht="11.25">
      <c r="B598">
        <v>1</v>
      </c>
      <c r="C598" s="1481" t="s">
        <v>4726</v>
      </c>
      <c r="E598" s="1483">
        <f>IF(xxYear=$B598,finBookings,obalDBYr1Bookings)</f>
        <v>441261193.15301216</v>
      </c>
      <c r="F598" t="s">
        <v>5488</v>
      </c>
      <c r="H598" t="b">
        <f>MAX(E598:E598)=MIN(E598:E598)</f>
        <v>1</v>
      </c>
    </row>
    <row r="599" spans="1:8" ht="11.25">
      <c r="B599">
        <v>1</v>
      </c>
      <c r="C599" s="1481" t="s">
        <v>4826</v>
      </c>
      <c r="E599" s="111">
        <f>IF(xxYear=$B599,finBookingsCAGR,obalDBYr1BookingsCAGR)</f>
        <v>0.30292902901643148</v>
      </c>
      <c r="F599" t="s">
        <v>5489</v>
      </c>
      <c r="H599" t="b">
        <f>MAX(E599:E599)=MIN(E599:E599)</f>
        <v>1</v>
      </c>
    </row>
    <row r="600" spans="1:8" ht="11.25">
      <c r="B600">
        <v>1</v>
      </c>
      <c r="C600" s="1481" t="s">
        <v>1487</v>
      </c>
      <c r="E600" s="1483">
        <f>IF(xxYear=$B600,finPNLTotalRev,obalDBYr1TotalRev)</f>
        <v>200512505.05278993</v>
      </c>
      <c r="F600" t="s">
        <v>5490</v>
      </c>
      <c r="H600" t="b">
        <f>MAX(E600:E600)=MIN(E600:E600)</f>
        <v>1</v>
      </c>
    </row>
    <row r="601" spans="1:8" ht="11.25">
      <c r="B601">
        <v>1</v>
      </c>
      <c r="C601" s="1481" t="s">
        <v>4766</v>
      </c>
      <c r="E601" s="111">
        <f>IF(xxYear=$B601,finPNLTotalGrossProfit/finPNLTotalRev,obalDBYr1GM)</f>
        <v>0.52056309616670515</v>
      </c>
      <c r="F601" t="s">
        <v>5491</v>
      </c>
      <c r="H601" t="b">
        <f>MAX(E601:E601)=MIN(E601:E601)</f>
        <v>1</v>
      </c>
    </row>
    <row r="602" spans="1:8" ht="11.25">
      <c r="B602">
        <v>1</v>
      </c>
      <c r="C602" s="1481" t="s">
        <v>4767</v>
      </c>
      <c r="E602" s="111">
        <f>IF(xxYear=$B602,finPNLTotalOpIncome/finPNLTotalRev,obalDBYr1OM)</f>
        <v>-0.17954755335102615</v>
      </c>
      <c r="F602" t="s">
        <v>5492</v>
      </c>
      <c r="H602" t="b">
        <f>MAX(E602:E602)=MIN(E602:E602)</f>
        <v>1</v>
      </c>
    </row>
    <row r="603" spans="1:8" ht="11.25">
      <c r="B603">
        <v>1</v>
      </c>
      <c r="C603" s="1482" t="s">
        <v>5322</v>
      </c>
      <c r="E603" s="1483">
        <f>IF(xxYear=$B603,finPNLBusATotalQualityCost,obalDBYr1BusATotalQualityCost)</f>
        <v>1270588.5916194911</v>
      </c>
      <c r="F603" t="s">
        <v>5493</v>
      </c>
      <c r="H603" t="b">
        <f>MAX(E603:E603)=MIN(E603:E603)</f>
        <v>1</v>
      </c>
    </row>
    <row r="604" spans="1:8" ht="11.25">
      <c r="B604">
        <v>1</v>
      </c>
      <c r="C604" s="1482" t="s">
        <v>4932</v>
      </c>
      <c r="E604" s="111">
        <f ca="1">IF(xxYear=$B604,capESATEnd,obalDBYr1ESATEnd)</f>
        <v>0.6174379006842422</v>
      </c>
      <c r="F604" t="s">
        <v>5494</v>
      </c>
      <c r="H604" t="b">
        <f ca="1">MAX(E604:E604)=MIN(E604:E604)</f>
        <v>1</v>
      </c>
    </row>
    <row r="605" spans="1:8" ht="11.25">
      <c r="B605">
        <v>1</v>
      </c>
      <c r="C605" s="1482" t="s">
        <v>4933</v>
      </c>
      <c r="E605" s="111">
        <f ca="1">IF(xxYear=$B605,capCSATEnd,obalDBYr1CSATEnd)</f>
        <v>0.67005549739544945</v>
      </c>
      <c r="F605" t="s">
        <v>5495</v>
      </c>
      <c r="H605" t="b">
        <f ca="1">MAX(E605:E605)=MIN(E605:E605)</f>
        <v>1</v>
      </c>
    </row>
    <row r="606" spans="1:8" ht="11.25">
      <c r="B606">
        <v>1</v>
      </c>
      <c r="C606" s="1482" t="s">
        <v>5323</v>
      </c>
      <c r="E606" s="382">
        <f>IF(xxYear=$B606,capBusAEmp4Utiliz,obalDBYr1BusAEmp4Utiliz)</f>
        <v>0.46076923076923076</v>
      </c>
      <c r="F606" t="s">
        <v>5496</v>
      </c>
      <c r="H606" t="b">
        <f>MAX(E606:E606)=MIN(E606:E606)</f>
        <v>1</v>
      </c>
    </row>
    <row r="607" spans="1:8" ht="11.25">
      <c r="B607">
        <v>1</v>
      </c>
      <c r="C607" s="134" t="s">
        <v>2320</v>
      </c>
      <c r="E607" s="382">
        <f>IF(xxYear=$B607,capBusAEmp3Utiliz,obalDBYr1BusAEmp3Utiliz)</f>
        <v>0.54145901639344263</v>
      </c>
      <c r="F607" t="s">
        <v>5497</v>
      </c>
      <c r="H607" t="b">
        <f>MAX(E607:E607)=MIN(E607:E607)</f>
        <v>1</v>
      </c>
    </row>
    <row r="608" spans="1:8" ht="11.25">
      <c r="B608">
        <v>1</v>
      </c>
      <c r="C608" s="1482" t="s">
        <v>1239</v>
      </c>
      <c r="E608" s="382">
        <f>IF(xxYear=$B608,capBusAEmp2Utiliz,obalDBYr1BusAEmp2Utiliz)</f>
        <v>0.53424657534246578</v>
      </c>
      <c r="F608" t="s">
        <v>5498</v>
      </c>
      <c r="H608" t="b">
        <f>MAX(E608:E608)=MIN(E608:E608)</f>
        <v>1</v>
      </c>
    </row>
    <row r="609" spans="2:8" ht="11.25">
      <c r="B609">
        <v>1</v>
      </c>
      <c r="C609" s="1482" t="s">
        <v>5324</v>
      </c>
      <c r="E609" s="382">
        <f>IF(xxYear=$B609,capBusBEmp4Utiliz,obalDBYr1BusBEmp4Utiliz)</f>
        <v>0.21727272727272728</v>
      </c>
      <c r="F609" t="s">
        <v>5499</v>
      </c>
      <c r="H609" t="b">
        <f>MAX(E609:E609)=MIN(E609:E609)</f>
        <v>1</v>
      </c>
    </row>
    <row r="610" spans="2:8" ht="11.25">
      <c r="B610">
        <v>1</v>
      </c>
      <c r="C610" s="1482" t="s">
        <v>2320</v>
      </c>
      <c r="E610" s="382">
        <f>IF(xxYear=$B610,capBusBEmp3Utiliz,obalDBYr1BusBEmp3Utiliz)</f>
        <v>0.23499999999999999</v>
      </c>
      <c r="F610" t="s">
        <v>5500</v>
      </c>
      <c r="H610" t="b">
        <f>MAX(E610:E610)=MIN(E610:E610)</f>
        <v>1</v>
      </c>
    </row>
    <row r="611" spans="2:8" ht="11.25">
      <c r="B611">
        <v>1</v>
      </c>
      <c r="C611" s="1482" t="s">
        <v>1239</v>
      </c>
      <c r="E611" s="382">
        <f>IF(xxYear=$B611,capBusBEmp2Utiliz,obalDBYr1BusBEmp2Utiliz)</f>
        <v>0.32111111111111112</v>
      </c>
      <c r="F611" t="s">
        <v>5501</v>
      </c>
      <c r="H611" t="b">
        <f>MAX(E611:E611)=MIN(E611:E611)</f>
        <v>1</v>
      </c>
    </row>
    <row r="612" spans="2:8" ht="11.25">
      <c r="B612">
        <v>1</v>
      </c>
      <c r="C612" s="1482" t="s">
        <v>2022</v>
      </c>
      <c r="E612" s="382">
        <f>IF(xxYear=$B612,capBusBEmp1Utiliz,obalDBYr1BusBEmp1Utiliz)</f>
        <v>0.33580246913580247</v>
      </c>
      <c r="F612" t="s">
        <v>5502</v>
      </c>
      <c r="H612" t="b">
        <f>MAX(E612:E612)=MIN(E612:E612)</f>
        <v>1</v>
      </c>
    </row>
    <row r="613" spans="2:8" ht="11.25">
      <c r="B613">
        <v>1</v>
      </c>
      <c r="C613" s="1481" t="s">
        <v>3369</v>
      </c>
      <c r="E613" s="1483">
        <f>IF(xxYear=$B613,finPNLBusBTotalQualityCost,obalDBYr1BusBTotalQualityCost)</f>
        <v>13332257.415654961</v>
      </c>
      <c r="F613" t="s">
        <v>5503</v>
      </c>
      <c r="H613" t="b">
        <f>MAX(E613:E613)=MIN(E613:E613)</f>
        <v>1</v>
      </c>
    </row>
    <row r="614" spans="2:8" ht="11.25">
      <c r="B614">
        <v>1</v>
      </c>
      <c r="C614" s="1481" t="s">
        <v>5325</v>
      </c>
      <c r="E614" s="1483">
        <f>IF(xxYear=$B614,capBusBTotalForecastRev,obalDBYr1BusBTotalForecastRev)</f>
        <v>0</v>
      </c>
      <c r="F614" t="s">
        <v>5504</v>
      </c>
      <c r="H614" t="b">
        <f>MAX(E614:E614)=MIN(E614:E614)</f>
        <v>1</v>
      </c>
    </row>
    <row r="615" spans="2:8" ht="11.25">
      <c r="B615">
        <v>1</v>
      </c>
      <c r="C615" s="134" t="s">
        <v>5326</v>
      </c>
      <c r="E615" s="382">
        <f>IF(xxYear=$B615,capEmp6Utiliz,obalDBYr1Emp6Utiliz)</f>
        <v>0.50244539232091079</v>
      </c>
      <c r="F615" t="s">
        <v>5505</v>
      </c>
      <c r="H615" t="b">
        <f>MAX(E615:E615)=MIN(E615:E615)</f>
        <v>1</v>
      </c>
    </row>
    <row r="616" spans="2:8" ht="11.25">
      <c r="B616">
        <v>1</v>
      </c>
      <c r="C616" s="1482" t="s">
        <v>5327</v>
      </c>
      <c r="E616" s="1483">
        <f>IF(xxYear=$B616,capTotalTrainingBudForecast,obalDBYr1TotalTrainingBudForecast)</f>
        <v>6848000</v>
      </c>
      <c r="F616" t="s">
        <v>5506</v>
      </c>
      <c r="H616" t="b">
        <f>MAX(E616:E616)=MIN(E616:E616)</f>
        <v>1</v>
      </c>
    </row>
    <row r="617" spans="2:8" ht="11.25">
      <c r="B617">
        <v>1</v>
      </c>
      <c r="C617" s="1482" t="s">
        <v>5328</v>
      </c>
      <c r="E617" s="382">
        <f>IF(xxYear=$B617,capBusAEmp7Utiliz,obalDBYr1BusAEmp7Utiliz)</f>
        <v>0.72606557377049186</v>
      </c>
      <c r="F617" t="s">
        <v>5507</v>
      </c>
      <c r="H617" t="b">
        <f>MAX(E617:E617)=MIN(E617:E617)</f>
        <v>1</v>
      </c>
    </row>
    <row r="618" spans="2:8" ht="11.25">
      <c r="B618">
        <v>1</v>
      </c>
      <c r="C618" s="134" t="s">
        <v>2320</v>
      </c>
      <c r="E618" s="382">
        <f>IF(xxYear=$B618,capBusAEmp8Utiliz,obalDBYr1BusAEmp8Utiliz)</f>
        <v>0.82228070175438595</v>
      </c>
      <c r="F618" t="s">
        <v>5508</v>
      </c>
      <c r="H618" t="b">
        <f>MAX(E618:E618)=MIN(E618:E618)</f>
        <v>1</v>
      </c>
    </row>
    <row r="619" spans="2:8" ht="11.25">
      <c r="B619">
        <v>1</v>
      </c>
      <c r="C619" s="134" t="s">
        <v>1239</v>
      </c>
      <c r="E619" s="382">
        <f>IF(xxYear=$B619,capBusAEmp9Utiliz,obalDBYr1BusAEmp9Utiliz)</f>
        <v>0.57926829268292679</v>
      </c>
      <c r="F619" t="s">
        <v>5509</v>
      </c>
      <c r="H619" t="b">
        <f>MAX(E619:E619)=MIN(E619:E619)</f>
        <v>1</v>
      </c>
    </row>
    <row r="620" spans="2:8" ht="11.25">
      <c r="B620">
        <v>1</v>
      </c>
      <c r="C620" s="134" t="s">
        <v>2022</v>
      </c>
      <c r="E620" s="382">
        <f>IF(xxYear=$B620,capBusAEmp1Utiliz,obalDBYr1BusAEmp1Utiliz)</f>
        <v>0.31644779931599104</v>
      </c>
      <c r="F620" t="s">
        <v>5510</v>
      </c>
      <c r="H620" t="b">
        <f>MAX(E620:E620)=MIN(E620:E620)</f>
        <v>1</v>
      </c>
    </row>
    <row r="621" spans="2:8" ht="11.25">
      <c r="B621">
        <v>1</v>
      </c>
      <c r="C621" s="1482" t="s">
        <v>5355</v>
      </c>
      <c r="E621" s="382">
        <f>IF(xxYear=$B621,capBusAEmp4Utiliz,obalDBYr1GaugeBusAEmp4Utiliz)</f>
        <v>0.46076923076923076</v>
      </c>
      <c r="F621" t="s">
        <v>5511</v>
      </c>
      <c r="H621" t="b">
        <f>MAX(E621:E621)=MIN(E621:E621)</f>
        <v>1</v>
      </c>
    </row>
    <row r="622" spans="2:8" ht="11.25">
      <c r="B622">
        <v>1</v>
      </c>
      <c r="C622" s="1482" t="s">
        <v>5356</v>
      </c>
      <c r="E622" s="382">
        <f>IF(xxYear=$B622,capBusAEmp3Utiliz,obalDBYr1GaugeBusAEmp3Utiliz)</f>
        <v>0.54145901639344263</v>
      </c>
      <c r="F622" t="s">
        <v>5512</v>
      </c>
      <c r="H622" t="b">
        <f>MAX(E622:E622)=MIN(E622:E622)</f>
        <v>1</v>
      </c>
    </row>
    <row r="623" spans="2:8" ht="11.25">
      <c r="B623">
        <v>1</v>
      </c>
      <c r="C623" s="1482" t="s">
        <v>4705</v>
      </c>
      <c r="E623" s="382">
        <f>IF(xxYear=$B623,capBusAEmp2Utiliz,obalDBYr1GaugeBusAEmp2Utiliz)</f>
        <v>0.53424657534246578</v>
      </c>
      <c r="F623" t="s">
        <v>5513</v>
      </c>
      <c r="H623" t="b">
        <f>MAX(E623:E623)=MIN(E623:E623)</f>
        <v>1</v>
      </c>
    </row>
    <row r="624" spans="2:8" ht="11.25">
      <c r="B624">
        <v>1</v>
      </c>
      <c r="C624" s="1482" t="s">
        <v>5178</v>
      </c>
      <c r="E624" s="382">
        <f>IF(xxYear=$B624,capBusAEmp9Utiliz,obalDBYr1GaugeBusAEmp9Utiliz)</f>
        <v>0.57926829268292679</v>
      </c>
      <c r="F624" t="s">
        <v>5514</v>
      </c>
      <c r="H624" t="b">
        <f>MAX(E624:E624)=MIN(E624:E624)</f>
        <v>1</v>
      </c>
    </row>
    <row r="625" spans="1:8" ht="11.25">
      <c r="B625">
        <v>1</v>
      </c>
      <c r="C625" s="1482" t="s">
        <v>5357</v>
      </c>
      <c r="E625" s="382">
        <f>IF(xxYear=$B625,capEmp6Utiliz,obalDBYr1GaugeEmp6Utiliz)</f>
        <v>0.50244539232091079</v>
      </c>
      <c r="F625" t="s">
        <v>5515</v>
      </c>
      <c r="H625" t="b">
        <f>MAX(E625:E625)=MIN(E625:E625)</f>
        <v>1</v>
      </c>
    </row>
    <row r="626" spans="1:8" ht="11.25">
      <c r="A626" s="2" t="s">
        <v>5517</v>
      </c>
      <c r="E626" s="109"/>
      <c r="H626" t="b">
        <f>MAX(E626:E626)=MIN(E626:E626)</f>
        <v>1</v>
      </c>
    </row>
    <row r="627" spans="1:8" ht="11.25">
      <c r="B627">
        <v>2</v>
      </c>
      <c r="C627" s="1481" t="s">
        <v>4726</v>
      </c>
      <c r="E627" s="1483">
        <f>IF(xxYear=$B627,finBookings,obalDBYr2Bookings)</f>
        <v>0</v>
      </c>
      <c r="F627" t="s">
        <v>5546</v>
      </c>
      <c r="H627" t="b">
        <f>MAX(E627:E627)=MIN(E627:E627)</f>
        <v>1</v>
      </c>
    </row>
    <row r="628" spans="1:8" ht="11.25">
      <c r="B628">
        <v>2</v>
      </c>
      <c r="C628" s="1481" t="s">
        <v>4826</v>
      </c>
      <c r="E628" s="111">
        <f>IF(xxYear=$B628,finBookingsCAGR,obalDBYr2BookingsCAGR)</f>
        <v>0</v>
      </c>
      <c r="F628" t="s">
        <v>5547</v>
      </c>
      <c r="H628" t="b">
        <f>MAX(E628:E628)=MIN(E628:E628)</f>
        <v>1</v>
      </c>
    </row>
    <row r="629" spans="1:8" ht="11.25">
      <c r="B629">
        <v>2</v>
      </c>
      <c r="C629" s="1481" t="s">
        <v>1487</v>
      </c>
      <c r="E629" s="1483">
        <f>IF(xxYear=$B629,finPNLTotalRev,obalDBYr2TotalRev)</f>
        <v>0</v>
      </c>
      <c r="F629" t="s">
        <v>5548</v>
      </c>
      <c r="H629" t="b">
        <f>MAX(E629:E629)=MIN(E629:E629)</f>
        <v>1</v>
      </c>
    </row>
    <row r="630" spans="1:8" ht="11.25">
      <c r="B630">
        <v>2</v>
      </c>
      <c r="C630" s="1481" t="s">
        <v>4766</v>
      </c>
      <c r="E630" s="111">
        <f>IF(xxYear=$B630,finPNLTotalGrossProfit/finPNLTotalRev,obalDBYr2GM)</f>
        <v>0</v>
      </c>
      <c r="F630" t="s">
        <v>5549</v>
      </c>
      <c r="H630" t="b">
        <f>MAX(E630:E630)=MIN(E630:E630)</f>
        <v>1</v>
      </c>
    </row>
    <row r="631" spans="1:8" ht="11.25">
      <c r="B631">
        <v>2</v>
      </c>
      <c r="C631" s="1481" t="s">
        <v>4767</v>
      </c>
      <c r="E631" s="111">
        <f>IF(xxYear=$B631,finPNLTotalOpIncome/finPNLTotalRev,obalDBYr2OM)</f>
        <v>0</v>
      </c>
      <c r="F631" t="s">
        <v>5550</v>
      </c>
      <c r="H631" t="b">
        <f>MAX(E631:E631)=MIN(E631:E631)</f>
        <v>1</v>
      </c>
    </row>
    <row r="632" spans="1:8" ht="11.25">
      <c r="B632">
        <v>2</v>
      </c>
      <c r="C632" s="1482" t="s">
        <v>5322</v>
      </c>
      <c r="E632" s="1483">
        <f>IF(xxYear=$B632,finPNLBusATotalQualityCost,obalDBYr2BusATotalQualityCost)</f>
        <v>0</v>
      </c>
      <c r="F632" t="s">
        <v>5551</v>
      </c>
      <c r="H632" t="b">
        <f>MAX(E632:E632)=MIN(E632:E632)</f>
        <v>1</v>
      </c>
    </row>
    <row r="633" spans="1:8" ht="11.25">
      <c r="B633">
        <v>2</v>
      </c>
      <c r="C633" s="1482" t="s">
        <v>4932</v>
      </c>
      <c r="E633" s="111">
        <f>IF(xxYear=$B633,capESATEnd,obalDBYr2ESATEnd)</f>
        <v>0</v>
      </c>
      <c r="F633" t="s">
        <v>5552</v>
      </c>
      <c r="H633" t="b">
        <f>MAX(E633:E633)=MIN(E633:E633)</f>
        <v>1</v>
      </c>
    </row>
    <row r="634" spans="1:8" ht="11.25">
      <c r="B634">
        <v>2</v>
      </c>
      <c r="C634" s="1482" t="s">
        <v>4933</v>
      </c>
      <c r="E634" s="111">
        <f>IF(xxYear=$B634,capCSATEnd,obalDBYr2CSATEnd)</f>
        <v>0</v>
      </c>
      <c r="F634" t="s">
        <v>5553</v>
      </c>
      <c r="H634" t="b">
        <f>MAX(E634:E634)=MIN(E634:E634)</f>
        <v>1</v>
      </c>
    </row>
    <row r="635" spans="1:8" ht="11.25">
      <c r="B635">
        <v>2</v>
      </c>
      <c r="C635" s="1482" t="s">
        <v>5323</v>
      </c>
      <c r="E635" s="382">
        <f>IF(xxYear=$B635,capBusAEmp4Utiliz,obalDBYr2BusAEmp4Utiliz)</f>
        <v>0</v>
      </c>
      <c r="F635" t="s">
        <v>5554</v>
      </c>
      <c r="H635" t="b">
        <f>MAX(E635:E635)=MIN(E635:E635)</f>
        <v>1</v>
      </c>
    </row>
    <row r="636" spans="1:8" ht="11.25">
      <c r="B636">
        <v>2</v>
      </c>
      <c r="C636" s="134" t="s">
        <v>2320</v>
      </c>
      <c r="E636" s="382">
        <f>IF(xxYear=$B636,capBusAEmp3Utiliz,obalDBYr2BusAEmp3Utiliz)</f>
        <v>0</v>
      </c>
      <c r="F636" t="s">
        <v>5555</v>
      </c>
      <c r="H636" t="b">
        <f>MAX(E636:E636)=MIN(E636:E636)</f>
        <v>1</v>
      </c>
    </row>
    <row r="637" spans="1:8" ht="11.25">
      <c r="B637">
        <v>2</v>
      </c>
      <c r="C637" s="1482" t="s">
        <v>1239</v>
      </c>
      <c r="E637" s="382">
        <f>IF(xxYear=$B637,capBusAEmp2Utiliz,obalDBYr2BusAEmp2Utiliz)</f>
        <v>0</v>
      </c>
      <c r="F637" t="s">
        <v>5556</v>
      </c>
      <c r="H637" t="b">
        <f>MAX(E637:E637)=MIN(E637:E637)</f>
        <v>1</v>
      </c>
    </row>
    <row r="638" spans="1:8" ht="11.25">
      <c r="B638">
        <v>2</v>
      </c>
      <c r="C638" s="1482" t="s">
        <v>5324</v>
      </c>
      <c r="E638" s="382">
        <f>IF(xxYear=$B638,capBusBEmp4Utiliz,obalDBYr2BusBEmp4Utiliz)</f>
        <v>0</v>
      </c>
      <c r="F638" t="s">
        <v>5557</v>
      </c>
      <c r="H638" t="b">
        <f>MAX(E638:E638)=MIN(E638:E638)</f>
        <v>1</v>
      </c>
    </row>
    <row r="639" spans="1:8" ht="11.25">
      <c r="B639">
        <v>2</v>
      </c>
      <c r="C639" s="1482" t="s">
        <v>2320</v>
      </c>
      <c r="E639" s="382">
        <f>IF(xxYear=$B639,capBusBEmp3Utiliz,obalDBYr2BusBEmp3Utiliz)</f>
        <v>0</v>
      </c>
      <c r="F639" t="s">
        <v>5558</v>
      </c>
      <c r="H639" t="b">
        <f>MAX(E639:E639)=MIN(E639:E639)</f>
        <v>1</v>
      </c>
    </row>
    <row r="640" spans="1:8" ht="11.25">
      <c r="B640">
        <v>2</v>
      </c>
      <c r="C640" s="1482" t="s">
        <v>1239</v>
      </c>
      <c r="E640" s="382">
        <f>IF(xxYear=$B640,capBusBEmp2Utiliz,obalDBYr2BusBEmp2Utiliz)</f>
        <v>0</v>
      </c>
      <c r="F640" t="s">
        <v>5559</v>
      </c>
      <c r="H640" t="b">
        <f>MAX(E640:E640)=MIN(E640:E640)</f>
        <v>1</v>
      </c>
    </row>
    <row r="641" spans="2:8" ht="11.25">
      <c r="B641">
        <v>2</v>
      </c>
      <c r="C641" s="1482" t="s">
        <v>2022</v>
      </c>
      <c r="E641" s="382">
        <f>IF(xxYear=$B641,capBusBEmp1Utiliz,obalDBYr2BusBEmp1Utiliz)</f>
        <v>0</v>
      </c>
      <c r="F641" t="s">
        <v>5560</v>
      </c>
      <c r="H641" t="b">
        <f>MAX(E641:E641)=MIN(E641:E641)</f>
        <v>1</v>
      </c>
    </row>
    <row r="642" spans="2:8" ht="11.25">
      <c r="B642">
        <v>2</v>
      </c>
      <c r="C642" s="1481" t="s">
        <v>3369</v>
      </c>
      <c r="E642" s="1483">
        <f>IF(xxYear=$B642,finPNLBusBTotalQualityCost,obalDBYr2BusBTotalQualityCost)</f>
        <v>0</v>
      </c>
      <c r="F642" t="s">
        <v>5561</v>
      </c>
      <c r="H642" t="b">
        <f>MAX(E642:E642)=MIN(E642:E642)</f>
        <v>1</v>
      </c>
    </row>
    <row r="643" spans="2:8" ht="11.25">
      <c r="B643">
        <v>2</v>
      </c>
      <c r="C643" s="1481" t="s">
        <v>5325</v>
      </c>
      <c r="E643" s="1483">
        <f>IF(xxYear=$B643,capBusBTotalForecastRev,obalDBYr2BusBTotalForecastRev)</f>
        <v>0</v>
      </c>
      <c r="F643" t="s">
        <v>5562</v>
      </c>
      <c r="H643" t="b">
        <f>MAX(E643:E643)=MIN(E643:E643)</f>
        <v>1</v>
      </c>
    </row>
    <row r="644" spans="2:8" ht="11.25">
      <c r="B644">
        <v>2</v>
      </c>
      <c r="C644" s="134" t="s">
        <v>5326</v>
      </c>
      <c r="E644" s="382">
        <f>IF(xxYear=$B644,capEmp6Utiliz,obalDBYr2Emp6Utiliz)</f>
        <v>0</v>
      </c>
      <c r="F644" t="s">
        <v>5563</v>
      </c>
      <c r="H644" t="b">
        <f>MAX(E644:E644)=MIN(E644:E644)</f>
        <v>1</v>
      </c>
    </row>
    <row r="645" spans="2:8" ht="11.25">
      <c r="B645">
        <v>2</v>
      </c>
      <c r="C645" s="1482" t="s">
        <v>5327</v>
      </c>
      <c r="E645" s="1483">
        <f>IF(xxYear=$B645,capTotalTrainingBudForecast,obalDBYr2TotalTrainingBudForecast)</f>
        <v>0</v>
      </c>
      <c r="F645" t="s">
        <v>5564</v>
      </c>
      <c r="H645" t="b">
        <f>MAX(E645:E645)=MIN(E645:E645)</f>
        <v>1</v>
      </c>
    </row>
    <row r="646" spans="2:8" ht="11.25">
      <c r="B646">
        <v>2</v>
      </c>
      <c r="C646" s="1482" t="s">
        <v>5328</v>
      </c>
      <c r="E646" s="382">
        <f>IF(xxYear=$B646,capBusAEmp7Utiliz,obalDBYr2BusAEmp7Utiliz)</f>
        <v>0</v>
      </c>
      <c r="F646" t="s">
        <v>5565</v>
      </c>
      <c r="H646" t="b">
        <f>MAX(E646:E646)=MIN(E646:E646)</f>
        <v>1</v>
      </c>
    </row>
    <row r="647" spans="2:8" ht="11.25">
      <c r="B647">
        <v>2</v>
      </c>
      <c r="C647" s="134" t="s">
        <v>2320</v>
      </c>
      <c r="E647" s="382">
        <f>IF(xxYear=$B647,capBusAEmp8Utiliz,obalDBYr2BusAEmp8Utiliz)</f>
        <v>0</v>
      </c>
      <c r="F647" t="s">
        <v>5566</v>
      </c>
      <c r="H647" t="b">
        <f>MAX(E647:E647)=MIN(E647:E647)</f>
        <v>1</v>
      </c>
    </row>
    <row r="648" spans="2:8" ht="11.25">
      <c r="B648">
        <v>2</v>
      </c>
      <c r="C648" s="134" t="s">
        <v>1239</v>
      </c>
      <c r="E648" s="382">
        <f>IF(xxYear=$B648,capBusAEmp9Utiliz,obalDBYr2BusAEmp9Utiliz)</f>
        <v>0</v>
      </c>
      <c r="F648" t="s">
        <v>5567</v>
      </c>
      <c r="H648" t="b">
        <f>MAX(E648:E648)=MIN(E648:E648)</f>
        <v>1</v>
      </c>
    </row>
    <row r="649" spans="2:8" ht="11.25">
      <c r="B649">
        <v>2</v>
      </c>
      <c r="C649" s="134" t="s">
        <v>2022</v>
      </c>
      <c r="E649" s="382">
        <f>IF(xxYear=$B649,capBusAEmp1Utiliz,obalDBYr2BusAEmp1Utiliz)</f>
        <v>0</v>
      </c>
      <c r="F649" t="s">
        <v>5568</v>
      </c>
      <c r="H649" t="b">
        <f>MAX(E649:E649)=MIN(E649:E649)</f>
        <v>1</v>
      </c>
    </row>
    <row r="650" spans="2:8" ht="11.25">
      <c r="B650">
        <v>2</v>
      </c>
      <c r="C650" s="1482" t="s">
        <v>5355</v>
      </c>
      <c r="E650" s="382">
        <f>IF(xxYear=$B650,capBusAEmp4Utiliz,obalDBYr2GaugeBusAEmp4Utiliz)</f>
        <v>0</v>
      </c>
      <c r="F650" t="s">
        <v>5569</v>
      </c>
      <c r="H650" t="b">
        <f>MAX(E650:E650)=MIN(E650:E650)</f>
        <v>1</v>
      </c>
    </row>
    <row r="651" spans="2:8" ht="11.25">
      <c r="B651">
        <v>2</v>
      </c>
      <c r="C651" s="1482" t="s">
        <v>5356</v>
      </c>
      <c r="E651" s="382">
        <f>IF(xxYear=$B651,capBusAEmp3Utiliz,obalDBYr2GaugeBusAEmp3Utiliz)</f>
        <v>0</v>
      </c>
      <c r="F651" t="s">
        <v>5570</v>
      </c>
      <c r="H651" t="b">
        <f>MAX(E651:E651)=MIN(E651:E651)</f>
        <v>1</v>
      </c>
    </row>
    <row r="652" spans="2:8" ht="11.25">
      <c r="B652">
        <v>2</v>
      </c>
      <c r="C652" s="1482" t="s">
        <v>4705</v>
      </c>
      <c r="E652" s="382">
        <f>IF(xxYear=$B652,capBusAEmp2Utiliz,obalDBYr2GaugeBusAEmp2Utiliz)</f>
        <v>0</v>
      </c>
      <c r="F652" t="s">
        <v>5571</v>
      </c>
      <c r="H652" t="b">
        <f>MAX(E652:E652)=MIN(E652:E652)</f>
        <v>1</v>
      </c>
    </row>
    <row r="653" spans="2:8" ht="11.25">
      <c r="B653">
        <v>2</v>
      </c>
      <c r="C653" s="1482" t="s">
        <v>5178</v>
      </c>
      <c r="E653" s="382">
        <f>IF(xxYear=$B653,capBusAEmp9Utiliz,obalDBYr2GaugeBusAEmp9Utiliz)</f>
        <v>0</v>
      </c>
      <c r="F653" t="s">
        <v>5572</v>
      </c>
      <c r="H653" t="b">
        <f>MAX(E653:E653)=MIN(E653:E653)</f>
        <v>1</v>
      </c>
    </row>
    <row r="654" spans="2:8" ht="11.25">
      <c r="B654">
        <v>2</v>
      </c>
      <c r="C654" s="1482" t="s">
        <v>5357</v>
      </c>
      <c r="E654" s="382">
        <f>IF(xxYear=$B654,capEmp6Utiliz,obalDBYr2GaugeEmp6Utiliz)</f>
        <v>0</v>
      </c>
      <c r="F654" t="s">
        <v>5573</v>
      </c>
      <c r="H654" t="b">
        <f>MAX(E654:E654)=MIN(E654:E654)</f>
        <v>1</v>
      </c>
    </row>
    <row r="655" spans="2:8" ht="11.25">
      <c r="C655" s="134"/>
      <c r="E655" s="109"/>
      <c r="H655" t="b">
        <f>MAX(E655:E655)=MIN(E655:E655)</f>
        <v>1</v>
      </c>
    </row>
    <row r="656" spans="2:8" ht="11.25">
      <c r="E656" s="109"/>
      <c r="H656" t="b">
        <f>MAX(E656:E656)=MIN(E656:E656)</f>
        <v>1</v>
      </c>
    </row>
    <row r="657" spans="5:8" ht="11.25">
      <c r="E657" s="109"/>
      <c r="H657" t="b">
        <f>MAX(E657:E657)=MIN(E657:E657)</f>
        <v>1</v>
      </c>
    </row>
    <row r="658" spans="5:8" ht="11.25">
      <c r="E658" s="109"/>
      <c r="H658" t="b">
        <f>MAX(E658:E658)=MIN(E658:E658)</f>
        <v>1</v>
      </c>
    </row>
    <row r="659" spans="5:8" ht="11.25">
      <c r="E659" s="109"/>
      <c r="H659" t="b">
        <f>MAX(E659:E659)=MIN(E659:E659)</f>
        <v>1</v>
      </c>
    </row>
    <row r="660" spans="5:8" ht="11.25">
      <c r="E660" s="109"/>
      <c r="H660" t="b">
        <f>MAX(E660:E660)=MIN(E660:E660)</f>
        <v>1</v>
      </c>
    </row>
  </sheetData>
  <phoneticPr fontId="0" type="noConversion"/>
  <conditionalFormatting sqref="H149:H190 H196:H451 H456:H564 H4:H144 H659:H660">
    <cfRule type="cellIs" dxfId="105" priority="9" stopIfTrue="1" operator="notEqual">
      <formula>TRUE</formula>
    </cfRule>
  </conditionalFormatting>
  <conditionalFormatting sqref="H565:H596 H655:H658">
    <cfRule type="cellIs" dxfId="104" priority="8" stopIfTrue="1" operator="notEqual">
      <formula>TRUE</formula>
    </cfRule>
  </conditionalFormatting>
  <conditionalFormatting sqref="H452">
    <cfRule type="cellIs" dxfId="103" priority="7" stopIfTrue="1" operator="notEqual">
      <formula>TRUE</formula>
    </cfRule>
  </conditionalFormatting>
  <conditionalFormatting sqref="H453:H454">
    <cfRule type="cellIs" dxfId="102" priority="6" stopIfTrue="1" operator="notEqual">
      <formula>TRUE</formula>
    </cfRule>
  </conditionalFormatting>
  <conditionalFormatting sqref="H455">
    <cfRule type="cellIs" dxfId="101" priority="5" stopIfTrue="1" operator="notEqual">
      <formula>TRUE</formula>
    </cfRule>
  </conditionalFormatting>
  <conditionalFormatting sqref="H145:H148">
    <cfRule type="cellIs" dxfId="100" priority="4" stopIfTrue="1" operator="notEqual">
      <formula>TRUE</formula>
    </cfRule>
  </conditionalFormatting>
  <conditionalFormatting sqref="H191:H195">
    <cfRule type="cellIs" dxfId="99" priority="3" stopIfTrue="1" operator="notEqual">
      <formula>TRUE</formula>
    </cfRule>
  </conditionalFormatting>
  <conditionalFormatting sqref="H597:H625">
    <cfRule type="cellIs" dxfId="98" priority="2" stopIfTrue="1" operator="notEqual">
      <formula>TRUE</formula>
    </cfRule>
  </conditionalFormatting>
  <conditionalFormatting sqref="H626:H654">
    <cfRule type="cellIs" dxfId="97" priority="1" stopIfTrue="1" operator="notEqual">
      <formula>TRUE</formula>
    </cfRule>
  </conditionalFormatting>
  <pageMargins left="0.5" right="0.5" top="0.5" bottom="0.5"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c">
    <tabColor rgb="FF0AAE02"/>
  </sheetPr>
  <dimension ref="A1:S307"/>
  <sheetViews>
    <sheetView workbookViewId="0">
      <selection activeCell="E3" sqref="E3:I307"/>
    </sheetView>
  </sheetViews>
  <sheetFormatPr defaultColWidth="18.83203125" defaultRowHeight="12.75" customHeight="1"/>
  <cols>
    <col min="1" max="1" width="5.1640625" customWidth="1"/>
    <col min="2" max="2" width="3.1640625" customWidth="1"/>
    <col min="3" max="3" width="8.33203125" customWidth="1"/>
    <col min="4" max="4" width="14.1640625" customWidth="1"/>
    <col min="5" max="5" width="15.1640625" bestFit="1" customWidth="1"/>
    <col min="6" max="6" width="38.33203125" customWidth="1"/>
    <col min="7" max="8" width="17.33203125" customWidth="1"/>
    <col min="9" max="9" width="11.5" bestFit="1" customWidth="1"/>
    <col min="10" max="10" width="23.6640625" bestFit="1" customWidth="1"/>
    <col min="11" max="11" width="9.33203125" customWidth="1"/>
    <col min="12" max="12" width="18.83203125" customWidth="1"/>
    <col min="13" max="19" width="9.33203125" customWidth="1"/>
  </cols>
  <sheetData>
    <row r="1" spans="1:19" s="92" customFormat="1" ht="15" customHeight="1">
      <c r="A1" s="91" t="s">
        <v>369</v>
      </c>
      <c r="B1" s="93"/>
      <c r="C1" s="93"/>
      <c r="D1" s="93"/>
      <c r="E1" s="91" t="s">
        <v>470</v>
      </c>
      <c r="J1" s="94" t="s">
        <v>3334</v>
      </c>
      <c r="K1" s="92">
        <f>COUNTIF(K2:K307,"=False")</f>
        <v>1</v>
      </c>
      <c r="L1" s="92" t="str">
        <f>IFERROR(VLOOKUP(FALSE,K3:L307,2,FALSE),0)</f>
        <v>tlBusA!$H$30</v>
      </c>
    </row>
    <row r="2" spans="1:19" ht="11.25">
      <c r="A2" s="2" t="s">
        <v>611</v>
      </c>
      <c r="E2" s="79" t="s">
        <v>3182</v>
      </c>
      <c r="G2" s="2" t="s">
        <v>1994</v>
      </c>
      <c r="H2" s="78" t="s">
        <v>3805</v>
      </c>
      <c r="J2" s="2" t="s">
        <v>3796</v>
      </c>
      <c r="K2" s="78" t="s">
        <v>3271</v>
      </c>
      <c r="L2" s="79" t="s">
        <v>3901</v>
      </c>
      <c r="M2" s="79" t="s">
        <v>3902</v>
      </c>
    </row>
    <row r="3" spans="1:19" ht="11.25">
      <c r="B3" t="s">
        <v>2363</v>
      </c>
      <c r="E3" s="74">
        <f>tlInputTeamNumber</f>
        <v>1</v>
      </c>
      <c r="F3" t="s">
        <v>3482</v>
      </c>
      <c r="G3" s="25">
        <v>1</v>
      </c>
      <c r="H3" s="71">
        <f>tlInputTeamNumber</f>
        <v>1</v>
      </c>
      <c r="J3" s="1073" t="s">
        <v>5175</v>
      </c>
      <c r="K3" s="71" t="b">
        <f>INDEX(capBusAEmp1Utiliz,xxIndexTeam)&lt;=100%</f>
        <v>1</v>
      </c>
      <c r="L3" t="s">
        <v>5263</v>
      </c>
      <c r="M3" s="700" t="s">
        <v>5176</v>
      </c>
      <c r="N3" t="s">
        <v>3795</v>
      </c>
      <c r="O3" s="70">
        <v>8.1297396559630863E-2</v>
      </c>
      <c r="P3" s="70">
        <v>-3.0054881613863826E-2</v>
      </c>
      <c r="Q3" s="70">
        <v>-9.6334307952459897E-2</v>
      </c>
      <c r="R3" s="70">
        <v>7.1212771945253439E-2</v>
      </c>
      <c r="S3" s="70">
        <v>7.9731642847100659E-3</v>
      </c>
    </row>
    <row r="4" spans="1:19" ht="11.25">
      <c r="B4" t="s">
        <v>2364</v>
      </c>
      <c r="E4" s="1070" t="str">
        <f>tlInputTeamName</f>
        <v>Entrevard</v>
      </c>
      <c r="F4" t="s">
        <v>3483</v>
      </c>
      <c r="G4" s="1505" t="s">
        <v>5681</v>
      </c>
      <c r="H4" s="71" t="str">
        <f>tlInputTeamName</f>
        <v>Entrevard</v>
      </c>
      <c r="J4" s="1073" t="s">
        <v>4884</v>
      </c>
      <c r="K4" s="71" t="b">
        <f>INDEX(capBusAEmp2Utiliz,xxIndexTeam)&lt;=100%</f>
        <v>1</v>
      </c>
      <c r="L4" t="s">
        <v>5264</v>
      </c>
      <c r="M4" s="700" t="s">
        <v>4885</v>
      </c>
      <c r="O4" s="70" t="s">
        <v>5681</v>
      </c>
      <c r="P4" s="70" t="s">
        <v>5681</v>
      </c>
      <c r="Q4" s="70" t="s">
        <v>5681</v>
      </c>
      <c r="R4" s="70" t="s">
        <v>5681</v>
      </c>
      <c r="S4" s="70" t="s">
        <v>5681</v>
      </c>
    </row>
    <row r="5" spans="1:19" ht="11.25">
      <c r="B5" t="s">
        <v>3811</v>
      </c>
      <c r="E5" s="74">
        <f>tlInputTeamRound</f>
        <v>1</v>
      </c>
      <c r="F5" s="700" t="s">
        <v>5655</v>
      </c>
      <c r="G5" s="25">
        <v>1</v>
      </c>
      <c r="H5" s="71">
        <f>tlInputTeamRound</f>
        <v>1</v>
      </c>
      <c r="J5" s="1073" t="s">
        <v>4883</v>
      </c>
      <c r="K5" s="71" t="b">
        <f>INDEX(capBusAEmp3Utiliz,xxIndexTeam)&lt;=100%</f>
        <v>1</v>
      </c>
      <c r="L5" t="s">
        <v>5265</v>
      </c>
      <c r="M5" s="700" t="s">
        <v>4886</v>
      </c>
      <c r="O5" s="70">
        <v>1</v>
      </c>
      <c r="P5" s="70">
        <v>1</v>
      </c>
      <c r="Q5" s="70">
        <v>1</v>
      </c>
      <c r="R5" s="70">
        <v>1</v>
      </c>
      <c r="S5" s="70">
        <v>1</v>
      </c>
    </row>
    <row r="6" spans="1:19" ht="11.25">
      <c r="B6" t="s">
        <v>3249</v>
      </c>
      <c r="E6" s="74"/>
      <c r="G6" s="25"/>
      <c r="H6" s="71"/>
      <c r="J6" s="1073" t="s">
        <v>4882</v>
      </c>
      <c r="K6" s="71" t="b">
        <f>INDEX(capBusAEmp4Utiliz,xxIndexTeam)&lt;=100%</f>
        <v>1</v>
      </c>
      <c r="L6" t="s">
        <v>5263</v>
      </c>
      <c r="M6" s="700" t="s">
        <v>4887</v>
      </c>
      <c r="O6" s="70"/>
      <c r="P6" s="70"/>
      <c r="Q6" s="70"/>
      <c r="R6" s="70"/>
      <c r="S6" s="70"/>
    </row>
    <row r="7" spans="1:19" ht="11.25">
      <c r="B7" t="s">
        <v>781</v>
      </c>
      <c r="E7" s="206"/>
      <c r="G7" s="25"/>
      <c r="H7" s="71"/>
      <c r="J7" s="1073" t="s">
        <v>6297</v>
      </c>
      <c r="K7" s="71" t="b">
        <f>INDEX(capEmp6Utiliz,xxIndexTeam)&lt;=100%</f>
        <v>1</v>
      </c>
      <c r="L7" s="700" t="s">
        <v>6298</v>
      </c>
      <c r="M7" s="700" t="s">
        <v>6299</v>
      </c>
      <c r="O7" s="70"/>
      <c r="P7" s="70"/>
      <c r="Q7" s="70"/>
      <c r="R7" s="70"/>
      <c r="S7" s="70"/>
    </row>
    <row r="8" spans="1:19" ht="11.25">
      <c r="B8" t="s">
        <v>2049</v>
      </c>
      <c r="E8" s="74">
        <v>0</v>
      </c>
      <c r="F8" t="s">
        <v>4537</v>
      </c>
      <c r="G8" s="25">
        <v>0</v>
      </c>
      <c r="H8" s="71">
        <v>0</v>
      </c>
      <c r="J8" s="1073" t="s">
        <v>6302</v>
      </c>
      <c r="K8" s="71" t="b">
        <f>INDEX(capWobblerErrorCheck,xxIndexTeam)</f>
        <v>0</v>
      </c>
      <c r="L8" s="700" t="s">
        <v>6298</v>
      </c>
      <c r="M8" s="700" t="s">
        <v>6303</v>
      </c>
      <c r="O8" s="70">
        <v>0</v>
      </c>
      <c r="P8" s="70">
        <v>0</v>
      </c>
      <c r="Q8" s="70">
        <v>0</v>
      </c>
      <c r="R8" s="70">
        <v>0</v>
      </c>
      <c r="S8" s="70">
        <v>0</v>
      </c>
    </row>
    <row r="9" spans="1:19" ht="11.25">
      <c r="A9" s="2" t="s">
        <v>3293</v>
      </c>
      <c r="E9" s="74"/>
      <c r="G9" s="25"/>
      <c r="H9" s="71"/>
      <c r="J9" s="569"/>
      <c r="K9" s="71"/>
      <c r="O9" s="70"/>
      <c r="P9" s="70"/>
      <c r="Q9" s="70"/>
      <c r="R9" s="70"/>
      <c r="S9" s="70"/>
    </row>
    <row r="10" spans="1:19" ht="11.25">
      <c r="B10" s="2" t="s">
        <v>2806</v>
      </c>
      <c r="E10" s="74"/>
      <c r="G10" s="25"/>
      <c r="H10" s="71"/>
      <c r="J10" s="569"/>
      <c r="K10" s="71"/>
      <c r="O10" s="70"/>
      <c r="P10" s="70"/>
      <c r="Q10" s="70"/>
      <c r="R10" s="70"/>
      <c r="S10" s="70"/>
    </row>
    <row r="11" spans="1:19" ht="11.25">
      <c r="A11" t="b">
        <f>MIN(E11:E11)=MAX(E11:E11)</f>
        <v>1</v>
      </c>
      <c r="B11" t="s">
        <v>2494</v>
      </c>
      <c r="E11" s="319">
        <f>tlInputProd1Price</f>
        <v>255</v>
      </c>
      <c r="F11" s="26" t="s">
        <v>3484</v>
      </c>
      <c r="G11" s="25">
        <v>270</v>
      </c>
      <c r="H11" s="72">
        <f>tlInputProd1Price</f>
        <v>255</v>
      </c>
      <c r="J11" s="569"/>
      <c r="K11" s="71"/>
      <c r="O11" s="70">
        <v>255</v>
      </c>
      <c r="P11" s="70">
        <v>255</v>
      </c>
      <c r="Q11" s="70">
        <v>255</v>
      </c>
      <c r="R11" s="70">
        <v>255</v>
      </c>
      <c r="S11" s="70">
        <v>255</v>
      </c>
    </row>
    <row r="12" spans="1:19" ht="11.25">
      <c r="B12" t="s">
        <v>2495</v>
      </c>
      <c r="E12" s="319">
        <f>tlInputProd1V2Price</f>
        <v>275</v>
      </c>
      <c r="F12" s="26" t="s">
        <v>321</v>
      </c>
      <c r="G12" s="25">
        <v>290</v>
      </c>
      <c r="H12" s="72">
        <f>tlInputProd1V2Price</f>
        <v>275</v>
      </c>
      <c r="J12" s="569"/>
      <c r="K12" s="71"/>
      <c r="O12" s="70">
        <v>275</v>
      </c>
      <c r="P12" s="70">
        <v>275</v>
      </c>
      <c r="Q12" s="70">
        <v>275</v>
      </c>
      <c r="R12" s="70">
        <v>275</v>
      </c>
      <c r="S12" s="70">
        <v>275</v>
      </c>
    </row>
    <row r="13" spans="1:19" ht="11.25">
      <c r="B13" t="s">
        <v>2496</v>
      </c>
      <c r="E13" s="319">
        <f>tlInputProd1V3Price</f>
        <v>295</v>
      </c>
      <c r="F13" s="26" t="s">
        <v>322</v>
      </c>
      <c r="G13" s="25">
        <v>310</v>
      </c>
      <c r="H13" s="72">
        <f>tlInputProd1V3Price</f>
        <v>295</v>
      </c>
      <c r="J13" s="569"/>
      <c r="K13" s="71"/>
      <c r="O13" s="70">
        <v>295</v>
      </c>
      <c r="P13" s="70">
        <v>295</v>
      </c>
      <c r="Q13" s="70">
        <v>295</v>
      </c>
      <c r="R13" s="70">
        <v>295</v>
      </c>
      <c r="S13" s="70">
        <v>295</v>
      </c>
    </row>
    <row r="14" spans="1:19" ht="11.25">
      <c r="E14" s="73"/>
      <c r="F14" s="26"/>
      <c r="G14" s="25"/>
      <c r="H14" s="72"/>
      <c r="J14" s="569"/>
      <c r="K14" s="71"/>
      <c r="O14" s="70"/>
      <c r="P14" s="70"/>
      <c r="Q14" s="70"/>
      <c r="R14" s="70"/>
      <c r="S14" s="70"/>
    </row>
    <row r="15" spans="1:19" ht="11.25">
      <c r="B15" t="s">
        <v>2497</v>
      </c>
      <c r="E15" s="603">
        <f>tlInputProd1Units</f>
        <v>0.2</v>
      </c>
      <c r="F15" s="26" t="s">
        <v>3275</v>
      </c>
      <c r="G15" s="25">
        <v>0.2</v>
      </c>
      <c r="H15" s="72">
        <f>tlInputProd1Units</f>
        <v>0.2</v>
      </c>
      <c r="J15" s="569"/>
      <c r="K15" s="71"/>
      <c r="O15" s="70">
        <v>0.2</v>
      </c>
      <c r="P15" s="70">
        <v>0.2</v>
      </c>
      <c r="Q15" s="70">
        <v>0.2</v>
      </c>
      <c r="R15" s="70">
        <v>0.2</v>
      </c>
      <c r="S15" s="70">
        <v>0.2</v>
      </c>
    </row>
    <row r="16" spans="1:19" ht="11.25">
      <c r="B16" t="s">
        <v>2498</v>
      </c>
      <c r="E16" s="603">
        <f>tlInputProd1V2Units</f>
        <v>0.2</v>
      </c>
      <c r="F16" s="26" t="s">
        <v>318</v>
      </c>
      <c r="G16" s="25">
        <v>0.2</v>
      </c>
      <c r="H16" s="72">
        <f>tlInputProd1V2Units</f>
        <v>0.2</v>
      </c>
      <c r="J16" s="569"/>
      <c r="K16" s="71"/>
      <c r="O16" s="70">
        <v>0.2</v>
      </c>
      <c r="P16" s="70">
        <v>0.2</v>
      </c>
      <c r="Q16" s="70">
        <v>0.2</v>
      </c>
      <c r="R16" s="70">
        <v>0.2</v>
      </c>
      <c r="S16" s="70">
        <v>0.2</v>
      </c>
    </row>
    <row r="17" spans="1:19" ht="11.25">
      <c r="B17" t="s">
        <v>2499</v>
      </c>
      <c r="E17" s="603">
        <f>tlInputProd1V3Units</f>
        <v>0.2</v>
      </c>
      <c r="F17" s="26" t="s">
        <v>319</v>
      </c>
      <c r="G17" s="25">
        <v>0.2</v>
      </c>
      <c r="H17" s="72">
        <f>tlInputProd1V3Units</f>
        <v>0.2</v>
      </c>
      <c r="J17" s="569"/>
      <c r="K17" s="71"/>
      <c r="O17" s="70">
        <v>0.2</v>
      </c>
      <c r="P17" s="70">
        <v>0.2</v>
      </c>
      <c r="Q17" s="70">
        <v>0.2</v>
      </c>
      <c r="R17" s="70">
        <v>0.2</v>
      </c>
      <c r="S17" s="70">
        <v>0.2</v>
      </c>
    </row>
    <row r="18" spans="1:19" ht="11.25">
      <c r="E18" s="603"/>
      <c r="F18" s="26"/>
      <c r="G18" s="25"/>
      <c r="H18" s="72"/>
      <c r="J18" s="569"/>
      <c r="K18" s="71"/>
      <c r="O18" s="70"/>
      <c r="P18" s="70"/>
      <c r="Q18" s="70"/>
      <c r="R18" s="70"/>
      <c r="S18" s="70"/>
    </row>
    <row r="19" spans="1:19" ht="11.25">
      <c r="B19" t="s">
        <v>3437</v>
      </c>
      <c r="E19" s="603">
        <f>tlInputProd1Growth</f>
        <v>0.2</v>
      </c>
      <c r="F19" s="26" t="s">
        <v>3440</v>
      </c>
      <c r="G19" s="25">
        <v>0.2</v>
      </c>
      <c r="H19" s="72">
        <f>tlInputProd1Growth</f>
        <v>0.2</v>
      </c>
      <c r="J19" s="569"/>
      <c r="K19" s="71"/>
      <c r="O19" s="70">
        <v>0.2</v>
      </c>
      <c r="P19" s="70">
        <v>0.2</v>
      </c>
      <c r="Q19" s="70">
        <v>0.2</v>
      </c>
      <c r="R19" s="70">
        <v>0.2</v>
      </c>
      <c r="S19" s="70">
        <v>0.2</v>
      </c>
    </row>
    <row r="20" spans="1:19" ht="11.25">
      <c r="B20" t="s">
        <v>3438</v>
      </c>
      <c r="E20" s="603">
        <f>tlInputProd1V2Growth</f>
        <v>0.2</v>
      </c>
      <c r="F20" s="26" t="s">
        <v>3441</v>
      </c>
      <c r="G20" s="25">
        <v>0.2</v>
      </c>
      <c r="H20" s="72">
        <f>tlInputProd1V2Growth</f>
        <v>0.2</v>
      </c>
      <c r="J20" s="569"/>
      <c r="K20" s="71"/>
      <c r="O20" s="70">
        <v>0.2</v>
      </c>
      <c r="P20" s="70">
        <v>0.2</v>
      </c>
      <c r="Q20" s="70">
        <v>0.2</v>
      </c>
      <c r="R20" s="70">
        <v>0.2</v>
      </c>
      <c r="S20" s="70">
        <v>0.2</v>
      </c>
    </row>
    <row r="21" spans="1:19" ht="11.25">
      <c r="B21" t="s">
        <v>3439</v>
      </c>
      <c r="E21" s="603">
        <f>tlInputProd1V3Growth</f>
        <v>0.2</v>
      </c>
      <c r="F21" s="26" t="s">
        <v>3442</v>
      </c>
      <c r="G21" s="25">
        <v>0.2</v>
      </c>
      <c r="H21" s="72">
        <f>tlInputProd1V3Growth</f>
        <v>0.2</v>
      </c>
      <c r="J21" s="569"/>
      <c r="K21" s="71"/>
      <c r="O21" s="70">
        <v>0.2</v>
      </c>
      <c r="P21" s="70">
        <v>0.2</v>
      </c>
      <c r="Q21" s="70">
        <v>0.2</v>
      </c>
      <c r="R21" s="70">
        <v>0.2</v>
      </c>
      <c r="S21" s="70">
        <v>0.2</v>
      </c>
    </row>
    <row r="22" spans="1:19" ht="11.25">
      <c r="E22" s="73"/>
      <c r="F22" s="26"/>
      <c r="G22" s="25"/>
      <c r="H22" s="72"/>
      <c r="J22" s="569"/>
      <c r="K22" s="71"/>
      <c r="O22" s="70"/>
      <c r="P22" s="70"/>
      <c r="Q22" s="70"/>
      <c r="R22" s="70"/>
      <c r="S22" s="70"/>
    </row>
    <row r="23" spans="1:19" ht="11.25">
      <c r="B23" t="s">
        <v>1213</v>
      </c>
      <c r="E23" s="73"/>
      <c r="F23" t="s">
        <v>2291</v>
      </c>
      <c r="G23" s="67"/>
      <c r="H23" s="72"/>
      <c r="J23" s="144"/>
      <c r="K23" s="71"/>
      <c r="O23" s="70"/>
      <c r="P23" s="70"/>
      <c r="Q23" s="70"/>
      <c r="R23" s="70"/>
      <c r="S23" s="70"/>
    </row>
    <row r="24" spans="1:19" ht="11.25">
      <c r="E24" s="73"/>
      <c r="G24" s="67"/>
      <c r="H24" s="72"/>
      <c r="J24" s="144"/>
      <c r="K24" s="71"/>
      <c r="O24" s="70"/>
      <c r="P24" s="70"/>
      <c r="Q24" s="70"/>
      <c r="R24" s="70"/>
      <c r="S24" s="70"/>
    </row>
    <row r="25" spans="1:19" ht="11.25">
      <c r="B25" s="2" t="s">
        <v>2807</v>
      </c>
      <c r="E25" s="73"/>
      <c r="G25" s="25"/>
      <c r="H25" s="72"/>
      <c r="J25" s="144"/>
      <c r="K25" s="71"/>
      <c r="O25" s="70"/>
      <c r="P25" s="70"/>
      <c r="Q25" s="70"/>
      <c r="R25" s="70"/>
      <c r="S25" s="70"/>
    </row>
    <row r="26" spans="1:19" ht="11.25">
      <c r="B26" s="2" t="s">
        <v>2808</v>
      </c>
      <c r="E26" s="73"/>
      <c r="G26" s="25"/>
      <c r="H26" s="72"/>
      <c r="J26" s="144"/>
      <c r="K26" s="71"/>
      <c r="O26" s="70"/>
      <c r="P26" s="70"/>
      <c r="Q26" s="70"/>
      <c r="R26" s="70"/>
      <c r="S26" s="70"/>
    </row>
    <row r="27" spans="1:19" ht="11.25">
      <c r="B27" s="2"/>
      <c r="C27" t="s">
        <v>2998</v>
      </c>
      <c r="E27" s="73"/>
      <c r="G27" s="25"/>
      <c r="H27" s="72"/>
      <c r="J27" s="144"/>
      <c r="K27" s="71"/>
      <c r="O27" s="70"/>
      <c r="P27" s="70"/>
      <c r="Q27" s="70"/>
      <c r="R27" s="70"/>
      <c r="S27" s="70"/>
    </row>
    <row r="28" spans="1:19" ht="11.25">
      <c r="A28" s="1265" t="s">
        <v>4891</v>
      </c>
      <c r="B28" s="2"/>
      <c r="D28" t="s">
        <v>10</v>
      </c>
      <c r="E28" s="73" t="str">
        <f>tlInputBusAStaffProfMC1</f>
        <v>Top Heavy</v>
      </c>
      <c r="F28" t="s">
        <v>2999</v>
      </c>
      <c r="G28" s="25" t="s">
        <v>3331</v>
      </c>
      <c r="H28" s="72" t="str">
        <f>tlInputBusAStaffProfMC1</f>
        <v>Top Heavy</v>
      </c>
      <c r="J28" s="144"/>
      <c r="K28" s="71"/>
      <c r="O28" s="70" t="s">
        <v>3330</v>
      </c>
      <c r="P28" s="70" t="s">
        <v>3330</v>
      </c>
      <c r="Q28" s="70" t="s">
        <v>3330</v>
      </c>
      <c r="R28" s="70" t="s">
        <v>3330</v>
      </c>
      <c r="S28" s="70" t="s">
        <v>3330</v>
      </c>
    </row>
    <row r="29" spans="1:19" ht="11.25">
      <c r="A29" s="1265" t="s">
        <v>4891</v>
      </c>
      <c r="B29" s="2"/>
      <c r="D29" t="s">
        <v>11</v>
      </c>
      <c r="E29" s="73" t="str">
        <f>tlInputBusAStaffProfMC2</f>
        <v>Guideline</v>
      </c>
      <c r="F29" t="s">
        <v>3000</v>
      </c>
      <c r="G29" s="25" t="s">
        <v>3332</v>
      </c>
      <c r="H29" s="72" t="str">
        <f>tlInputBusAStaffProfMC2</f>
        <v>Guideline</v>
      </c>
      <c r="J29" s="144"/>
      <c r="K29" s="71"/>
      <c r="O29" s="70" t="s">
        <v>3331</v>
      </c>
      <c r="P29" s="70" t="s">
        <v>3331</v>
      </c>
      <c r="Q29" s="70" t="s">
        <v>3331</v>
      </c>
      <c r="R29" s="70" t="s">
        <v>3331</v>
      </c>
      <c r="S29" s="70" t="s">
        <v>3331</v>
      </c>
    </row>
    <row r="30" spans="1:19" ht="11.25">
      <c r="A30" s="1265" t="s">
        <v>4891</v>
      </c>
      <c r="B30" s="2"/>
      <c r="D30" t="s">
        <v>12</v>
      </c>
      <c r="E30" s="73" t="str">
        <f>tlInputBusAStaffProfMC3</f>
        <v>Bottom Heavy</v>
      </c>
      <c r="F30" t="s">
        <v>3001</v>
      </c>
      <c r="G30" s="25" t="s">
        <v>3332</v>
      </c>
      <c r="H30" s="72" t="str">
        <f>tlInputBusAStaffProfMC3</f>
        <v>Bottom Heavy</v>
      </c>
      <c r="J30" s="144"/>
      <c r="K30" s="71"/>
      <c r="O30" s="70" t="s">
        <v>3332</v>
      </c>
      <c r="P30" s="70" t="s">
        <v>3332</v>
      </c>
      <c r="Q30" s="70" t="s">
        <v>3332</v>
      </c>
      <c r="R30" s="70" t="s">
        <v>3332</v>
      </c>
      <c r="S30" s="70" t="s">
        <v>3332</v>
      </c>
    </row>
    <row r="31" spans="1:19" ht="11.25">
      <c r="C31" s="700" t="s">
        <v>4889</v>
      </c>
      <c r="E31" s="73"/>
      <c r="G31" s="67"/>
      <c r="H31" s="72"/>
      <c r="J31" s="144"/>
      <c r="K31" s="71"/>
      <c r="O31" s="70"/>
      <c r="P31" s="70"/>
      <c r="Q31" s="70"/>
      <c r="R31" s="70"/>
      <c r="S31" s="70"/>
    </row>
    <row r="32" spans="1:19" ht="11.25">
      <c r="D32" t="s">
        <v>10</v>
      </c>
      <c r="E32" s="267">
        <f>tlInputBusAEmp4HrsCurrProj</f>
        <v>40000</v>
      </c>
      <c r="F32" t="s">
        <v>4057</v>
      </c>
      <c r="G32" s="67">
        <v>20000</v>
      </c>
      <c r="H32" s="72">
        <f>tlInputBusAEmp4HrsCurrProj</f>
        <v>40000</v>
      </c>
      <c r="J32" s="144"/>
      <c r="K32" s="71"/>
      <c r="O32" s="70">
        <v>40000</v>
      </c>
      <c r="P32" s="70">
        <v>40000</v>
      </c>
      <c r="Q32" s="70">
        <v>40000</v>
      </c>
      <c r="R32" s="70">
        <v>40000</v>
      </c>
      <c r="S32" s="70">
        <v>40000</v>
      </c>
    </row>
    <row r="33" spans="1:19" ht="11.25">
      <c r="D33" t="s">
        <v>11</v>
      </c>
      <c r="E33" s="267">
        <f>tlInputBusAEmp4HrsCurrProjV2</f>
        <v>25000</v>
      </c>
      <c r="F33" s="700" t="s">
        <v>3408</v>
      </c>
      <c r="G33" s="67">
        <v>15000</v>
      </c>
      <c r="H33" s="72">
        <f>tlInputBusAEmp4HrsCurrProjV2</f>
        <v>25000</v>
      </c>
      <c r="J33" s="144"/>
      <c r="K33" s="71"/>
      <c r="O33" s="70">
        <v>25000</v>
      </c>
      <c r="P33" s="70">
        <v>25000</v>
      </c>
      <c r="Q33" s="70">
        <v>25000</v>
      </c>
      <c r="R33" s="70">
        <v>25000</v>
      </c>
      <c r="S33" s="70">
        <v>25000</v>
      </c>
    </row>
    <row r="34" spans="1:19" ht="11.25">
      <c r="D34" t="s">
        <v>12</v>
      </c>
      <c r="E34" s="267">
        <f>tlInputBusAEmp4HrsCurrProjV3</f>
        <v>6000</v>
      </c>
      <c r="F34" t="s">
        <v>3409</v>
      </c>
      <c r="G34" s="67">
        <v>5000</v>
      </c>
      <c r="H34" s="72">
        <f>tlInputBusAEmp4HrsCurrProjV3</f>
        <v>6000</v>
      </c>
      <c r="J34" s="144"/>
      <c r="K34" s="71"/>
      <c r="O34" s="70">
        <v>6000</v>
      </c>
      <c r="P34" s="70">
        <v>6000</v>
      </c>
      <c r="Q34" s="70">
        <v>6000</v>
      </c>
      <c r="R34" s="70">
        <v>6000</v>
      </c>
      <c r="S34" s="70">
        <v>6000</v>
      </c>
    </row>
    <row r="35" spans="1:19" ht="11.25">
      <c r="C35" s="700" t="s">
        <v>4890</v>
      </c>
      <c r="E35" s="267"/>
      <c r="G35" s="67"/>
      <c r="H35" s="72"/>
      <c r="J35" s="144"/>
      <c r="K35" s="71"/>
      <c r="O35" s="70"/>
      <c r="P35" s="70"/>
      <c r="Q35" s="70"/>
      <c r="R35" s="70"/>
      <c r="S35" s="70"/>
    </row>
    <row r="36" spans="1:19" ht="11.25">
      <c r="D36" t="s">
        <v>10</v>
      </c>
      <c r="E36" s="267">
        <f>tlInputBusAEmp3HrsCurrProj</f>
        <v>110000</v>
      </c>
      <c r="F36" t="s">
        <v>4058</v>
      </c>
      <c r="G36" s="67">
        <v>90000</v>
      </c>
      <c r="H36" s="72">
        <f>tlInputBusAEmp3HrsCurrProj</f>
        <v>110000</v>
      </c>
      <c r="J36" s="144"/>
      <c r="K36" s="71"/>
      <c r="O36" s="70">
        <v>110000</v>
      </c>
      <c r="P36" s="70">
        <v>110000</v>
      </c>
      <c r="Q36" s="70">
        <v>110000</v>
      </c>
      <c r="R36" s="70">
        <v>110000</v>
      </c>
      <c r="S36" s="70">
        <v>110000</v>
      </c>
    </row>
    <row r="37" spans="1:19" ht="11.25">
      <c r="D37" t="s">
        <v>11</v>
      </c>
      <c r="E37" s="267">
        <f>tlInputBusAEmp3HrsCurrProjV2</f>
        <v>85000</v>
      </c>
      <c r="F37" t="s">
        <v>3410</v>
      </c>
      <c r="G37" s="67">
        <v>60000</v>
      </c>
      <c r="H37" s="72">
        <f>tlInputBusAEmp3HrsCurrProjV2</f>
        <v>85000</v>
      </c>
      <c r="J37" s="144"/>
      <c r="K37" s="71"/>
      <c r="O37" s="70">
        <v>85000</v>
      </c>
      <c r="P37" s="70">
        <v>85000</v>
      </c>
      <c r="Q37" s="70">
        <v>85000</v>
      </c>
      <c r="R37" s="70">
        <v>85000</v>
      </c>
      <c r="S37" s="70">
        <v>85000</v>
      </c>
    </row>
    <row r="38" spans="1:19" ht="11.25">
      <c r="D38" t="s">
        <v>12</v>
      </c>
      <c r="E38" s="267">
        <f>tlInputBusAEmp3HrsCurrProjV3</f>
        <v>25000</v>
      </c>
      <c r="F38" t="s">
        <v>3411</v>
      </c>
      <c r="G38" s="67">
        <v>35000</v>
      </c>
      <c r="H38" s="72">
        <f>tlInputBusAEmp3HrsCurrProjV3</f>
        <v>25000</v>
      </c>
      <c r="J38" s="144"/>
      <c r="K38" s="71"/>
      <c r="O38" s="70">
        <v>25000</v>
      </c>
      <c r="P38" s="70">
        <v>25000</v>
      </c>
      <c r="Q38" s="70">
        <v>25000</v>
      </c>
      <c r="R38" s="70">
        <v>25000</v>
      </c>
      <c r="S38" s="70">
        <v>25000</v>
      </c>
    </row>
    <row r="39" spans="1:19" ht="11.25">
      <c r="C39" s="700" t="s">
        <v>4705</v>
      </c>
      <c r="E39" s="267"/>
      <c r="G39" s="67"/>
      <c r="H39" s="72"/>
      <c r="J39" s="144"/>
      <c r="K39" s="71"/>
      <c r="O39" s="70"/>
      <c r="P39" s="70"/>
      <c r="Q39" s="70"/>
      <c r="R39" s="70"/>
      <c r="S39" s="70"/>
    </row>
    <row r="40" spans="1:19" ht="11.25">
      <c r="D40" t="s">
        <v>10</v>
      </c>
      <c r="E40" s="267">
        <f>tlInputBusAEmp2HrsCurrProj</f>
        <v>175000</v>
      </c>
      <c r="F40" t="s">
        <v>4059</v>
      </c>
      <c r="G40" s="67">
        <v>100000</v>
      </c>
      <c r="H40" s="72">
        <f>tlInputBusAEmp2HrsCurrProj</f>
        <v>175000</v>
      </c>
      <c r="J40" s="144"/>
      <c r="K40" s="71"/>
      <c r="O40" s="70">
        <v>175000</v>
      </c>
      <c r="P40" s="70">
        <v>175000</v>
      </c>
      <c r="Q40" s="70">
        <v>175000</v>
      </c>
      <c r="R40" s="70">
        <v>175000</v>
      </c>
      <c r="S40" s="70">
        <v>175000</v>
      </c>
    </row>
    <row r="41" spans="1:19" ht="11.25">
      <c r="D41" t="s">
        <v>11</v>
      </c>
      <c r="E41" s="267">
        <f>tlInputBusAEmp2HrsCurrProjV2</f>
        <v>165000</v>
      </c>
      <c r="F41" t="s">
        <v>3412</v>
      </c>
      <c r="G41" s="67">
        <v>140000</v>
      </c>
      <c r="H41" s="72">
        <f>tlInputBusAEmp2HrsCurrProjV2</f>
        <v>165000</v>
      </c>
      <c r="J41" s="144"/>
      <c r="K41" s="71"/>
      <c r="O41" s="70">
        <v>165000</v>
      </c>
      <c r="P41" s="70">
        <v>165000</v>
      </c>
      <c r="Q41" s="70">
        <v>165000</v>
      </c>
      <c r="R41" s="70">
        <v>165000</v>
      </c>
      <c r="S41" s="70">
        <v>165000</v>
      </c>
    </row>
    <row r="42" spans="1:19" ht="11.25">
      <c r="D42" t="s">
        <v>12</v>
      </c>
      <c r="E42" s="267">
        <f>tlInputBusAEmp2HrsCurrProjV3</f>
        <v>50000</v>
      </c>
      <c r="F42" t="s">
        <v>3413</v>
      </c>
      <c r="G42" s="67">
        <v>75000</v>
      </c>
      <c r="H42" s="72">
        <f>tlInputBusAEmp2HrsCurrProjV3</f>
        <v>50000</v>
      </c>
      <c r="J42" s="144"/>
      <c r="K42" s="71"/>
      <c r="O42" s="70">
        <v>50000</v>
      </c>
      <c r="P42" s="70">
        <v>50000</v>
      </c>
      <c r="Q42" s="70">
        <v>50000</v>
      </c>
      <c r="R42" s="70">
        <v>50000</v>
      </c>
      <c r="S42" s="70">
        <v>50000</v>
      </c>
    </row>
    <row r="43" spans="1:19" ht="11.25">
      <c r="C43" s="700" t="s">
        <v>5169</v>
      </c>
      <c r="E43" s="267"/>
      <c r="G43" s="67"/>
      <c r="H43" s="72"/>
      <c r="J43" s="144"/>
      <c r="K43" s="71"/>
      <c r="O43" s="70"/>
      <c r="P43" s="70"/>
      <c r="Q43" s="70"/>
      <c r="R43" s="70"/>
      <c r="S43" s="70"/>
    </row>
    <row r="44" spans="1:19" ht="11.25">
      <c r="C44" s="974">
        <v>5</v>
      </c>
      <c r="D44" t="s">
        <v>10</v>
      </c>
      <c r="E44" s="267">
        <f>tlInputBusAEmp1HrsCurrProj</f>
        <v>5</v>
      </c>
      <c r="F44" s="1503" t="s">
        <v>4060</v>
      </c>
      <c r="G44" s="67">
        <v>5</v>
      </c>
      <c r="H44" s="72">
        <f>tlInputBusAEmp1HrsCurrProj</f>
        <v>5</v>
      </c>
      <c r="I44" s="420">
        <v>130000</v>
      </c>
      <c r="J44" s="144"/>
      <c r="K44" s="71"/>
      <c r="O44" s="70">
        <v>5</v>
      </c>
      <c r="P44" s="70">
        <v>5</v>
      </c>
      <c r="Q44" s="70">
        <v>5</v>
      </c>
      <c r="R44" s="70">
        <v>5</v>
      </c>
      <c r="S44" s="70">
        <v>5</v>
      </c>
    </row>
    <row r="45" spans="1:19" ht="11.25">
      <c r="C45" s="974">
        <v>5</v>
      </c>
      <c r="D45" t="s">
        <v>11</v>
      </c>
      <c r="E45" s="267">
        <f>tlInputBusAEmp1HrsCurrProjV2</f>
        <v>5</v>
      </c>
      <c r="F45" s="26" t="s">
        <v>3414</v>
      </c>
      <c r="G45" s="67">
        <v>5</v>
      </c>
      <c r="H45" s="72">
        <f>tlInputBusAEmp1HrsCurrProjV2</f>
        <v>5</v>
      </c>
      <c r="I45" s="420">
        <v>200000</v>
      </c>
      <c r="J45" s="144"/>
      <c r="K45" s="71"/>
      <c r="O45" s="70">
        <v>5</v>
      </c>
      <c r="P45" s="70">
        <v>5</v>
      </c>
      <c r="Q45" s="70">
        <v>5</v>
      </c>
      <c r="R45" s="70">
        <v>5</v>
      </c>
      <c r="S45" s="70">
        <v>5</v>
      </c>
    </row>
    <row r="46" spans="1:19" ht="11.25">
      <c r="C46" s="974">
        <v>5</v>
      </c>
      <c r="D46" t="s">
        <v>12</v>
      </c>
      <c r="E46" s="267">
        <f>tlInputBusAEmp1HrsCurrProjV3</f>
        <v>5</v>
      </c>
      <c r="F46" s="26" t="s">
        <v>409</v>
      </c>
      <c r="G46" s="67">
        <v>5</v>
      </c>
      <c r="H46" s="72">
        <f>tlInputBusAEmp1HrsCurrProjV3</f>
        <v>5</v>
      </c>
      <c r="I46" s="420">
        <v>27000</v>
      </c>
      <c r="J46" s="144"/>
      <c r="K46" s="71"/>
      <c r="O46" s="70">
        <v>5</v>
      </c>
      <c r="P46" s="70">
        <v>5</v>
      </c>
      <c r="Q46" s="70">
        <v>5</v>
      </c>
      <c r="R46" s="70">
        <v>5</v>
      </c>
      <c r="S46" s="70">
        <v>5</v>
      </c>
    </row>
    <row r="47" spans="1:19" ht="11.25">
      <c r="B47" s="2"/>
      <c r="C47" t="s">
        <v>2998</v>
      </c>
      <c r="E47" s="73"/>
      <c r="G47" s="25"/>
      <c r="H47" s="72"/>
      <c r="J47" s="144"/>
      <c r="K47" s="71"/>
      <c r="O47" s="70"/>
      <c r="P47" s="70"/>
      <c r="Q47" s="70"/>
      <c r="R47" s="70"/>
      <c r="S47" s="70"/>
    </row>
    <row r="48" spans="1:19" ht="11.25">
      <c r="A48" s="1265" t="s">
        <v>4891</v>
      </c>
      <c r="B48" s="2"/>
      <c r="D48" t="s">
        <v>10</v>
      </c>
      <c r="E48" s="73" t="str">
        <f>tlInputBusAStaffProfSIT1</f>
        <v>Top Heavy</v>
      </c>
      <c r="F48" s="26" t="s">
        <v>3002</v>
      </c>
      <c r="G48" s="25" t="s">
        <v>3330</v>
      </c>
      <c r="H48" s="72" t="str">
        <f>tlInputBusAStaffProfSIT1</f>
        <v>Top Heavy</v>
      </c>
      <c r="J48" s="144"/>
      <c r="K48" s="71"/>
      <c r="O48" s="70" t="s">
        <v>3330</v>
      </c>
      <c r="P48" s="70" t="s">
        <v>3330</v>
      </c>
      <c r="Q48" s="70" t="s">
        <v>3330</v>
      </c>
      <c r="R48" s="70" t="s">
        <v>3330</v>
      </c>
      <c r="S48" s="70" t="s">
        <v>3330</v>
      </c>
    </row>
    <row r="49" spans="1:19" ht="11.25">
      <c r="A49" s="1265" t="s">
        <v>4891</v>
      </c>
      <c r="B49" s="2"/>
      <c r="D49" t="s">
        <v>11</v>
      </c>
      <c r="E49" s="73" t="str">
        <f>tlInputBusAStaffProfSIT2</f>
        <v>Top Heavy</v>
      </c>
      <c r="F49" s="26" t="s">
        <v>3003</v>
      </c>
      <c r="G49" s="25" t="s">
        <v>3330</v>
      </c>
      <c r="H49" s="72" t="str">
        <f>tlInputBusAStaffProfSIT2</f>
        <v>Top Heavy</v>
      </c>
      <c r="J49" s="144"/>
      <c r="K49" s="71"/>
      <c r="O49" s="70" t="s">
        <v>3330</v>
      </c>
      <c r="P49" s="70" t="s">
        <v>3330</v>
      </c>
      <c r="Q49" s="70" t="s">
        <v>3330</v>
      </c>
      <c r="R49" s="70" t="s">
        <v>3330</v>
      </c>
      <c r="S49" s="70" t="s">
        <v>3330</v>
      </c>
    </row>
    <row r="50" spans="1:19" ht="11.25">
      <c r="A50" s="1265" t="s">
        <v>4891</v>
      </c>
      <c r="B50" s="2"/>
      <c r="D50" t="s">
        <v>12</v>
      </c>
      <c r="E50" s="73" t="str">
        <f>tlInputBusAStaffProfSIT3</f>
        <v>Top Heavy</v>
      </c>
      <c r="F50" s="26" t="s">
        <v>3004</v>
      </c>
      <c r="G50" s="25" t="s">
        <v>3330</v>
      </c>
      <c r="H50" s="72" t="str">
        <f>tlInputBusAStaffProfSIT3</f>
        <v>Top Heavy</v>
      </c>
      <c r="J50" s="144"/>
      <c r="K50" s="71"/>
      <c r="O50" s="70" t="s">
        <v>3330</v>
      </c>
      <c r="P50" s="70" t="s">
        <v>3330</v>
      </c>
      <c r="Q50" s="70" t="s">
        <v>3330</v>
      </c>
      <c r="R50" s="70" t="s">
        <v>3330</v>
      </c>
      <c r="S50" s="70" t="s">
        <v>3330</v>
      </c>
    </row>
    <row r="51" spans="1:19" ht="11.25">
      <c r="C51" t="s">
        <v>2023</v>
      </c>
      <c r="E51" s="73"/>
      <c r="G51" s="67"/>
      <c r="H51" s="72"/>
      <c r="J51" s="144"/>
      <c r="K51" s="71"/>
      <c r="O51" s="70"/>
      <c r="P51" s="70"/>
      <c r="Q51" s="70"/>
      <c r="R51" s="70"/>
      <c r="S51" s="70"/>
    </row>
    <row r="52" spans="1:19" ht="11.25">
      <c r="A52" s="1265" t="s">
        <v>4891</v>
      </c>
      <c r="C52" t="s">
        <v>3750</v>
      </c>
      <c r="D52" t="s">
        <v>10</v>
      </c>
      <c r="E52" s="267">
        <f>tlInputBusAEmp7HrsCurrProj</f>
        <v>40000</v>
      </c>
      <c r="F52" t="s">
        <v>3192</v>
      </c>
      <c r="G52" s="67">
        <v>40000</v>
      </c>
      <c r="H52" s="72">
        <f>tlInputBusAEmp7HrsCurrProj</f>
        <v>40000</v>
      </c>
      <c r="J52" s="144"/>
      <c r="K52" s="71"/>
      <c r="O52" s="70">
        <v>40000</v>
      </c>
      <c r="P52" s="70">
        <v>40000</v>
      </c>
      <c r="Q52" s="70">
        <v>40000</v>
      </c>
      <c r="R52" s="70">
        <v>40000</v>
      </c>
      <c r="S52" s="70">
        <v>40000</v>
      </c>
    </row>
    <row r="53" spans="1:19" ht="11.25">
      <c r="A53" s="1265" t="s">
        <v>4891</v>
      </c>
      <c r="C53" t="s">
        <v>3750</v>
      </c>
      <c r="D53" t="s">
        <v>11</v>
      </c>
      <c r="E53" s="267">
        <f>tlInputBusAEmp7HrsCurrProjV2</f>
        <v>30000</v>
      </c>
      <c r="F53" t="s">
        <v>3193</v>
      </c>
      <c r="G53" s="67">
        <v>30000</v>
      </c>
      <c r="H53" s="72">
        <f>tlInputBusAEmp7HrsCurrProjV2</f>
        <v>30000</v>
      </c>
      <c r="J53" s="144"/>
      <c r="K53" s="71"/>
      <c r="O53" s="70">
        <v>30000</v>
      </c>
      <c r="P53" s="70">
        <v>30000</v>
      </c>
      <c r="Q53" s="70">
        <v>30000</v>
      </c>
      <c r="R53" s="70">
        <v>30000</v>
      </c>
      <c r="S53" s="70">
        <v>30000</v>
      </c>
    </row>
    <row r="54" spans="1:19" ht="11.25">
      <c r="A54" s="1265" t="s">
        <v>4891</v>
      </c>
      <c r="C54" t="s">
        <v>3750</v>
      </c>
      <c r="D54" t="s">
        <v>12</v>
      </c>
      <c r="E54" s="267">
        <f>tlInputBusAEmp7HrsCurrProjV3</f>
        <v>9000</v>
      </c>
      <c r="F54" t="s">
        <v>3194</v>
      </c>
      <c r="G54" s="67">
        <v>9000</v>
      </c>
      <c r="H54" s="72">
        <f>tlInputBusAEmp7HrsCurrProjV3</f>
        <v>9000</v>
      </c>
      <c r="J54" s="144"/>
      <c r="K54" s="71"/>
      <c r="O54" s="70">
        <v>9000</v>
      </c>
      <c r="P54" s="70">
        <v>9000</v>
      </c>
      <c r="Q54" s="70">
        <v>9000</v>
      </c>
      <c r="R54" s="70">
        <v>9000</v>
      </c>
      <c r="S54" s="70">
        <v>9000</v>
      </c>
    </row>
    <row r="55" spans="1:19" ht="11.25">
      <c r="C55" t="s">
        <v>939</v>
      </c>
      <c r="E55" s="267"/>
      <c r="G55" s="67"/>
      <c r="H55" s="72"/>
      <c r="J55" s="144"/>
      <c r="K55" s="71"/>
      <c r="O55" s="70"/>
      <c r="P55" s="70"/>
      <c r="Q55" s="70"/>
      <c r="R55" s="70"/>
      <c r="S55" s="70"/>
    </row>
    <row r="56" spans="1:19" ht="11.25">
      <c r="A56" s="1265" t="s">
        <v>4891</v>
      </c>
      <c r="C56" t="s">
        <v>3750</v>
      </c>
      <c r="D56" t="s">
        <v>10</v>
      </c>
      <c r="E56" s="267">
        <f>tlInputBusAEmp8HrsCurrProj</f>
        <v>130000</v>
      </c>
      <c r="F56" t="s">
        <v>70</v>
      </c>
      <c r="G56" s="67">
        <v>130000</v>
      </c>
      <c r="H56" s="72">
        <f>tlInputBusAEmp8HrsCurrProj</f>
        <v>130000</v>
      </c>
      <c r="J56" s="144"/>
      <c r="K56" s="71"/>
      <c r="O56" s="70">
        <v>130000</v>
      </c>
      <c r="P56" s="70">
        <v>130000</v>
      </c>
      <c r="Q56" s="70">
        <v>130000</v>
      </c>
      <c r="R56" s="70">
        <v>130000</v>
      </c>
      <c r="S56" s="70">
        <v>130000</v>
      </c>
    </row>
    <row r="57" spans="1:19" ht="11.25">
      <c r="A57" s="1265" t="s">
        <v>4891</v>
      </c>
      <c r="C57" t="s">
        <v>3750</v>
      </c>
      <c r="D57" t="s">
        <v>11</v>
      </c>
      <c r="E57" s="267">
        <f>tlInputBusAEmp8HrsCurrProjV2</f>
        <v>80000</v>
      </c>
      <c r="F57" t="s">
        <v>71</v>
      </c>
      <c r="G57" s="67">
        <v>80000</v>
      </c>
      <c r="H57" s="72">
        <f>tlInputBusAEmp8HrsCurrProjV2</f>
        <v>80000</v>
      </c>
      <c r="J57" s="144"/>
      <c r="K57" s="71"/>
      <c r="O57" s="70">
        <v>80000</v>
      </c>
      <c r="P57" s="70">
        <v>80000</v>
      </c>
      <c r="Q57" s="70">
        <v>80000</v>
      </c>
      <c r="R57" s="70">
        <v>80000</v>
      </c>
      <c r="S57" s="70">
        <v>80000</v>
      </c>
    </row>
    <row r="58" spans="1:19" ht="11.25">
      <c r="A58" s="1265" t="s">
        <v>4891</v>
      </c>
      <c r="C58" t="s">
        <v>3750</v>
      </c>
      <c r="D58" t="s">
        <v>12</v>
      </c>
      <c r="E58" s="267">
        <f>tlInputBusAEmp8HrsCurrProjV3</f>
        <v>32000</v>
      </c>
      <c r="F58" t="s">
        <v>72</v>
      </c>
      <c r="G58" s="67">
        <v>32000</v>
      </c>
      <c r="H58" s="72">
        <f>tlInputBusAEmp8HrsCurrProjV3</f>
        <v>32000</v>
      </c>
      <c r="J58" s="144"/>
      <c r="K58" s="71"/>
      <c r="O58" s="70">
        <v>32000</v>
      </c>
      <c r="P58" s="70">
        <v>32000</v>
      </c>
      <c r="Q58" s="70">
        <v>32000</v>
      </c>
      <c r="R58" s="70">
        <v>32000</v>
      </c>
      <c r="S58" s="70">
        <v>32000</v>
      </c>
    </row>
    <row r="59" spans="1:19" ht="11.25">
      <c r="C59" t="s">
        <v>5178</v>
      </c>
      <c r="E59" s="267"/>
      <c r="G59" s="67"/>
      <c r="H59" s="72"/>
      <c r="J59" s="144"/>
      <c r="K59" s="71"/>
      <c r="O59" s="70"/>
      <c r="P59" s="70"/>
      <c r="Q59" s="70"/>
      <c r="R59" s="70"/>
      <c r="S59" s="70"/>
    </row>
    <row r="60" spans="1:19" ht="11.25">
      <c r="C60" t="s">
        <v>3750</v>
      </c>
      <c r="D60" t="s">
        <v>10</v>
      </c>
      <c r="E60" s="267">
        <f>tlInputBusAEmp9HrsCurrProj</f>
        <v>295000</v>
      </c>
      <c r="F60" t="s">
        <v>73</v>
      </c>
      <c r="G60" s="67">
        <v>200000</v>
      </c>
      <c r="H60" s="72">
        <f>tlInputBusAEmp9HrsCurrProj</f>
        <v>295000</v>
      </c>
      <c r="J60" s="144"/>
      <c r="K60" s="71"/>
      <c r="O60" s="70">
        <v>295000</v>
      </c>
      <c r="P60" s="70">
        <v>295000</v>
      </c>
      <c r="Q60" s="70">
        <v>295000</v>
      </c>
      <c r="R60" s="70">
        <v>295000</v>
      </c>
      <c r="S60" s="70">
        <v>295000</v>
      </c>
    </row>
    <row r="61" spans="1:19" ht="11.25">
      <c r="C61" t="s">
        <v>3750</v>
      </c>
      <c r="D61" t="s">
        <v>11</v>
      </c>
      <c r="E61" s="267">
        <f>tlInputBusAEmp9HrsCurrProjV2</f>
        <v>20000</v>
      </c>
      <c r="F61" t="s">
        <v>74</v>
      </c>
      <c r="G61" s="67">
        <v>20000</v>
      </c>
      <c r="H61" s="72">
        <f>tlInputBusAEmp9HrsCurrProjV2</f>
        <v>20000</v>
      </c>
      <c r="J61" s="144"/>
      <c r="K61" s="71"/>
      <c r="O61" s="70">
        <v>20000</v>
      </c>
      <c r="P61" s="70">
        <v>20000</v>
      </c>
      <c r="Q61" s="70">
        <v>20000</v>
      </c>
      <c r="R61" s="70">
        <v>20000</v>
      </c>
      <c r="S61" s="70">
        <v>20000</v>
      </c>
    </row>
    <row r="62" spans="1:19" ht="11.25">
      <c r="C62" t="s">
        <v>3750</v>
      </c>
      <c r="D62" t="s">
        <v>12</v>
      </c>
      <c r="E62" s="267">
        <f>tlInputBusAEmp9HrsCurrProjV3</f>
        <v>20000</v>
      </c>
      <c r="F62" t="s">
        <v>4125</v>
      </c>
      <c r="G62" s="67">
        <v>45000</v>
      </c>
      <c r="H62" s="72">
        <f>tlInputBusAEmp9HrsCurrProjV3</f>
        <v>20000</v>
      </c>
      <c r="J62" s="144"/>
      <c r="K62" s="71"/>
      <c r="O62" s="70">
        <v>20000</v>
      </c>
      <c r="P62" s="70">
        <v>20000</v>
      </c>
      <c r="Q62" s="70">
        <v>20000</v>
      </c>
      <c r="R62" s="70">
        <v>20000</v>
      </c>
      <c r="S62" s="70">
        <v>20000</v>
      </c>
    </row>
    <row r="63" spans="1:19" ht="11.25">
      <c r="E63" s="267"/>
      <c r="G63" s="67"/>
      <c r="H63" s="72"/>
      <c r="J63" s="144"/>
      <c r="K63" s="71"/>
      <c r="O63" s="70"/>
      <c r="P63" s="70"/>
      <c r="Q63" s="70"/>
      <c r="R63" s="70"/>
      <c r="S63" s="70"/>
    </row>
    <row r="64" spans="1:19" ht="11.25">
      <c r="B64" s="2" t="s">
        <v>1307</v>
      </c>
      <c r="E64" s="267"/>
      <c r="G64" s="67"/>
      <c r="H64" s="72"/>
      <c r="J64" s="144"/>
      <c r="K64" s="71"/>
      <c r="O64" s="70"/>
      <c r="P64" s="70"/>
      <c r="Q64" s="70"/>
      <c r="R64" s="70"/>
      <c r="S64" s="70"/>
    </row>
    <row r="65" spans="1:19" ht="11.25">
      <c r="A65" s="1265" t="s">
        <v>4891</v>
      </c>
      <c r="D65" t="s">
        <v>10</v>
      </c>
      <c r="E65" s="267">
        <f>tlInputBusAV1HrsBorrowed</f>
        <v>0</v>
      </c>
      <c r="F65" t="s">
        <v>1308</v>
      </c>
      <c r="G65" s="67">
        <v>0</v>
      </c>
      <c r="H65" s="72">
        <f>tlInputBusAV1HrsBorrowed</f>
        <v>0</v>
      </c>
      <c r="J65" s="144"/>
      <c r="K65" s="71"/>
      <c r="O65" s="70">
        <v>0</v>
      </c>
      <c r="P65" s="70">
        <v>0</v>
      </c>
      <c r="Q65" s="70">
        <v>0</v>
      </c>
      <c r="R65" s="70">
        <v>0</v>
      </c>
      <c r="S65" s="70">
        <v>0</v>
      </c>
    </row>
    <row r="66" spans="1:19" ht="11.25">
      <c r="A66" s="1265" t="s">
        <v>4891</v>
      </c>
      <c r="D66" t="s">
        <v>11</v>
      </c>
      <c r="E66" s="267">
        <f>tlInputBusAV2HrsBorrowed</f>
        <v>0</v>
      </c>
      <c r="F66" t="s">
        <v>1309</v>
      </c>
      <c r="G66" s="67">
        <v>0</v>
      </c>
      <c r="H66" s="72">
        <f>tlInputBusAV2HrsBorrowed</f>
        <v>0</v>
      </c>
      <c r="J66" s="144"/>
      <c r="K66" s="71"/>
      <c r="O66" s="70">
        <v>0</v>
      </c>
      <c r="P66" s="70">
        <v>0</v>
      </c>
      <c r="Q66" s="70">
        <v>0</v>
      </c>
      <c r="R66" s="70">
        <v>0</v>
      </c>
      <c r="S66" s="70">
        <v>0</v>
      </c>
    </row>
    <row r="67" spans="1:19" ht="11.25">
      <c r="A67" s="1265" t="s">
        <v>4891</v>
      </c>
      <c r="D67" t="s">
        <v>12</v>
      </c>
      <c r="E67" s="267">
        <f>tlInputBusAV3HrsBorrowed</f>
        <v>0</v>
      </c>
      <c r="F67" t="s">
        <v>1310</v>
      </c>
      <c r="G67" s="67">
        <v>0</v>
      </c>
      <c r="H67" s="72">
        <f>tlInputBusAV3HrsBorrowed</f>
        <v>0</v>
      </c>
      <c r="J67" s="144"/>
      <c r="K67" s="71"/>
      <c r="O67" s="70">
        <v>0</v>
      </c>
      <c r="P67" s="70">
        <v>0</v>
      </c>
      <c r="Q67" s="70">
        <v>0</v>
      </c>
      <c r="R67" s="70">
        <v>0</v>
      </c>
      <c r="S67" s="70">
        <v>0</v>
      </c>
    </row>
    <row r="68" spans="1:19" ht="11.25">
      <c r="E68" s="267"/>
      <c r="G68" s="67"/>
      <c r="H68" s="72"/>
      <c r="J68" s="144"/>
      <c r="K68" s="71"/>
      <c r="O68" s="70"/>
      <c r="P68" s="70"/>
      <c r="Q68" s="70"/>
      <c r="R68" s="70"/>
      <c r="S68" s="70"/>
    </row>
    <row r="69" spans="1:19" ht="11.25">
      <c r="B69" s="2" t="s">
        <v>2809</v>
      </c>
      <c r="E69" s="73"/>
      <c r="G69" s="67"/>
      <c r="H69" s="72"/>
      <c r="J69" s="144"/>
      <c r="K69" s="71"/>
      <c r="O69" s="70"/>
      <c r="P69" s="70"/>
      <c r="Q69" s="70"/>
      <c r="R69" s="70"/>
      <c r="S69" s="70"/>
    </row>
    <row r="70" spans="1:19" ht="11.25">
      <c r="B70" s="2"/>
      <c r="C70" t="s">
        <v>2998</v>
      </c>
      <c r="E70" s="73"/>
      <c r="G70" s="25"/>
      <c r="H70" s="72"/>
      <c r="J70" s="144"/>
      <c r="K70" s="71"/>
      <c r="O70" s="70"/>
      <c r="P70" s="70"/>
      <c r="Q70" s="70"/>
      <c r="R70" s="70"/>
      <c r="S70" s="70"/>
    </row>
    <row r="71" spans="1:19" ht="11.25">
      <c r="A71" s="1265" t="s">
        <v>4891</v>
      </c>
      <c r="B71" s="2"/>
      <c r="D71" t="s">
        <v>10</v>
      </c>
      <c r="E71" s="73" t="str">
        <f>tlInputBusASalesMC1</f>
        <v>Top Heavy</v>
      </c>
      <c r="F71" s="26" t="s">
        <v>3005</v>
      </c>
      <c r="G71" s="25" t="s">
        <v>3330</v>
      </c>
      <c r="H71" s="72" t="str">
        <f>tlInputBusASalesMC1</f>
        <v>Top Heavy</v>
      </c>
      <c r="J71" s="144"/>
      <c r="K71" s="71"/>
      <c r="O71" s="70" t="s">
        <v>3330</v>
      </c>
      <c r="P71" s="70" t="s">
        <v>3330</v>
      </c>
      <c r="Q71" s="70" t="s">
        <v>3330</v>
      </c>
      <c r="R71" s="70" t="s">
        <v>3330</v>
      </c>
      <c r="S71" s="70" t="s">
        <v>3330</v>
      </c>
    </row>
    <row r="72" spans="1:19" ht="11.25">
      <c r="A72" s="1265" t="s">
        <v>4891</v>
      </c>
      <c r="B72" s="2"/>
      <c r="D72" t="s">
        <v>11</v>
      </c>
      <c r="E72" s="73" t="str">
        <f>tlInputBusASalesMC2</f>
        <v>Guideline</v>
      </c>
      <c r="F72" s="26" t="s">
        <v>3006</v>
      </c>
      <c r="G72" s="25" t="s">
        <v>3331</v>
      </c>
      <c r="H72" s="72" t="str">
        <f>tlInputBusASalesMC2</f>
        <v>Guideline</v>
      </c>
      <c r="J72" s="144"/>
      <c r="K72" s="71"/>
      <c r="O72" s="70" t="s">
        <v>3331</v>
      </c>
      <c r="P72" s="70" t="s">
        <v>3331</v>
      </c>
      <c r="Q72" s="70" t="s">
        <v>3331</v>
      </c>
      <c r="R72" s="70" t="s">
        <v>3331</v>
      </c>
      <c r="S72" s="70" t="s">
        <v>3331</v>
      </c>
    </row>
    <row r="73" spans="1:19" ht="11.25">
      <c r="A73" s="1265" t="s">
        <v>4891</v>
      </c>
      <c r="B73" s="2"/>
      <c r="D73" t="s">
        <v>12</v>
      </c>
      <c r="E73" s="73" t="str">
        <f>tlInputBusASalesMC3</f>
        <v>Guideline</v>
      </c>
      <c r="F73" s="26" t="s">
        <v>3007</v>
      </c>
      <c r="G73" s="25" t="s">
        <v>3331</v>
      </c>
      <c r="H73" s="72" t="str">
        <f>tlInputBusASalesMC3</f>
        <v>Guideline</v>
      </c>
      <c r="J73" s="144"/>
      <c r="K73" s="71"/>
      <c r="O73" s="70" t="s">
        <v>3331</v>
      </c>
      <c r="P73" s="70" t="s">
        <v>3331</v>
      </c>
      <c r="Q73" s="70" t="s">
        <v>3331</v>
      </c>
      <c r="R73" s="70" t="s">
        <v>3331</v>
      </c>
      <c r="S73" s="70" t="s">
        <v>3331</v>
      </c>
    </row>
    <row r="74" spans="1:19" ht="11.25">
      <c r="C74" t="s">
        <v>2023</v>
      </c>
      <c r="E74" s="73"/>
      <c r="G74" s="67"/>
      <c r="H74" s="72"/>
      <c r="J74" s="144"/>
      <c r="K74" s="71"/>
      <c r="O74" s="70"/>
      <c r="P74" s="70"/>
      <c r="Q74" s="70"/>
      <c r="R74" s="70"/>
      <c r="S74" s="70"/>
    </row>
    <row r="75" spans="1:19" ht="11.25">
      <c r="A75" s="1265" t="s">
        <v>4891</v>
      </c>
      <c r="D75" t="s">
        <v>10</v>
      </c>
      <c r="E75" s="267"/>
      <c r="F75" t="s">
        <v>3856</v>
      </c>
      <c r="G75" s="67"/>
      <c r="H75" s="72"/>
      <c r="J75" s="144"/>
      <c r="K75" s="71"/>
      <c r="O75" s="70"/>
      <c r="P75" s="70"/>
      <c r="Q75" s="70"/>
      <c r="R75" s="70"/>
      <c r="S75" s="70"/>
    </row>
    <row r="76" spans="1:19" ht="11.25">
      <c r="A76" s="1265" t="s">
        <v>4891</v>
      </c>
      <c r="D76" t="s">
        <v>11</v>
      </c>
      <c r="E76" s="267"/>
      <c r="F76" t="s">
        <v>3018</v>
      </c>
      <c r="G76" s="67"/>
      <c r="H76" s="72"/>
      <c r="J76" s="144"/>
      <c r="K76" s="71"/>
      <c r="O76" s="70"/>
      <c r="P76" s="70"/>
      <c r="Q76" s="70"/>
      <c r="R76" s="70"/>
      <c r="S76" s="70"/>
    </row>
    <row r="77" spans="1:19" ht="11.25">
      <c r="A77" s="1265" t="s">
        <v>4891</v>
      </c>
      <c r="D77" t="s">
        <v>12</v>
      </c>
      <c r="E77" s="267"/>
      <c r="F77" t="s">
        <v>2956</v>
      </c>
      <c r="G77" s="67"/>
      <c r="H77" s="72"/>
      <c r="J77" s="144"/>
      <c r="K77" s="71"/>
      <c r="O77" s="70"/>
      <c r="P77" s="70"/>
      <c r="Q77" s="70"/>
      <c r="R77" s="70"/>
      <c r="S77" s="70"/>
    </row>
    <row r="78" spans="1:19" ht="11.25">
      <c r="C78" t="s">
        <v>939</v>
      </c>
      <c r="E78" s="267"/>
      <c r="G78" s="67"/>
      <c r="H78" s="72"/>
      <c r="J78" s="144"/>
      <c r="K78" s="71"/>
      <c r="O78" s="70"/>
      <c r="P78" s="70"/>
      <c r="Q78" s="70"/>
      <c r="R78" s="70"/>
      <c r="S78" s="70"/>
    </row>
    <row r="79" spans="1:19" ht="11.25">
      <c r="A79" s="1265" t="s">
        <v>4891</v>
      </c>
      <c r="D79" t="s">
        <v>10</v>
      </c>
      <c r="E79" s="267">
        <f>tlInputBusAEmp3HrsSales</f>
        <v>5300</v>
      </c>
      <c r="F79" t="s">
        <v>3857</v>
      </c>
      <c r="G79" s="67">
        <v>5300</v>
      </c>
      <c r="H79" s="72">
        <f>tlInputBusAEmp3HrsSales</f>
        <v>5300</v>
      </c>
      <c r="J79" s="144"/>
      <c r="K79" s="71"/>
      <c r="O79" s="70">
        <v>5300</v>
      </c>
      <c r="P79" s="70">
        <v>5300</v>
      </c>
      <c r="Q79" s="70">
        <v>5300</v>
      </c>
      <c r="R79" s="70">
        <v>5300</v>
      </c>
      <c r="S79" s="70">
        <v>5300</v>
      </c>
    </row>
    <row r="80" spans="1:19" ht="11.25">
      <c r="A80" s="1265" t="s">
        <v>4891</v>
      </c>
      <c r="D80" t="s">
        <v>11</v>
      </c>
      <c r="E80" s="267">
        <f>tlInputBusAEmp3HrsSalesV2</f>
        <v>2500</v>
      </c>
      <c r="F80" t="s">
        <v>3017</v>
      </c>
      <c r="G80" s="67">
        <v>2500</v>
      </c>
      <c r="H80" s="72">
        <f>tlInputBusAEmp3HrsSalesV2</f>
        <v>2500</v>
      </c>
      <c r="J80" s="144"/>
      <c r="K80" s="71"/>
      <c r="O80" s="70">
        <v>2500</v>
      </c>
      <c r="P80" s="70">
        <v>2500</v>
      </c>
      <c r="Q80" s="70">
        <v>2500</v>
      </c>
      <c r="R80" s="70">
        <v>2500</v>
      </c>
      <c r="S80" s="70">
        <v>2500</v>
      </c>
    </row>
    <row r="81" spans="1:19" ht="11.25">
      <c r="A81" s="1265" t="s">
        <v>4891</v>
      </c>
      <c r="D81" t="s">
        <v>12</v>
      </c>
      <c r="E81" s="267">
        <f>tlInputBusAEmp3HrsSalesV3</f>
        <v>22000</v>
      </c>
      <c r="F81" t="s">
        <v>2955</v>
      </c>
      <c r="G81" s="67">
        <v>22000</v>
      </c>
      <c r="H81" s="72">
        <f>tlInputBusAEmp3HrsSalesV3</f>
        <v>22000</v>
      </c>
      <c r="J81" s="144"/>
      <c r="K81" s="71"/>
      <c r="O81" s="70">
        <v>22000</v>
      </c>
      <c r="P81" s="70">
        <v>22000</v>
      </c>
      <c r="Q81" s="70">
        <v>22000</v>
      </c>
      <c r="R81" s="70">
        <v>22000</v>
      </c>
      <c r="S81" s="70">
        <v>22000</v>
      </c>
    </row>
    <row r="82" spans="1:19" ht="11.25">
      <c r="C82" t="s">
        <v>940</v>
      </c>
      <c r="E82" s="267"/>
      <c r="G82" s="67"/>
      <c r="H82" s="72"/>
      <c r="J82" s="144"/>
      <c r="K82" s="71"/>
      <c r="O82" s="70"/>
      <c r="P82" s="70"/>
      <c r="Q82" s="70"/>
      <c r="R82" s="70"/>
      <c r="S82" s="70"/>
    </row>
    <row r="83" spans="1:19" ht="11.25">
      <c r="A83" s="1265" t="s">
        <v>4891</v>
      </c>
      <c r="D83" t="s">
        <v>10</v>
      </c>
      <c r="E83" s="267"/>
      <c r="F83" t="s">
        <v>3858</v>
      </c>
      <c r="G83" s="67"/>
      <c r="H83" s="72"/>
      <c r="J83" s="144"/>
      <c r="K83" s="71"/>
      <c r="O83" s="70"/>
      <c r="P83" s="70"/>
      <c r="Q83" s="70"/>
      <c r="R83" s="70"/>
      <c r="S83" s="70"/>
    </row>
    <row r="84" spans="1:19" ht="11.25">
      <c r="A84" s="1265" t="s">
        <v>4891</v>
      </c>
      <c r="D84" t="s">
        <v>11</v>
      </c>
      <c r="E84" s="267"/>
      <c r="F84" t="s">
        <v>410</v>
      </c>
      <c r="G84" s="67"/>
      <c r="H84" s="72"/>
      <c r="J84" s="144"/>
      <c r="K84" s="71"/>
      <c r="O84" s="70"/>
      <c r="P84" s="70"/>
      <c r="Q84" s="70"/>
      <c r="R84" s="70"/>
      <c r="S84" s="70"/>
    </row>
    <row r="85" spans="1:19" ht="11.25">
      <c r="A85" s="1265" t="s">
        <v>4891</v>
      </c>
      <c r="D85" t="s">
        <v>12</v>
      </c>
      <c r="E85" s="267"/>
      <c r="F85" t="s">
        <v>2954</v>
      </c>
      <c r="G85" s="67"/>
      <c r="H85" s="72"/>
      <c r="J85" s="144"/>
      <c r="K85" s="71"/>
      <c r="O85" s="70"/>
      <c r="P85" s="70"/>
      <c r="Q85" s="70"/>
      <c r="R85" s="70"/>
      <c r="S85" s="70"/>
    </row>
    <row r="86" spans="1:19" ht="11.25">
      <c r="C86" t="s">
        <v>941</v>
      </c>
      <c r="E86" s="267"/>
      <c r="G86" s="67"/>
      <c r="H86" s="72"/>
      <c r="J86" s="144"/>
      <c r="K86" s="71"/>
      <c r="O86" s="70"/>
      <c r="P86" s="70"/>
      <c r="Q86" s="70"/>
      <c r="R86" s="70"/>
      <c r="S86" s="70"/>
    </row>
    <row r="87" spans="1:19" ht="11.25">
      <c r="A87" s="1265" t="s">
        <v>4891</v>
      </c>
      <c r="D87" t="s">
        <v>10</v>
      </c>
      <c r="E87" s="267">
        <f>tlInputBusAEmp1HrsSales</f>
        <v>2500</v>
      </c>
      <c r="F87" t="s">
        <v>3859</v>
      </c>
      <c r="G87" s="67">
        <v>2500</v>
      </c>
      <c r="H87" s="72">
        <f>tlInputBusAEmp1HrsSales</f>
        <v>2500</v>
      </c>
      <c r="J87" s="144"/>
      <c r="K87" s="71"/>
      <c r="O87" s="70">
        <v>2500</v>
      </c>
      <c r="P87" s="70">
        <v>2500</v>
      </c>
      <c r="Q87" s="70">
        <v>2500</v>
      </c>
      <c r="R87" s="70">
        <v>2500</v>
      </c>
      <c r="S87" s="70">
        <v>2500</v>
      </c>
    </row>
    <row r="88" spans="1:19" ht="11.25">
      <c r="A88" s="1265" t="s">
        <v>4891</v>
      </c>
      <c r="D88" t="s">
        <v>11</v>
      </c>
      <c r="E88" s="267">
        <f>tlInputBusAEmp1HrsSalesV2</f>
        <v>2200</v>
      </c>
      <c r="F88" t="s">
        <v>2957</v>
      </c>
      <c r="G88" s="67">
        <v>2200</v>
      </c>
      <c r="H88" s="72">
        <f>tlInputBusAEmp1HrsSalesV2</f>
        <v>2200</v>
      </c>
      <c r="J88" s="144"/>
      <c r="K88" s="71"/>
      <c r="O88" s="70">
        <v>2200</v>
      </c>
      <c r="P88" s="70">
        <v>2200</v>
      </c>
      <c r="Q88" s="70">
        <v>2200</v>
      </c>
      <c r="R88" s="70">
        <v>2200</v>
      </c>
      <c r="S88" s="70">
        <v>2200</v>
      </c>
    </row>
    <row r="89" spans="1:19" ht="11.25">
      <c r="A89" s="1265" t="s">
        <v>4891</v>
      </c>
      <c r="D89" t="s">
        <v>12</v>
      </c>
      <c r="E89" s="267">
        <f>tlInputBusAEmp1HrsSalesV3</f>
        <v>3500</v>
      </c>
      <c r="F89" t="s">
        <v>2958</v>
      </c>
      <c r="G89" s="67">
        <v>3500</v>
      </c>
      <c r="H89" s="72">
        <f>tlInputBusAEmp1HrsSalesV3</f>
        <v>3500</v>
      </c>
      <c r="J89" s="144"/>
      <c r="K89" s="71"/>
      <c r="O89" s="70">
        <v>3500</v>
      </c>
      <c r="P89" s="70">
        <v>3500</v>
      </c>
      <c r="Q89" s="70">
        <v>3500</v>
      </c>
      <c r="R89" s="70">
        <v>3500</v>
      </c>
      <c r="S89" s="70">
        <v>3500</v>
      </c>
    </row>
    <row r="90" spans="1:19" ht="11.25">
      <c r="B90" s="2"/>
      <c r="C90" t="s">
        <v>2998</v>
      </c>
      <c r="E90" s="73"/>
      <c r="G90" s="25"/>
      <c r="H90" s="72"/>
      <c r="J90" s="144"/>
      <c r="K90" s="71"/>
      <c r="O90" s="70"/>
      <c r="P90" s="70"/>
      <c r="Q90" s="70"/>
      <c r="R90" s="70"/>
      <c r="S90" s="70"/>
    </row>
    <row r="91" spans="1:19" ht="11.25">
      <c r="A91" s="1265" t="s">
        <v>4891</v>
      </c>
      <c r="B91" s="2"/>
      <c r="D91" t="s">
        <v>10</v>
      </c>
      <c r="E91" s="73" t="str">
        <f>tlInputBusASales2</f>
        <v>Guideline</v>
      </c>
      <c r="F91" s="1503" t="s">
        <v>5658</v>
      </c>
      <c r="G91" s="25" t="s">
        <v>3331</v>
      </c>
      <c r="H91" s="72" t="str">
        <f>tlInputBusASales2</f>
        <v>Guideline</v>
      </c>
      <c r="J91" s="144"/>
      <c r="K91" s="71"/>
      <c r="O91" s="70" t="s">
        <v>3331</v>
      </c>
      <c r="P91" s="70" t="s">
        <v>3331</v>
      </c>
      <c r="Q91" s="70" t="s">
        <v>3331</v>
      </c>
      <c r="R91" s="70" t="s">
        <v>3331</v>
      </c>
      <c r="S91" s="70" t="s">
        <v>3331</v>
      </c>
    </row>
    <row r="92" spans="1:19" ht="11.25">
      <c r="A92" s="1265" t="s">
        <v>4891</v>
      </c>
      <c r="B92" s="2"/>
      <c r="D92" t="s">
        <v>11</v>
      </c>
      <c r="E92" s="73" t="str">
        <f>tlInputBusASales4</f>
        <v>Guideline</v>
      </c>
      <c r="F92" s="26" t="s">
        <v>5659</v>
      </c>
      <c r="G92" s="25" t="s">
        <v>3331</v>
      </c>
      <c r="H92" s="72" t="str">
        <f>tlInputBusASales4</f>
        <v>Guideline</v>
      </c>
      <c r="J92" s="144"/>
      <c r="K92" s="71"/>
      <c r="O92" s="70" t="s">
        <v>3331</v>
      </c>
      <c r="P92" s="70" t="s">
        <v>3331</v>
      </c>
      <c r="Q92" s="70" t="s">
        <v>3331</v>
      </c>
      <c r="R92" s="70" t="s">
        <v>3331</v>
      </c>
      <c r="S92" s="70" t="s">
        <v>3331</v>
      </c>
    </row>
    <row r="93" spans="1:19" ht="11.25">
      <c r="A93" s="1265" t="s">
        <v>4891</v>
      </c>
      <c r="B93" s="2"/>
      <c r="D93" t="s">
        <v>12</v>
      </c>
      <c r="E93" s="73" t="str">
        <f>tlInputBusASales6</f>
        <v>Guideline</v>
      </c>
      <c r="F93" s="26" t="s">
        <v>5660</v>
      </c>
      <c r="G93" s="25" t="s">
        <v>3331</v>
      </c>
      <c r="H93" s="72" t="str">
        <f>tlInputBusASales6</f>
        <v>Guideline</v>
      </c>
      <c r="J93" s="144"/>
      <c r="K93" s="71"/>
      <c r="O93" s="70" t="s">
        <v>3331</v>
      </c>
      <c r="P93" s="70" t="s">
        <v>3331</v>
      </c>
      <c r="Q93" s="70" t="s">
        <v>3331</v>
      </c>
      <c r="R93" s="70" t="s">
        <v>3331</v>
      </c>
      <c r="S93" s="70" t="s">
        <v>3331</v>
      </c>
    </row>
    <row r="94" spans="1:19" ht="11.25">
      <c r="C94" t="s">
        <v>2023</v>
      </c>
      <c r="E94" s="73"/>
      <c r="G94" s="67"/>
      <c r="H94" s="72"/>
      <c r="J94" s="144"/>
      <c r="K94" s="71"/>
      <c r="O94" s="70"/>
      <c r="P94" s="70"/>
      <c r="Q94" s="70"/>
      <c r="R94" s="70"/>
      <c r="S94" s="70"/>
    </row>
    <row r="95" spans="1:19" ht="11.25">
      <c r="A95" s="1265" t="s">
        <v>4891</v>
      </c>
      <c r="C95" t="s">
        <v>4126</v>
      </c>
      <c r="D95" t="s">
        <v>10</v>
      </c>
      <c r="E95" s="267">
        <f>tlInputBusAemp7HrsSales</f>
        <v>2000</v>
      </c>
      <c r="F95" s="26" t="s">
        <v>4127</v>
      </c>
      <c r="G95" s="67">
        <v>2000</v>
      </c>
      <c r="H95" s="72">
        <f>tlInputBusAemp7HrsSales</f>
        <v>2000</v>
      </c>
      <c r="J95" s="144"/>
      <c r="K95" s="71"/>
      <c r="O95" s="70">
        <v>2000</v>
      </c>
      <c r="P95" s="70">
        <v>2000</v>
      </c>
      <c r="Q95" s="70">
        <v>2000</v>
      </c>
      <c r="R95" s="70">
        <v>2000</v>
      </c>
      <c r="S95" s="70">
        <v>2000</v>
      </c>
    </row>
    <row r="96" spans="1:19" ht="11.25">
      <c r="A96" s="1265" t="s">
        <v>4891</v>
      </c>
      <c r="C96" t="s">
        <v>4126</v>
      </c>
      <c r="D96" t="s">
        <v>11</v>
      </c>
      <c r="E96" s="267">
        <f>tlInputBusAemp7HrsSalesV2</f>
        <v>1800</v>
      </c>
      <c r="F96" s="26" t="s">
        <v>4128</v>
      </c>
      <c r="G96" s="67">
        <v>1800</v>
      </c>
      <c r="H96" s="72">
        <f>tlInputBusAemp7HrsSalesV2</f>
        <v>1800</v>
      </c>
      <c r="J96" s="144"/>
      <c r="K96" s="71"/>
      <c r="O96" s="70">
        <v>1800</v>
      </c>
      <c r="P96" s="70">
        <v>1800</v>
      </c>
      <c r="Q96" s="70">
        <v>1800</v>
      </c>
      <c r="R96" s="70">
        <v>1800</v>
      </c>
      <c r="S96" s="70">
        <v>1800</v>
      </c>
    </row>
    <row r="97" spans="1:19" ht="11.25">
      <c r="A97" s="1265" t="s">
        <v>4891</v>
      </c>
      <c r="C97" t="s">
        <v>4126</v>
      </c>
      <c r="D97" t="s">
        <v>12</v>
      </c>
      <c r="E97" s="267">
        <f>tlInputBusAemp7HrsSalesV3</f>
        <v>900</v>
      </c>
      <c r="F97" s="26" t="s">
        <v>4129</v>
      </c>
      <c r="G97" s="67">
        <v>900</v>
      </c>
      <c r="H97" s="72">
        <f>tlInputBusAemp7HrsSalesV3</f>
        <v>900</v>
      </c>
      <c r="J97" s="144"/>
      <c r="K97" s="71"/>
      <c r="O97" s="70">
        <v>900</v>
      </c>
      <c r="P97" s="70">
        <v>900</v>
      </c>
      <c r="Q97" s="70">
        <v>900</v>
      </c>
      <c r="R97" s="70">
        <v>900</v>
      </c>
      <c r="S97" s="70">
        <v>900</v>
      </c>
    </row>
    <row r="98" spans="1:19" ht="11.25">
      <c r="C98" t="s">
        <v>939</v>
      </c>
      <c r="E98" s="267"/>
      <c r="F98" s="26"/>
      <c r="G98" s="67"/>
      <c r="H98" s="72"/>
      <c r="J98" s="144"/>
      <c r="K98" s="71"/>
      <c r="O98" s="70"/>
      <c r="P98" s="70"/>
      <c r="Q98" s="70"/>
      <c r="R98" s="70"/>
      <c r="S98" s="70"/>
    </row>
    <row r="99" spans="1:19" ht="11.25">
      <c r="A99" s="1265" t="s">
        <v>4891</v>
      </c>
      <c r="C99" t="s">
        <v>4126</v>
      </c>
      <c r="D99" t="s">
        <v>10</v>
      </c>
      <c r="E99" s="267">
        <f>tlInputBusAemp8HrsSales</f>
        <v>7000</v>
      </c>
      <c r="F99" s="26" t="s">
        <v>3046</v>
      </c>
      <c r="G99" s="67">
        <v>7000</v>
      </c>
      <c r="H99" s="72">
        <f>tlInputBusAemp8HrsSales</f>
        <v>7000</v>
      </c>
      <c r="J99" s="144"/>
      <c r="K99" s="71"/>
      <c r="O99" s="70">
        <v>7000</v>
      </c>
      <c r="P99" s="70">
        <v>7000</v>
      </c>
      <c r="Q99" s="70">
        <v>7000</v>
      </c>
      <c r="R99" s="70">
        <v>7000</v>
      </c>
      <c r="S99" s="70">
        <v>7000</v>
      </c>
    </row>
    <row r="100" spans="1:19" ht="11.25">
      <c r="A100" s="1265" t="s">
        <v>4891</v>
      </c>
      <c r="C100" t="s">
        <v>4126</v>
      </c>
      <c r="D100" t="s">
        <v>11</v>
      </c>
      <c r="E100" s="267">
        <f>tlInputBusAemp8HrsSalesV2</f>
        <v>8500</v>
      </c>
      <c r="F100" s="26" t="s">
        <v>3047</v>
      </c>
      <c r="G100" s="67">
        <v>8500</v>
      </c>
      <c r="H100" s="72">
        <f>tlInputBusAemp8HrsSalesV2</f>
        <v>8500</v>
      </c>
      <c r="J100" s="144"/>
      <c r="K100" s="71"/>
      <c r="O100" s="70">
        <v>8500</v>
      </c>
      <c r="P100" s="70">
        <v>8500</v>
      </c>
      <c r="Q100" s="70">
        <v>8500</v>
      </c>
      <c r="R100" s="70">
        <v>8500</v>
      </c>
      <c r="S100" s="70">
        <v>8500</v>
      </c>
    </row>
    <row r="101" spans="1:19" ht="11.25">
      <c r="A101" s="1265" t="s">
        <v>4891</v>
      </c>
      <c r="C101" t="s">
        <v>4126</v>
      </c>
      <c r="D101" t="s">
        <v>12</v>
      </c>
      <c r="E101" s="267">
        <f>tlInputBusAemp8HrsSalesV3</f>
        <v>3200</v>
      </c>
      <c r="F101" s="26" t="s">
        <v>4045</v>
      </c>
      <c r="G101" s="67">
        <v>3200</v>
      </c>
      <c r="H101" s="72">
        <f>tlInputBusAemp8HrsSalesV3</f>
        <v>3200</v>
      </c>
      <c r="J101" s="144"/>
      <c r="K101" s="71"/>
      <c r="O101" s="70">
        <v>3200</v>
      </c>
      <c r="P101" s="70">
        <v>3200</v>
      </c>
      <c r="Q101" s="70">
        <v>3200</v>
      </c>
      <c r="R101" s="70">
        <v>3200</v>
      </c>
      <c r="S101" s="70">
        <v>3200</v>
      </c>
    </row>
    <row r="102" spans="1:19" ht="11.25">
      <c r="C102" t="s">
        <v>940</v>
      </c>
      <c r="E102" s="267"/>
      <c r="G102" s="67"/>
      <c r="H102" s="72"/>
      <c r="J102" s="144"/>
      <c r="K102" s="71"/>
      <c r="O102" s="70"/>
      <c r="P102" s="70"/>
      <c r="Q102" s="70"/>
      <c r="R102" s="70"/>
      <c r="S102" s="70"/>
    </row>
    <row r="103" spans="1:19" ht="11.25">
      <c r="A103" s="1265" t="s">
        <v>4891</v>
      </c>
      <c r="C103" t="s">
        <v>4126</v>
      </c>
      <c r="D103" t="s">
        <v>10</v>
      </c>
      <c r="E103" s="267">
        <f>tlInputBusAemp9HrsSales</f>
        <v>16000</v>
      </c>
      <c r="F103" t="s">
        <v>4046</v>
      </c>
      <c r="G103" s="67">
        <v>16000</v>
      </c>
      <c r="H103" s="72">
        <f>tlInputBusAemp9HrsSales</f>
        <v>16000</v>
      </c>
      <c r="J103" s="144"/>
      <c r="K103" s="71"/>
      <c r="O103" s="70">
        <v>16000</v>
      </c>
      <c r="P103" s="70">
        <v>16000</v>
      </c>
      <c r="Q103" s="70">
        <v>16000</v>
      </c>
      <c r="R103" s="70">
        <v>16000</v>
      </c>
      <c r="S103" s="70">
        <v>16000</v>
      </c>
    </row>
    <row r="104" spans="1:19" ht="11.25">
      <c r="A104" s="1265" t="s">
        <v>4891</v>
      </c>
      <c r="C104" t="s">
        <v>4126</v>
      </c>
      <c r="D104" t="s">
        <v>11</v>
      </c>
      <c r="E104" s="267">
        <f>tlInputBusAemp9HrsSalesV2</f>
        <v>25000</v>
      </c>
      <c r="F104" t="s">
        <v>1328</v>
      </c>
      <c r="G104" s="67">
        <v>25000</v>
      </c>
      <c r="H104" s="72">
        <f>tlInputBusAemp9HrsSalesV2</f>
        <v>25000</v>
      </c>
      <c r="J104" s="144"/>
      <c r="K104" s="71"/>
      <c r="O104" s="70">
        <v>25000</v>
      </c>
      <c r="P104" s="70">
        <v>25000</v>
      </c>
      <c r="Q104" s="70">
        <v>25000</v>
      </c>
      <c r="R104" s="70">
        <v>25000</v>
      </c>
      <c r="S104" s="70">
        <v>25000</v>
      </c>
    </row>
    <row r="105" spans="1:19" ht="11.25">
      <c r="A105" s="1265" t="s">
        <v>4891</v>
      </c>
      <c r="C105" t="s">
        <v>4126</v>
      </c>
      <c r="D105" t="s">
        <v>12</v>
      </c>
      <c r="E105" s="267">
        <f>tlInputBusAemp9HrsSalesV3</f>
        <v>4000</v>
      </c>
      <c r="F105" t="s">
        <v>1329</v>
      </c>
      <c r="G105" s="67">
        <v>4000</v>
      </c>
      <c r="H105" s="72">
        <f>tlInputBusAemp9HrsSalesV3</f>
        <v>4000</v>
      </c>
      <c r="J105" s="144"/>
      <c r="K105" s="71"/>
      <c r="O105" s="70">
        <v>4000</v>
      </c>
      <c r="P105" s="70">
        <v>4000</v>
      </c>
      <c r="Q105" s="70">
        <v>4000</v>
      </c>
      <c r="R105" s="70">
        <v>4000</v>
      </c>
      <c r="S105" s="70">
        <v>4000</v>
      </c>
    </row>
    <row r="106" spans="1:19" ht="11.25">
      <c r="E106" s="267"/>
      <c r="G106" s="67"/>
      <c r="H106" s="72"/>
      <c r="J106" s="144"/>
      <c r="K106" s="71"/>
      <c r="O106" s="70"/>
      <c r="P106" s="70"/>
      <c r="Q106" s="70"/>
      <c r="R106" s="70"/>
      <c r="S106" s="70"/>
    </row>
    <row r="107" spans="1:19" ht="11.25">
      <c r="A107" s="1265" t="s">
        <v>4891</v>
      </c>
      <c r="B107" s="2" t="s">
        <v>3673</v>
      </c>
      <c r="E107" s="562">
        <f>tlInputBusABusDevNonPayrollBud</f>
        <v>2000</v>
      </c>
      <c r="F107" s="26" t="s">
        <v>1618</v>
      </c>
      <c r="G107" s="67">
        <v>2000</v>
      </c>
      <c r="H107" s="559">
        <f>tlInputBusABusDevNonPayrollBud</f>
        <v>2000</v>
      </c>
      <c r="J107" s="144"/>
      <c r="K107" s="71"/>
      <c r="O107" s="70">
        <v>2000</v>
      </c>
      <c r="P107" s="70">
        <v>2000</v>
      </c>
      <c r="Q107" s="70">
        <v>2000</v>
      </c>
      <c r="R107" s="70">
        <v>2000</v>
      </c>
      <c r="S107" s="70">
        <v>2000</v>
      </c>
    </row>
    <row r="108" spans="1:19" ht="11.25">
      <c r="E108" s="267"/>
      <c r="G108" s="67"/>
      <c r="H108" s="72"/>
      <c r="J108" s="144"/>
      <c r="K108" s="71"/>
      <c r="O108" s="70"/>
      <c r="P108" s="70"/>
      <c r="Q108" s="70"/>
      <c r="R108" s="70"/>
      <c r="S108" s="70"/>
    </row>
    <row r="109" spans="1:19" ht="11.25">
      <c r="C109" s="2" t="s">
        <v>2151</v>
      </c>
      <c r="E109" s="267"/>
      <c r="G109" s="67"/>
      <c r="H109" s="72"/>
      <c r="J109" s="144"/>
      <c r="K109" s="71"/>
      <c r="O109" s="70"/>
      <c r="P109" s="70"/>
      <c r="Q109" s="70"/>
      <c r="R109" s="70"/>
      <c r="S109" s="70"/>
    </row>
    <row r="110" spans="1:19" ht="11.25">
      <c r="D110" t="s">
        <v>10</v>
      </c>
      <c r="E110" s="267">
        <f>tlInputCompDevBusAV1</f>
        <v>1</v>
      </c>
      <c r="F110" t="s">
        <v>3072</v>
      </c>
      <c r="G110" s="67">
        <v>0</v>
      </c>
      <c r="H110" s="72">
        <f>tlInputCompDevBusAV1</f>
        <v>1</v>
      </c>
      <c r="J110" s="144"/>
      <c r="K110" s="71"/>
      <c r="O110" s="70">
        <v>1</v>
      </c>
      <c r="P110" s="70">
        <v>1</v>
      </c>
      <c r="Q110" s="70">
        <v>1</v>
      </c>
      <c r="R110" s="70">
        <v>1</v>
      </c>
      <c r="S110" s="70">
        <v>1</v>
      </c>
    </row>
    <row r="111" spans="1:19" ht="11.25">
      <c r="D111" t="s">
        <v>11</v>
      </c>
      <c r="E111" s="267">
        <f>tlInputCompDevBusAV2</f>
        <v>2</v>
      </c>
      <c r="F111" t="s">
        <v>3073</v>
      </c>
      <c r="G111" s="67">
        <v>0</v>
      </c>
      <c r="H111" s="72">
        <f>tlInputCompDevBusAV2</f>
        <v>2</v>
      </c>
      <c r="J111" s="144"/>
      <c r="K111" s="71"/>
      <c r="O111" s="70">
        <v>2</v>
      </c>
      <c r="P111" s="70">
        <v>2</v>
      </c>
      <c r="Q111" s="70">
        <v>2</v>
      </c>
      <c r="R111" s="70">
        <v>2</v>
      </c>
      <c r="S111" s="70">
        <v>2</v>
      </c>
    </row>
    <row r="112" spans="1:19" ht="11.25">
      <c r="D112" t="s">
        <v>12</v>
      </c>
      <c r="E112" s="267">
        <f>tlInputCompDevBusAV3</f>
        <v>0</v>
      </c>
      <c r="F112" t="s">
        <v>3074</v>
      </c>
      <c r="G112" s="67">
        <v>0</v>
      </c>
      <c r="H112" s="72">
        <f>tlInputCompDevBusAV3</f>
        <v>0</v>
      </c>
      <c r="J112" s="144"/>
      <c r="K112" s="71"/>
      <c r="O112" s="70">
        <v>0</v>
      </c>
      <c r="P112" s="70">
        <v>0</v>
      </c>
      <c r="Q112" s="70">
        <v>0</v>
      </c>
      <c r="R112" s="70">
        <v>0</v>
      </c>
      <c r="S112" s="70">
        <v>0</v>
      </c>
    </row>
    <row r="113" spans="1:19" ht="11.25">
      <c r="E113" s="267"/>
      <c r="G113" s="67"/>
      <c r="H113" s="72"/>
      <c r="J113" s="144"/>
      <c r="K113" s="71"/>
      <c r="O113" s="70"/>
      <c r="P113" s="70"/>
      <c r="Q113" s="70"/>
      <c r="R113" s="70"/>
      <c r="S113" s="70"/>
    </row>
    <row r="114" spans="1:19" ht="11.25">
      <c r="B114" s="2" t="s">
        <v>4236</v>
      </c>
      <c r="E114" s="266"/>
      <c r="G114" s="67"/>
      <c r="H114" s="72"/>
      <c r="J114" s="144"/>
      <c r="K114" s="71"/>
      <c r="O114" s="70"/>
      <c r="P114" s="70"/>
      <c r="Q114" s="70"/>
      <c r="R114" s="70"/>
      <c r="S114" s="70"/>
    </row>
    <row r="115" spans="1:19" ht="11.25">
      <c r="A115" s="1265" t="s">
        <v>4891</v>
      </c>
      <c r="C115" t="s">
        <v>4605</v>
      </c>
      <c r="E115" s="810">
        <f>tlInputEmp4BusALocalPer</f>
        <v>0</v>
      </c>
      <c r="F115" s="26" t="s">
        <v>4606</v>
      </c>
      <c r="G115" s="812">
        <v>0</v>
      </c>
      <c r="H115" s="811">
        <f>tlInputEmp4BusALocalPer</f>
        <v>0</v>
      </c>
      <c r="J115" s="144"/>
      <c r="K115" s="71"/>
      <c r="O115" s="70">
        <v>0</v>
      </c>
      <c r="P115" s="70">
        <v>0</v>
      </c>
      <c r="Q115" s="70">
        <v>0</v>
      </c>
      <c r="R115" s="70">
        <v>0</v>
      </c>
      <c r="S115" s="70">
        <v>0</v>
      </c>
    </row>
    <row r="116" spans="1:19" ht="11.25">
      <c r="A116" s="1265" t="s">
        <v>4891</v>
      </c>
      <c r="C116" t="s">
        <v>3084</v>
      </c>
      <c r="E116" s="810">
        <f>tlInputEmp3BusALocalPer</f>
        <v>0</v>
      </c>
      <c r="F116" s="26" t="s">
        <v>4607</v>
      </c>
      <c r="G116" s="812">
        <v>0</v>
      </c>
      <c r="H116" s="811">
        <f>tlInputEmp3BusALocalPer</f>
        <v>0</v>
      </c>
      <c r="J116" s="144"/>
      <c r="K116" s="71"/>
      <c r="O116" s="70">
        <v>0</v>
      </c>
      <c r="P116" s="70">
        <v>0</v>
      </c>
      <c r="Q116" s="70">
        <v>0</v>
      </c>
      <c r="R116" s="70">
        <v>0</v>
      </c>
      <c r="S116" s="70">
        <v>0</v>
      </c>
    </row>
    <row r="117" spans="1:19" ht="11.25">
      <c r="A117" s="1265" t="s">
        <v>4891</v>
      </c>
      <c r="C117" t="s">
        <v>3085</v>
      </c>
      <c r="E117" s="810">
        <f>tlInputEmp2BusALocalPer</f>
        <v>0</v>
      </c>
      <c r="F117" s="26" t="s">
        <v>4608</v>
      </c>
      <c r="G117" s="812">
        <v>0</v>
      </c>
      <c r="H117" s="811">
        <f>tlInputEmp2BusALocalPer</f>
        <v>0</v>
      </c>
      <c r="J117" s="144"/>
      <c r="K117" s="71"/>
      <c r="O117" s="70">
        <v>0</v>
      </c>
      <c r="P117" s="70">
        <v>0</v>
      </c>
      <c r="Q117" s="70">
        <v>0</v>
      </c>
      <c r="R117" s="70">
        <v>0</v>
      </c>
      <c r="S117" s="70">
        <v>0</v>
      </c>
    </row>
    <row r="118" spans="1:19" ht="11.25">
      <c r="A118" s="1265" t="s">
        <v>4891</v>
      </c>
      <c r="C118" t="s">
        <v>3086</v>
      </c>
      <c r="E118" s="810">
        <f>tlInputEmp1BusALocalPer</f>
        <v>0</v>
      </c>
      <c r="F118" s="26" t="s">
        <v>4609</v>
      </c>
      <c r="G118" s="812">
        <v>0</v>
      </c>
      <c r="H118" s="811">
        <f>tlInputEmp1BusALocalPer</f>
        <v>0</v>
      </c>
      <c r="J118" s="144"/>
      <c r="K118" s="71"/>
      <c r="O118" s="70">
        <v>0</v>
      </c>
      <c r="P118" s="70">
        <v>0</v>
      </c>
      <c r="Q118" s="70">
        <v>0</v>
      </c>
      <c r="R118" s="70">
        <v>0</v>
      </c>
      <c r="S118" s="70">
        <v>0</v>
      </c>
    </row>
    <row r="119" spans="1:19" ht="11.25">
      <c r="E119" s="73"/>
      <c r="G119" s="67"/>
      <c r="H119" s="72"/>
      <c r="J119" s="144"/>
      <c r="K119" s="71"/>
      <c r="O119" s="70"/>
      <c r="P119" s="70"/>
      <c r="Q119" s="70"/>
      <c r="R119" s="70"/>
      <c r="S119" s="70"/>
    </row>
    <row r="120" spans="1:19" ht="11.25">
      <c r="A120" s="2" t="s">
        <v>2810</v>
      </c>
      <c r="E120" s="73"/>
      <c r="G120" s="67"/>
      <c r="H120" s="72"/>
      <c r="J120" s="144"/>
      <c r="K120" s="71"/>
      <c r="O120" s="70"/>
      <c r="P120" s="70"/>
      <c r="Q120" s="70"/>
      <c r="R120" s="70"/>
      <c r="S120" s="70"/>
    </row>
    <row r="121" spans="1:19" ht="11.25">
      <c r="A121" s="1265" t="s">
        <v>4891</v>
      </c>
      <c r="B121" s="2"/>
      <c r="C121" t="s">
        <v>2202</v>
      </c>
      <c r="E121" s="73" t="b">
        <f>tlInputBid1Check</f>
        <v>1</v>
      </c>
      <c r="F121" s="26" t="s">
        <v>5661</v>
      </c>
      <c r="G121" s="67" t="b">
        <v>1</v>
      </c>
      <c r="H121" s="72" t="b">
        <f>tlInputBid1Check</f>
        <v>1</v>
      </c>
      <c r="J121" s="144"/>
      <c r="K121" s="71"/>
      <c r="O121" s="70" t="b">
        <v>1</v>
      </c>
      <c r="P121" s="70" t="b">
        <v>1</v>
      </c>
      <c r="Q121" s="70" t="b">
        <v>1</v>
      </c>
      <c r="R121" s="70" t="b">
        <v>1</v>
      </c>
      <c r="S121" s="70" t="b">
        <v>1</v>
      </c>
    </row>
    <row r="122" spans="1:19" ht="11.25">
      <c r="A122" s="1265" t="s">
        <v>4891</v>
      </c>
      <c r="B122" s="2"/>
      <c r="C122" t="s">
        <v>2203</v>
      </c>
      <c r="E122" s="73" t="b">
        <f>tlInputBid2Check</f>
        <v>0</v>
      </c>
      <c r="F122" s="26" t="s">
        <v>5662</v>
      </c>
      <c r="G122" s="67" t="b">
        <v>0</v>
      </c>
      <c r="H122" s="72" t="b">
        <f>tlInputBid2Check</f>
        <v>0</v>
      </c>
      <c r="J122" s="144"/>
      <c r="K122" s="71"/>
      <c r="O122" s="70" t="b">
        <v>0</v>
      </c>
      <c r="P122" s="70" t="b">
        <v>0</v>
      </c>
      <c r="Q122" s="70" t="b">
        <v>0</v>
      </c>
      <c r="R122" s="70" t="b">
        <v>0</v>
      </c>
      <c r="S122" s="70" t="b">
        <v>0</v>
      </c>
    </row>
    <row r="123" spans="1:19" ht="11.25">
      <c r="A123" s="1265" t="s">
        <v>4891</v>
      </c>
      <c r="B123" s="2"/>
      <c r="C123" t="s">
        <v>2204</v>
      </c>
      <c r="E123" s="73" t="b">
        <f>tlInputBid3Check</f>
        <v>0</v>
      </c>
      <c r="F123" s="26" t="s">
        <v>5663</v>
      </c>
      <c r="G123" s="67" t="b">
        <v>0</v>
      </c>
      <c r="H123" s="72" t="b">
        <f>tlInputBid3Check</f>
        <v>0</v>
      </c>
      <c r="J123" s="144"/>
      <c r="K123" s="71"/>
      <c r="O123" s="70" t="b">
        <v>0</v>
      </c>
      <c r="P123" s="70" t="b">
        <v>0</v>
      </c>
      <c r="Q123" s="70" t="b">
        <v>0</v>
      </c>
      <c r="R123" s="70" t="b">
        <v>0</v>
      </c>
      <c r="S123" s="70" t="b">
        <v>0</v>
      </c>
    </row>
    <row r="124" spans="1:19" ht="11.25">
      <c r="A124" s="1265" t="s">
        <v>4891</v>
      </c>
      <c r="B124" s="2"/>
      <c r="C124" t="s">
        <v>2205</v>
      </c>
      <c r="E124" s="73" t="b">
        <f>tlInputBid4Check</f>
        <v>0</v>
      </c>
      <c r="F124" s="26" t="s">
        <v>5664</v>
      </c>
      <c r="G124" s="67" t="b">
        <v>0</v>
      </c>
      <c r="H124" s="72" t="b">
        <f>tlInputBid4Check</f>
        <v>0</v>
      </c>
      <c r="J124" s="144"/>
      <c r="K124" s="71"/>
      <c r="O124" s="70" t="b">
        <v>0</v>
      </c>
      <c r="P124" s="70" t="b">
        <v>0</v>
      </c>
      <c r="Q124" s="70" t="b">
        <v>0</v>
      </c>
      <c r="R124" s="70" t="b">
        <v>0</v>
      </c>
      <c r="S124" s="70" t="b">
        <v>0</v>
      </c>
    </row>
    <row r="125" spans="1:19" ht="11.25">
      <c r="A125" s="1265" t="s">
        <v>4891</v>
      </c>
      <c r="B125" s="2"/>
      <c r="C125" t="s">
        <v>2206</v>
      </c>
      <c r="E125" s="73" t="b">
        <f>tlInputBid5Check</f>
        <v>0</v>
      </c>
      <c r="F125" s="26" t="s">
        <v>5665</v>
      </c>
      <c r="G125" s="67" t="b">
        <v>0</v>
      </c>
      <c r="H125" s="72" t="b">
        <f>tlInputBid5Check</f>
        <v>0</v>
      </c>
      <c r="J125" s="144"/>
      <c r="K125" s="71"/>
      <c r="O125" s="70" t="b">
        <v>0</v>
      </c>
      <c r="P125" s="70" t="b">
        <v>0</v>
      </c>
      <c r="Q125" s="70" t="b">
        <v>0</v>
      </c>
      <c r="R125" s="70" t="b">
        <v>0</v>
      </c>
      <c r="S125" s="70" t="b">
        <v>0</v>
      </c>
    </row>
    <row r="126" spans="1:19" ht="11.25">
      <c r="A126" s="1265" t="s">
        <v>4891</v>
      </c>
      <c r="B126" s="2"/>
      <c r="C126" t="s">
        <v>2207</v>
      </c>
      <c r="E126" s="73" t="b">
        <f>tlInputBid6Check</f>
        <v>0</v>
      </c>
      <c r="F126" s="26" t="s">
        <v>5666</v>
      </c>
      <c r="G126" s="67" t="b">
        <v>0</v>
      </c>
      <c r="H126" s="72" t="b">
        <f>tlInputBid6Check</f>
        <v>0</v>
      </c>
      <c r="J126" s="144"/>
      <c r="K126" s="71"/>
      <c r="O126" s="70" t="b">
        <v>0</v>
      </c>
      <c r="P126" s="70" t="b">
        <v>0</v>
      </c>
      <c r="Q126" s="70" t="b">
        <v>0</v>
      </c>
      <c r="R126" s="70" t="b">
        <v>0</v>
      </c>
      <c r="S126" s="70" t="b">
        <v>0</v>
      </c>
    </row>
    <row r="127" spans="1:19" ht="11.25">
      <c r="A127" s="1265" t="s">
        <v>4891</v>
      </c>
      <c r="B127" s="2"/>
      <c r="C127" t="s">
        <v>2208</v>
      </c>
      <c r="E127" s="73" t="b">
        <f>tlInputBid7Check</f>
        <v>0</v>
      </c>
      <c r="F127" s="26" t="s">
        <v>5667</v>
      </c>
      <c r="G127" s="67" t="b">
        <v>0</v>
      </c>
      <c r="H127" s="72" t="b">
        <f>tlInputBid7Check</f>
        <v>0</v>
      </c>
      <c r="J127" s="144"/>
      <c r="K127" s="71"/>
      <c r="O127" s="70" t="b">
        <v>0</v>
      </c>
      <c r="P127" s="70" t="b">
        <v>0</v>
      </c>
      <c r="Q127" s="70" t="b">
        <v>0</v>
      </c>
      <c r="R127" s="70" t="b">
        <v>0</v>
      </c>
      <c r="S127" s="70" t="b">
        <v>0</v>
      </c>
    </row>
    <row r="128" spans="1:19" ht="11.25">
      <c r="A128" s="1265" t="s">
        <v>4891</v>
      </c>
      <c r="B128" s="2"/>
      <c r="C128" t="s">
        <v>2209</v>
      </c>
      <c r="E128" s="73" t="b">
        <f>tlInputBid8Check</f>
        <v>0</v>
      </c>
      <c r="F128" s="26" t="s">
        <v>5668</v>
      </c>
      <c r="G128" s="67" t="b">
        <v>0</v>
      </c>
      <c r="H128" s="72" t="b">
        <f>tlInputBid8Check</f>
        <v>0</v>
      </c>
      <c r="J128" s="144"/>
      <c r="K128" s="71"/>
      <c r="O128" s="70" t="b">
        <v>0</v>
      </c>
      <c r="P128" s="70" t="b">
        <v>0</v>
      </c>
      <c r="Q128" s="70" t="b">
        <v>0</v>
      </c>
      <c r="R128" s="70" t="b">
        <v>0</v>
      </c>
      <c r="S128" s="70" t="b">
        <v>0</v>
      </c>
    </row>
    <row r="129" spans="1:19" ht="11.25">
      <c r="A129" s="1265" t="s">
        <v>4891</v>
      </c>
      <c r="B129" s="2"/>
      <c r="C129" t="s">
        <v>2210</v>
      </c>
      <c r="E129" s="73" t="b">
        <f>tlInputBid9Check</f>
        <v>0</v>
      </c>
      <c r="F129" s="26" t="s">
        <v>5669</v>
      </c>
      <c r="G129" s="67" t="b">
        <v>0</v>
      </c>
      <c r="H129" s="72" t="b">
        <f>tlInputBid9Check</f>
        <v>0</v>
      </c>
      <c r="J129" s="144"/>
      <c r="K129" s="71"/>
      <c r="O129" s="70" t="b">
        <v>0</v>
      </c>
      <c r="P129" s="70" t="b">
        <v>0</v>
      </c>
      <c r="Q129" s="70" t="b">
        <v>0</v>
      </c>
      <c r="R129" s="70" t="b">
        <v>0</v>
      </c>
      <c r="S129" s="70" t="b">
        <v>0</v>
      </c>
    </row>
    <row r="130" spans="1:19" ht="11.25">
      <c r="A130" s="1265" t="s">
        <v>4891</v>
      </c>
      <c r="C130" t="s">
        <v>547</v>
      </c>
      <c r="E130" s="705">
        <f>tlInputClientPctBid1</f>
        <v>1</v>
      </c>
      <c r="F130" s="26" t="s">
        <v>5670</v>
      </c>
      <c r="G130" s="142">
        <v>1</v>
      </c>
      <c r="H130" s="706">
        <f>tlInputClientPctBid1</f>
        <v>1</v>
      </c>
      <c r="J130" s="144"/>
      <c r="K130" s="71"/>
      <c r="O130" s="70">
        <v>1</v>
      </c>
      <c r="P130" s="70">
        <v>1</v>
      </c>
      <c r="Q130" s="70">
        <v>1</v>
      </c>
      <c r="R130" s="70">
        <v>1</v>
      </c>
      <c r="S130" s="70">
        <v>1</v>
      </c>
    </row>
    <row r="131" spans="1:19" ht="11.25">
      <c r="A131" s="1265" t="s">
        <v>4891</v>
      </c>
      <c r="C131" t="s">
        <v>548</v>
      </c>
      <c r="E131" s="705">
        <f>tlInputClientPctBid2</f>
        <v>1</v>
      </c>
      <c r="F131" s="26" t="s">
        <v>5671</v>
      </c>
      <c r="G131" s="142">
        <v>1</v>
      </c>
      <c r="H131" s="706">
        <f>tlInputClientPctBid2</f>
        <v>1</v>
      </c>
      <c r="J131" s="144"/>
      <c r="K131" s="71"/>
      <c r="O131" s="70">
        <v>1</v>
      </c>
      <c r="P131" s="70">
        <v>1</v>
      </c>
      <c r="Q131" s="70">
        <v>1</v>
      </c>
      <c r="R131" s="70">
        <v>1</v>
      </c>
      <c r="S131" s="70">
        <v>1</v>
      </c>
    </row>
    <row r="132" spans="1:19" ht="11.25">
      <c r="A132" s="1265" t="s">
        <v>4891</v>
      </c>
      <c r="C132" t="s">
        <v>549</v>
      </c>
      <c r="E132" s="705">
        <f>tlInputClientPctBid3</f>
        <v>1</v>
      </c>
      <c r="F132" s="26" t="s">
        <v>5672</v>
      </c>
      <c r="G132" s="142">
        <v>1</v>
      </c>
      <c r="H132" s="706">
        <f>tlInputClientPctBid3</f>
        <v>1</v>
      </c>
      <c r="J132" s="144"/>
      <c r="K132" s="71"/>
      <c r="O132" s="70">
        <v>1</v>
      </c>
      <c r="P132" s="70">
        <v>1</v>
      </c>
      <c r="Q132" s="70">
        <v>1</v>
      </c>
      <c r="R132" s="70">
        <v>1</v>
      </c>
      <c r="S132" s="70">
        <v>1</v>
      </c>
    </row>
    <row r="133" spans="1:19" ht="11.25">
      <c r="A133" s="1265" t="s">
        <v>4891</v>
      </c>
      <c r="C133" t="s">
        <v>550</v>
      </c>
      <c r="E133" s="705">
        <f>tlInputClientPctBid4</f>
        <v>1</v>
      </c>
      <c r="F133" s="26" t="s">
        <v>5673</v>
      </c>
      <c r="G133" s="142">
        <v>1</v>
      </c>
      <c r="H133" s="706">
        <f>tlInputClientPctBid4</f>
        <v>1</v>
      </c>
      <c r="J133" s="144"/>
      <c r="K133" s="71"/>
      <c r="O133" s="70">
        <v>1</v>
      </c>
      <c r="P133" s="70">
        <v>1</v>
      </c>
      <c r="Q133" s="70">
        <v>1</v>
      </c>
      <c r="R133" s="70">
        <v>1</v>
      </c>
      <c r="S133" s="70">
        <v>1</v>
      </c>
    </row>
    <row r="134" spans="1:19" ht="11.25">
      <c r="A134" s="1265" t="s">
        <v>4891</v>
      </c>
      <c r="C134" t="s">
        <v>551</v>
      </c>
      <c r="E134" s="705">
        <f>tlInputClientPctBid5</f>
        <v>1</v>
      </c>
      <c r="F134" s="26" t="s">
        <v>5674</v>
      </c>
      <c r="G134" s="142">
        <v>1</v>
      </c>
      <c r="H134" s="706">
        <f>tlInputClientPctBid5</f>
        <v>1</v>
      </c>
      <c r="J134" s="144"/>
      <c r="K134" s="71"/>
      <c r="O134" s="70">
        <v>1</v>
      </c>
      <c r="P134" s="70">
        <v>1</v>
      </c>
      <c r="Q134" s="70">
        <v>1</v>
      </c>
      <c r="R134" s="70">
        <v>1</v>
      </c>
      <c r="S134" s="70">
        <v>1</v>
      </c>
    </row>
    <row r="135" spans="1:19" ht="11.25">
      <c r="A135" s="1265" t="s">
        <v>4891</v>
      </c>
      <c r="C135" t="s">
        <v>552</v>
      </c>
      <c r="E135" s="705">
        <f>tlInputClientPctBid6</f>
        <v>1</v>
      </c>
      <c r="F135" s="26" t="s">
        <v>5675</v>
      </c>
      <c r="G135" s="142">
        <v>1</v>
      </c>
      <c r="H135" s="706">
        <f>tlInputClientPctBid6</f>
        <v>1</v>
      </c>
      <c r="J135" s="144"/>
      <c r="K135" s="71"/>
      <c r="O135" s="70">
        <v>1</v>
      </c>
      <c r="P135" s="70">
        <v>1</v>
      </c>
      <c r="Q135" s="70">
        <v>1</v>
      </c>
      <c r="R135" s="70">
        <v>1</v>
      </c>
      <c r="S135" s="70">
        <v>1</v>
      </c>
    </row>
    <row r="136" spans="1:19" ht="11.25">
      <c r="A136" s="1265" t="s">
        <v>4891</v>
      </c>
      <c r="C136" t="s">
        <v>553</v>
      </c>
      <c r="E136" s="705">
        <f>tlInputClientPctBid7</f>
        <v>1</v>
      </c>
      <c r="F136" s="26" t="s">
        <v>5676</v>
      </c>
      <c r="G136" s="142">
        <v>1</v>
      </c>
      <c r="H136" s="706">
        <f>tlInputClientPctBid7</f>
        <v>1</v>
      </c>
      <c r="J136" s="144"/>
      <c r="K136" s="71"/>
      <c r="O136" s="70">
        <v>1</v>
      </c>
      <c r="P136" s="70">
        <v>1</v>
      </c>
      <c r="Q136" s="70">
        <v>1</v>
      </c>
      <c r="R136" s="70">
        <v>1</v>
      </c>
      <c r="S136" s="70">
        <v>1</v>
      </c>
    </row>
    <row r="137" spans="1:19" ht="11.25">
      <c r="A137" s="1265" t="s">
        <v>4891</v>
      </c>
      <c r="C137" t="s">
        <v>554</v>
      </c>
      <c r="E137" s="705">
        <f>tlInputClientPctBid8</f>
        <v>1</v>
      </c>
      <c r="F137" s="26" t="s">
        <v>5677</v>
      </c>
      <c r="G137" s="142">
        <v>1</v>
      </c>
      <c r="H137" s="706">
        <f>tlInputClientPctBid8</f>
        <v>1</v>
      </c>
      <c r="J137" s="144"/>
      <c r="K137" s="71"/>
      <c r="O137" s="70">
        <v>1</v>
      </c>
      <c r="P137" s="70">
        <v>1</v>
      </c>
      <c r="Q137" s="70">
        <v>1</v>
      </c>
      <c r="R137" s="70">
        <v>1</v>
      </c>
      <c r="S137" s="70">
        <v>1</v>
      </c>
    </row>
    <row r="138" spans="1:19" ht="11.25">
      <c r="A138" s="1265" t="s">
        <v>4891</v>
      </c>
      <c r="C138" t="s">
        <v>555</v>
      </c>
      <c r="E138" s="705">
        <f>tlInputClientPctBid9</f>
        <v>1</v>
      </c>
      <c r="F138" s="26" t="s">
        <v>5678</v>
      </c>
      <c r="G138" s="142">
        <v>1</v>
      </c>
      <c r="H138" s="706">
        <f>tlInputClientPctBid9</f>
        <v>1</v>
      </c>
      <c r="J138" s="144"/>
      <c r="K138" s="71"/>
      <c r="O138" s="70">
        <v>1</v>
      </c>
      <c r="P138" s="70">
        <v>1</v>
      </c>
      <c r="Q138" s="70">
        <v>1</v>
      </c>
      <c r="R138" s="70">
        <v>1</v>
      </c>
      <c r="S138" s="70">
        <v>1</v>
      </c>
    </row>
    <row r="139" spans="1:19" ht="11.25">
      <c r="A139" s="1265" t="s">
        <v>4891</v>
      </c>
      <c r="C139" t="s">
        <v>2211</v>
      </c>
      <c r="E139" s="273">
        <f>tlInputBid1Price</f>
        <v>0</v>
      </c>
      <c r="F139" s="26" t="s">
        <v>2769</v>
      </c>
      <c r="G139" s="67">
        <v>0</v>
      </c>
      <c r="H139" s="72">
        <f>tlInputBid1Price</f>
        <v>0</v>
      </c>
      <c r="J139" s="144"/>
      <c r="K139" s="71"/>
      <c r="O139" s="70">
        <v>0</v>
      </c>
      <c r="P139" s="70">
        <v>0</v>
      </c>
      <c r="Q139" s="70">
        <v>0</v>
      </c>
      <c r="R139" s="70">
        <v>0</v>
      </c>
      <c r="S139" s="70">
        <v>0</v>
      </c>
    </row>
    <row r="140" spans="1:19" ht="11.25">
      <c r="A140" s="1265" t="s">
        <v>4891</v>
      </c>
      <c r="C140" t="s">
        <v>2212</v>
      </c>
      <c r="E140" s="273">
        <f>tlInputBid2Price</f>
        <v>0</v>
      </c>
      <c r="F140" s="26" t="s">
        <v>2853</v>
      </c>
      <c r="G140" s="67">
        <v>0</v>
      </c>
      <c r="H140" s="72">
        <f>tlInputBid2Price</f>
        <v>0</v>
      </c>
      <c r="J140" s="144"/>
      <c r="K140" s="71"/>
      <c r="O140" s="70">
        <v>0</v>
      </c>
      <c r="P140" s="70">
        <v>0</v>
      </c>
      <c r="Q140" s="70">
        <v>0</v>
      </c>
      <c r="R140" s="70">
        <v>0</v>
      </c>
      <c r="S140" s="70">
        <v>0</v>
      </c>
    </row>
    <row r="141" spans="1:19" ht="11.25">
      <c r="A141" s="1265" t="s">
        <v>4891</v>
      </c>
      <c r="C141" t="s">
        <v>3115</v>
      </c>
      <c r="E141" s="273">
        <f>tlInputBid3Price</f>
        <v>0</v>
      </c>
      <c r="F141" s="26" t="s">
        <v>3703</v>
      </c>
      <c r="G141" s="67">
        <v>0</v>
      </c>
      <c r="H141" s="72">
        <f>tlInputBid3Price</f>
        <v>0</v>
      </c>
      <c r="J141" s="144"/>
      <c r="K141" s="71"/>
      <c r="O141" s="70">
        <v>0</v>
      </c>
      <c r="P141" s="70">
        <v>0</v>
      </c>
      <c r="Q141" s="70">
        <v>0</v>
      </c>
      <c r="R141" s="70">
        <v>0</v>
      </c>
      <c r="S141" s="70">
        <v>0</v>
      </c>
    </row>
    <row r="142" spans="1:19" ht="11.25">
      <c r="A142" s="1265" t="s">
        <v>4891</v>
      </c>
      <c r="C142" t="s">
        <v>3116</v>
      </c>
      <c r="E142" s="273">
        <f>tlInputBid4Price</f>
        <v>0</v>
      </c>
      <c r="F142" s="26" t="s">
        <v>2428</v>
      </c>
      <c r="G142" s="67">
        <v>0</v>
      </c>
      <c r="H142" s="72">
        <f>tlInputBid4Price</f>
        <v>0</v>
      </c>
      <c r="J142" s="144"/>
      <c r="K142" s="71"/>
      <c r="O142" s="70">
        <v>0</v>
      </c>
      <c r="P142" s="70">
        <v>0</v>
      </c>
      <c r="Q142" s="70">
        <v>0</v>
      </c>
      <c r="R142" s="70">
        <v>0</v>
      </c>
      <c r="S142" s="70">
        <v>0</v>
      </c>
    </row>
    <row r="143" spans="1:19" ht="11.25">
      <c r="A143" s="1265" t="s">
        <v>4891</v>
      </c>
      <c r="C143" t="s">
        <v>3117</v>
      </c>
      <c r="E143" s="273">
        <f>tlInputBid5Price</f>
        <v>0</v>
      </c>
      <c r="F143" s="26" t="s">
        <v>397</v>
      </c>
      <c r="G143" s="67">
        <v>0</v>
      </c>
      <c r="H143" s="72">
        <f>tlInputBid5Price</f>
        <v>0</v>
      </c>
      <c r="J143" s="144"/>
      <c r="K143" s="71"/>
      <c r="O143" s="70">
        <v>0</v>
      </c>
      <c r="P143" s="70">
        <v>0</v>
      </c>
      <c r="Q143" s="70">
        <v>0</v>
      </c>
      <c r="R143" s="70">
        <v>0</v>
      </c>
      <c r="S143" s="70">
        <v>0</v>
      </c>
    </row>
    <row r="144" spans="1:19" ht="11.25">
      <c r="A144" s="1265" t="s">
        <v>4891</v>
      </c>
      <c r="C144" t="s">
        <v>3118</v>
      </c>
      <c r="E144" s="273">
        <f>tlInputBid6Price</f>
        <v>0</v>
      </c>
      <c r="F144" s="26" t="s">
        <v>2377</v>
      </c>
      <c r="G144" s="67">
        <v>0</v>
      </c>
      <c r="H144" s="72">
        <f>tlInputBid6Price</f>
        <v>0</v>
      </c>
      <c r="J144" s="144"/>
      <c r="K144" s="71"/>
      <c r="O144" s="70">
        <v>0</v>
      </c>
      <c r="P144" s="70">
        <v>0</v>
      </c>
      <c r="Q144" s="70">
        <v>0</v>
      </c>
      <c r="R144" s="70">
        <v>0</v>
      </c>
      <c r="S144" s="70">
        <v>0</v>
      </c>
    </row>
    <row r="145" spans="1:19" ht="11.25">
      <c r="A145" s="1265" t="s">
        <v>4891</v>
      </c>
      <c r="C145" t="s">
        <v>3119</v>
      </c>
      <c r="E145" s="273">
        <f>tlInputBid7Price</f>
        <v>0</v>
      </c>
      <c r="F145" s="26" t="s">
        <v>2381</v>
      </c>
      <c r="G145" s="67">
        <v>0</v>
      </c>
      <c r="H145" s="72">
        <f>tlInputBid7Price</f>
        <v>0</v>
      </c>
      <c r="J145" s="144"/>
      <c r="K145" s="71"/>
      <c r="O145" s="70">
        <v>0</v>
      </c>
      <c r="P145" s="70">
        <v>0</v>
      </c>
      <c r="Q145" s="70">
        <v>0</v>
      </c>
      <c r="R145" s="70">
        <v>0</v>
      </c>
      <c r="S145" s="70">
        <v>0</v>
      </c>
    </row>
    <row r="146" spans="1:19" ht="11.25">
      <c r="A146" s="1265" t="s">
        <v>4891</v>
      </c>
      <c r="C146" t="s">
        <v>3120</v>
      </c>
      <c r="E146" s="273">
        <f>tlInputBid8Price</f>
        <v>0</v>
      </c>
      <c r="F146" s="26" t="s">
        <v>2385</v>
      </c>
      <c r="G146" s="67">
        <v>0</v>
      </c>
      <c r="H146" s="72">
        <f>tlInputBid8Price</f>
        <v>0</v>
      </c>
      <c r="J146" s="144"/>
      <c r="K146" s="71"/>
      <c r="O146" s="70">
        <v>0</v>
      </c>
      <c r="P146" s="70">
        <v>0</v>
      </c>
      <c r="Q146" s="70">
        <v>0</v>
      </c>
      <c r="R146" s="70">
        <v>0</v>
      </c>
      <c r="S146" s="70">
        <v>0</v>
      </c>
    </row>
    <row r="147" spans="1:19" ht="11.25">
      <c r="A147" s="1265" t="s">
        <v>4891</v>
      </c>
      <c r="C147" t="s">
        <v>226</v>
      </c>
      <c r="E147" s="273">
        <f>tlInputBid9Price</f>
        <v>0</v>
      </c>
      <c r="F147" s="26" t="s">
        <v>2389</v>
      </c>
      <c r="G147" s="67">
        <v>0</v>
      </c>
      <c r="H147" s="72">
        <f>tlInputBid9Price</f>
        <v>0</v>
      </c>
      <c r="J147" s="144"/>
      <c r="K147" s="71"/>
      <c r="O147" s="70">
        <v>0</v>
      </c>
      <c r="P147" s="70">
        <v>0</v>
      </c>
      <c r="Q147" s="70">
        <v>0</v>
      </c>
      <c r="R147" s="70">
        <v>0</v>
      </c>
      <c r="S147" s="70">
        <v>0</v>
      </c>
    </row>
    <row r="148" spans="1:19" ht="11.25">
      <c r="A148" s="1265" t="s">
        <v>4891</v>
      </c>
      <c r="C148" t="s">
        <v>1463</v>
      </c>
      <c r="E148" s="273">
        <f>tlInputClientIntCostBid1</f>
        <v>450000</v>
      </c>
      <c r="F148" t="s">
        <v>1454</v>
      </c>
      <c r="G148" s="67">
        <v>450000</v>
      </c>
      <c r="H148" s="72">
        <f>tlInputClientIntCostBid1</f>
        <v>450000</v>
      </c>
      <c r="J148" s="144"/>
      <c r="K148" s="71"/>
      <c r="O148" s="70">
        <v>450000</v>
      </c>
      <c r="P148" s="70">
        <v>450000</v>
      </c>
      <c r="Q148" s="70">
        <v>450000</v>
      </c>
      <c r="R148" s="70">
        <v>450000</v>
      </c>
      <c r="S148" s="70">
        <v>450000</v>
      </c>
    </row>
    <row r="149" spans="1:19" ht="11.25">
      <c r="A149" s="1265" t="s">
        <v>4891</v>
      </c>
      <c r="C149" t="s">
        <v>1464</v>
      </c>
      <c r="E149" s="273">
        <f>tlInputClientIntCostBid2</f>
        <v>900000</v>
      </c>
      <c r="F149" t="s">
        <v>1455</v>
      </c>
      <c r="G149" s="67">
        <v>900000</v>
      </c>
      <c r="H149" s="72">
        <f>tlInputClientIntCostBid2</f>
        <v>900000</v>
      </c>
      <c r="J149" s="144"/>
      <c r="K149" s="71"/>
      <c r="O149" s="70">
        <v>900000</v>
      </c>
      <c r="P149" s="70">
        <v>900000</v>
      </c>
      <c r="Q149" s="70">
        <v>900000</v>
      </c>
      <c r="R149" s="70">
        <v>900000</v>
      </c>
      <c r="S149" s="70">
        <v>900000</v>
      </c>
    </row>
    <row r="150" spans="1:19" ht="11.25">
      <c r="A150" s="1265" t="s">
        <v>4891</v>
      </c>
      <c r="C150" t="s">
        <v>1465</v>
      </c>
      <c r="E150" s="273">
        <f>tlInputClientIntCostBid3</f>
        <v>250000</v>
      </c>
      <c r="F150" t="s">
        <v>1456</v>
      </c>
      <c r="G150" s="67">
        <v>250000</v>
      </c>
      <c r="H150" s="72">
        <f>tlInputClientIntCostBid3</f>
        <v>250000</v>
      </c>
      <c r="J150" s="144"/>
      <c r="K150" s="71"/>
      <c r="O150" s="70">
        <v>250000</v>
      </c>
      <c r="P150" s="70">
        <v>250000</v>
      </c>
      <c r="Q150" s="70">
        <v>250000</v>
      </c>
      <c r="R150" s="70">
        <v>250000</v>
      </c>
      <c r="S150" s="70">
        <v>250000</v>
      </c>
    </row>
    <row r="151" spans="1:19" ht="11.25">
      <c r="A151" s="1265" t="s">
        <v>4891</v>
      </c>
      <c r="C151" t="s">
        <v>1466</v>
      </c>
      <c r="E151" s="273">
        <f>tlInputClientIntCostBid4</f>
        <v>400000</v>
      </c>
      <c r="F151" t="s">
        <v>1457</v>
      </c>
      <c r="G151" s="67">
        <v>400000</v>
      </c>
      <c r="H151" s="72">
        <f>tlInputClientIntCostBid4</f>
        <v>400000</v>
      </c>
      <c r="J151" s="144"/>
      <c r="K151" s="71"/>
      <c r="O151" s="70">
        <v>400000</v>
      </c>
      <c r="P151" s="70">
        <v>400000</v>
      </c>
      <c r="Q151" s="70">
        <v>400000</v>
      </c>
      <c r="R151" s="70">
        <v>400000</v>
      </c>
      <c r="S151" s="70">
        <v>400000</v>
      </c>
    </row>
    <row r="152" spans="1:19" ht="11.25">
      <c r="A152" s="1265" t="s">
        <v>4891</v>
      </c>
      <c r="C152" t="s">
        <v>1467</v>
      </c>
      <c r="E152" s="273">
        <f>tlInputClientIntCostBid5</f>
        <v>600000</v>
      </c>
      <c r="F152" t="s">
        <v>1458</v>
      </c>
      <c r="G152" s="67">
        <v>600000</v>
      </c>
      <c r="H152" s="72">
        <f>tlInputClientIntCostBid5</f>
        <v>600000</v>
      </c>
      <c r="J152" s="144"/>
      <c r="K152" s="71"/>
      <c r="O152" s="70">
        <v>600000</v>
      </c>
      <c r="P152" s="70">
        <v>600000</v>
      </c>
      <c r="Q152" s="70">
        <v>600000</v>
      </c>
      <c r="R152" s="70">
        <v>600000</v>
      </c>
      <c r="S152" s="70">
        <v>600000</v>
      </c>
    </row>
    <row r="153" spans="1:19" ht="11.25">
      <c r="A153" s="1265" t="s">
        <v>4891</v>
      </c>
      <c r="C153" t="s">
        <v>832</v>
      </c>
      <c r="E153" s="273">
        <f>tlInputClientIntCostBid6</f>
        <v>200000</v>
      </c>
      <c r="F153" t="s">
        <v>1459</v>
      </c>
      <c r="G153" s="67">
        <v>200000</v>
      </c>
      <c r="H153" s="72">
        <f>tlInputClientIntCostBid6</f>
        <v>200000</v>
      </c>
      <c r="J153" s="144"/>
      <c r="K153" s="71"/>
      <c r="O153" s="70">
        <v>200000</v>
      </c>
      <c r="P153" s="70">
        <v>200000</v>
      </c>
      <c r="Q153" s="70">
        <v>200000</v>
      </c>
      <c r="R153" s="70">
        <v>200000</v>
      </c>
      <c r="S153" s="70">
        <v>200000</v>
      </c>
    </row>
    <row r="154" spans="1:19" ht="11.25">
      <c r="A154" s="1265" t="s">
        <v>4891</v>
      </c>
      <c r="C154" t="s">
        <v>833</v>
      </c>
      <c r="E154" s="273">
        <f>tlInputClientIntCostBid7</f>
        <v>400000</v>
      </c>
      <c r="F154" t="s">
        <v>1460</v>
      </c>
      <c r="G154" s="67">
        <v>400000</v>
      </c>
      <c r="H154" s="72">
        <f>tlInputClientIntCostBid7</f>
        <v>400000</v>
      </c>
      <c r="J154" s="144"/>
      <c r="K154" s="71"/>
      <c r="O154" s="70">
        <v>400000</v>
      </c>
      <c r="P154" s="70">
        <v>400000</v>
      </c>
      <c r="Q154" s="70">
        <v>400000</v>
      </c>
      <c r="R154" s="70">
        <v>400000</v>
      </c>
      <c r="S154" s="70">
        <v>400000</v>
      </c>
    </row>
    <row r="155" spans="1:19" ht="11.25">
      <c r="A155" s="1265" t="s">
        <v>4891</v>
      </c>
      <c r="C155" t="s">
        <v>834</v>
      </c>
      <c r="E155" s="273">
        <f>tlInputClientIntCostBid8</f>
        <v>500000</v>
      </c>
      <c r="F155" t="s">
        <v>1461</v>
      </c>
      <c r="G155" s="67">
        <v>500000</v>
      </c>
      <c r="H155" s="72">
        <f>tlInputClientIntCostBid8</f>
        <v>500000</v>
      </c>
      <c r="J155" s="144"/>
      <c r="K155" s="71"/>
      <c r="O155" s="70">
        <v>500000</v>
      </c>
      <c r="P155" s="70">
        <v>500000</v>
      </c>
      <c r="Q155" s="70">
        <v>500000</v>
      </c>
      <c r="R155" s="70">
        <v>500000</v>
      </c>
      <c r="S155" s="70">
        <v>500000</v>
      </c>
    </row>
    <row r="156" spans="1:19" ht="11.25">
      <c r="A156" s="1265" t="s">
        <v>4891</v>
      </c>
      <c r="C156" t="s">
        <v>2663</v>
      </c>
      <c r="E156" s="273">
        <f>tlInputClientIntCostBid9</f>
        <v>150000</v>
      </c>
      <c r="F156" t="s">
        <v>1462</v>
      </c>
      <c r="G156" s="67">
        <v>150000</v>
      </c>
      <c r="H156" s="72">
        <f>tlInputClientIntCostBid9</f>
        <v>150000</v>
      </c>
      <c r="J156" s="144"/>
      <c r="K156" s="71"/>
      <c r="O156" s="70">
        <v>150000</v>
      </c>
      <c r="P156" s="70">
        <v>150000</v>
      </c>
      <c r="Q156" s="70">
        <v>150000</v>
      </c>
      <c r="R156" s="70">
        <v>150000</v>
      </c>
      <c r="S156" s="70">
        <v>150000</v>
      </c>
    </row>
    <row r="157" spans="1:19" ht="11.25">
      <c r="A157" s="1265" t="s">
        <v>4891</v>
      </c>
      <c r="C157" t="s">
        <v>227</v>
      </c>
      <c r="E157" s="267">
        <f>tlInputBid1Emp4HrsRFQ</f>
        <v>1200</v>
      </c>
      <c r="F157" s="26" t="s">
        <v>2770</v>
      </c>
      <c r="G157" s="67">
        <v>1200</v>
      </c>
      <c r="H157" s="72">
        <f>tlInputBid1Emp4HrsRFQ</f>
        <v>1200</v>
      </c>
      <c r="J157" s="144"/>
      <c r="K157" s="71"/>
      <c r="O157" s="70">
        <v>1200</v>
      </c>
      <c r="P157" s="70">
        <v>1200</v>
      </c>
      <c r="Q157" s="70">
        <v>1200</v>
      </c>
      <c r="R157" s="70">
        <v>1200</v>
      </c>
      <c r="S157" s="70">
        <v>1200</v>
      </c>
    </row>
    <row r="158" spans="1:19" ht="11.25">
      <c r="A158" s="1265" t="s">
        <v>4891</v>
      </c>
      <c r="C158" t="s">
        <v>228</v>
      </c>
      <c r="E158" s="267">
        <f>tlInputBid2Emp4HrsRFQ</f>
        <v>0</v>
      </c>
      <c r="F158" s="26" t="s">
        <v>2854</v>
      </c>
      <c r="G158" s="67">
        <v>0</v>
      </c>
      <c r="H158" s="72">
        <f>tlInputBid2Emp4HrsRFQ</f>
        <v>0</v>
      </c>
      <c r="J158" s="144"/>
      <c r="K158" s="71"/>
      <c r="O158" s="70">
        <v>0</v>
      </c>
      <c r="P158" s="70">
        <v>0</v>
      </c>
      <c r="Q158" s="70">
        <v>0</v>
      </c>
      <c r="R158" s="70">
        <v>0</v>
      </c>
      <c r="S158" s="70">
        <v>0</v>
      </c>
    </row>
    <row r="159" spans="1:19" ht="11.25">
      <c r="A159" s="1265" t="s">
        <v>4891</v>
      </c>
      <c r="C159" t="s">
        <v>229</v>
      </c>
      <c r="E159" s="267">
        <f>tlInputBid3Emp4HrsRFQ</f>
        <v>0</v>
      </c>
      <c r="F159" s="26" t="s">
        <v>3704</v>
      </c>
      <c r="G159" s="67">
        <v>0</v>
      </c>
      <c r="H159" s="72">
        <f>tlInputBid3Emp4HrsRFQ</f>
        <v>0</v>
      </c>
      <c r="J159" s="144"/>
      <c r="K159" s="71"/>
      <c r="O159" s="70">
        <v>0</v>
      </c>
      <c r="P159" s="70">
        <v>0</v>
      </c>
      <c r="Q159" s="70">
        <v>0</v>
      </c>
      <c r="R159" s="70">
        <v>0</v>
      </c>
      <c r="S159" s="70">
        <v>0</v>
      </c>
    </row>
    <row r="160" spans="1:19" ht="11.25">
      <c r="A160" s="1265" t="s">
        <v>4891</v>
      </c>
      <c r="C160" t="s">
        <v>230</v>
      </c>
      <c r="E160" s="267">
        <f>tlInputBid4Emp4HrsRFQ</f>
        <v>0</v>
      </c>
      <c r="F160" s="26" t="s">
        <v>2429</v>
      </c>
      <c r="G160" s="67">
        <v>0</v>
      </c>
      <c r="H160" s="72">
        <f>tlInputBid4Emp4HrsRFQ</f>
        <v>0</v>
      </c>
      <c r="J160" s="144"/>
      <c r="K160" s="71"/>
      <c r="O160" s="70">
        <v>0</v>
      </c>
      <c r="P160" s="70">
        <v>0</v>
      </c>
      <c r="Q160" s="70">
        <v>0</v>
      </c>
      <c r="R160" s="70">
        <v>0</v>
      </c>
      <c r="S160" s="70">
        <v>0</v>
      </c>
    </row>
    <row r="161" spans="1:19" ht="11.25">
      <c r="A161" s="1265" t="s">
        <v>4891</v>
      </c>
      <c r="C161" t="s">
        <v>4130</v>
      </c>
      <c r="E161" s="267">
        <f>tlInputBid5Emp4HrsRFQ</f>
        <v>0</v>
      </c>
      <c r="F161" s="26" t="s">
        <v>398</v>
      </c>
      <c r="G161" s="67">
        <v>0</v>
      </c>
      <c r="H161" s="72">
        <f>tlInputBid5Emp4HrsRFQ</f>
        <v>0</v>
      </c>
      <c r="J161" s="144"/>
      <c r="K161" s="71"/>
      <c r="O161" s="70">
        <v>0</v>
      </c>
      <c r="P161" s="70">
        <v>0</v>
      </c>
      <c r="Q161" s="70">
        <v>0</v>
      </c>
      <c r="R161" s="70">
        <v>0</v>
      </c>
      <c r="S161" s="70">
        <v>0</v>
      </c>
    </row>
    <row r="162" spans="1:19" ht="11.25">
      <c r="A162" s="1265" t="s">
        <v>4891</v>
      </c>
      <c r="C162" t="s">
        <v>4131</v>
      </c>
      <c r="E162" s="267">
        <f>tlInputBid6Emp4HrsRFQ</f>
        <v>0</v>
      </c>
      <c r="F162" s="26" t="s">
        <v>2378</v>
      </c>
      <c r="G162" s="67">
        <v>0</v>
      </c>
      <c r="H162" s="72">
        <f>tlInputBid6Emp4HrsRFQ</f>
        <v>0</v>
      </c>
      <c r="J162" s="144"/>
      <c r="K162" s="71"/>
      <c r="O162" s="70">
        <v>0</v>
      </c>
      <c r="P162" s="70">
        <v>0</v>
      </c>
      <c r="Q162" s="70">
        <v>0</v>
      </c>
      <c r="R162" s="70">
        <v>0</v>
      </c>
      <c r="S162" s="70">
        <v>0</v>
      </c>
    </row>
    <row r="163" spans="1:19" ht="11.25">
      <c r="A163" s="1265" t="s">
        <v>4891</v>
      </c>
      <c r="C163" t="s">
        <v>4132</v>
      </c>
      <c r="E163" s="267">
        <f>tlInputBid7Emp4HrsRFQ</f>
        <v>0</v>
      </c>
      <c r="F163" s="26" t="s">
        <v>2382</v>
      </c>
      <c r="G163" s="67">
        <v>0</v>
      </c>
      <c r="H163" s="72">
        <f>tlInputBid7Emp4HrsRFQ</f>
        <v>0</v>
      </c>
      <c r="J163" s="144"/>
      <c r="K163" s="71"/>
      <c r="O163" s="70">
        <v>0</v>
      </c>
      <c r="P163" s="70">
        <v>0</v>
      </c>
      <c r="Q163" s="70">
        <v>0</v>
      </c>
      <c r="R163" s="70">
        <v>0</v>
      </c>
      <c r="S163" s="70">
        <v>0</v>
      </c>
    </row>
    <row r="164" spans="1:19" ht="11.25">
      <c r="A164" s="1265" t="s">
        <v>4891</v>
      </c>
      <c r="C164" t="s">
        <v>935</v>
      </c>
      <c r="E164" s="267">
        <f>tlInputBid8Emp4HrsRFQ</f>
        <v>0</v>
      </c>
      <c r="F164" s="26" t="s">
        <v>2386</v>
      </c>
      <c r="G164" s="67">
        <v>0</v>
      </c>
      <c r="H164" s="72">
        <f>tlInputBid8Emp4HrsRFQ</f>
        <v>0</v>
      </c>
      <c r="J164" s="144"/>
      <c r="K164" s="71"/>
      <c r="O164" s="70">
        <v>0</v>
      </c>
      <c r="P164" s="70">
        <v>0</v>
      </c>
      <c r="Q164" s="70">
        <v>0</v>
      </c>
      <c r="R164" s="70">
        <v>0</v>
      </c>
      <c r="S164" s="70">
        <v>0</v>
      </c>
    </row>
    <row r="165" spans="1:19" ht="11.25">
      <c r="A165" s="1265" t="s">
        <v>4891</v>
      </c>
      <c r="C165" t="s">
        <v>936</v>
      </c>
      <c r="E165" s="267">
        <f>tlInputBid9Emp4HrsRFQ</f>
        <v>0</v>
      </c>
      <c r="F165" s="26" t="s">
        <v>2390</v>
      </c>
      <c r="G165" s="67">
        <v>0</v>
      </c>
      <c r="H165" s="72">
        <f>tlInputBid9Emp4HrsRFQ</f>
        <v>0</v>
      </c>
      <c r="J165" s="144"/>
      <c r="K165" s="71"/>
      <c r="O165" s="70">
        <v>0</v>
      </c>
      <c r="P165" s="70">
        <v>0</v>
      </c>
      <c r="Q165" s="70">
        <v>0</v>
      </c>
      <c r="R165" s="70">
        <v>0</v>
      </c>
      <c r="S165" s="70">
        <v>0</v>
      </c>
    </row>
    <row r="166" spans="1:19" ht="11.25">
      <c r="A166" s="1265" t="s">
        <v>4891</v>
      </c>
      <c r="C166" t="s">
        <v>937</v>
      </c>
      <c r="E166" s="267">
        <f>tlInputBid1Emp3HrsRFQ</f>
        <v>1800</v>
      </c>
      <c r="F166" s="26" t="s">
        <v>2771</v>
      </c>
      <c r="G166" s="67">
        <v>1800</v>
      </c>
      <c r="H166" s="72">
        <f>tlInputBid1Emp3HrsRFQ</f>
        <v>1800</v>
      </c>
      <c r="J166" s="144"/>
      <c r="K166" s="71"/>
      <c r="O166" s="70">
        <v>1800</v>
      </c>
      <c r="P166" s="70">
        <v>1800</v>
      </c>
      <c r="Q166" s="70">
        <v>1800</v>
      </c>
      <c r="R166" s="70">
        <v>1800</v>
      </c>
      <c r="S166" s="70">
        <v>1800</v>
      </c>
    </row>
    <row r="167" spans="1:19" ht="11.25">
      <c r="A167" s="1265" t="s">
        <v>4891</v>
      </c>
      <c r="C167" t="s">
        <v>938</v>
      </c>
      <c r="E167" s="267">
        <f>tlInputBid2Emp3HrsRFQ</f>
        <v>0</v>
      </c>
      <c r="F167" s="26" t="s">
        <v>2855</v>
      </c>
      <c r="G167" s="67">
        <v>0</v>
      </c>
      <c r="H167" s="72">
        <f>tlInputBid2Emp3HrsRFQ</f>
        <v>0</v>
      </c>
      <c r="J167" s="144"/>
      <c r="K167" s="71"/>
      <c r="O167" s="70">
        <v>0</v>
      </c>
      <c r="P167" s="70">
        <v>0</v>
      </c>
      <c r="Q167" s="70">
        <v>0</v>
      </c>
      <c r="R167" s="70">
        <v>0</v>
      </c>
      <c r="S167" s="70">
        <v>0</v>
      </c>
    </row>
    <row r="168" spans="1:19" ht="11.25">
      <c r="A168" s="1265" t="s">
        <v>4891</v>
      </c>
      <c r="C168" t="s">
        <v>1745</v>
      </c>
      <c r="E168" s="267">
        <f>tlInputBid3Emp3HrsRFQ</f>
        <v>0</v>
      </c>
      <c r="F168" s="26" t="s">
        <v>2426</v>
      </c>
      <c r="G168" s="67">
        <v>0</v>
      </c>
      <c r="H168" s="72">
        <f>tlInputBid3Emp3HrsRFQ</f>
        <v>0</v>
      </c>
      <c r="J168" s="144"/>
      <c r="K168" s="71"/>
      <c r="O168" s="70">
        <v>0</v>
      </c>
      <c r="P168" s="70">
        <v>0</v>
      </c>
      <c r="Q168" s="70">
        <v>0</v>
      </c>
      <c r="R168" s="70">
        <v>0</v>
      </c>
      <c r="S168" s="70">
        <v>0</v>
      </c>
    </row>
    <row r="169" spans="1:19" ht="11.25">
      <c r="A169" s="1265" t="s">
        <v>4891</v>
      </c>
      <c r="C169" t="s">
        <v>1746</v>
      </c>
      <c r="E169" s="267">
        <f>tlInputBid4Emp3HrsRFQ</f>
        <v>0</v>
      </c>
      <c r="F169" s="26" t="s">
        <v>2430</v>
      </c>
      <c r="G169" s="67">
        <v>0</v>
      </c>
      <c r="H169" s="72">
        <f>tlInputBid4Emp3HrsRFQ</f>
        <v>0</v>
      </c>
      <c r="J169" s="144"/>
      <c r="K169" s="71"/>
      <c r="O169" s="70">
        <v>0</v>
      </c>
      <c r="P169" s="70">
        <v>0</v>
      </c>
      <c r="Q169" s="70">
        <v>0</v>
      </c>
      <c r="R169" s="70">
        <v>0</v>
      </c>
      <c r="S169" s="70">
        <v>0</v>
      </c>
    </row>
    <row r="170" spans="1:19" ht="11.25">
      <c r="A170" s="1265" t="s">
        <v>4891</v>
      </c>
      <c r="C170" t="s">
        <v>1659</v>
      </c>
      <c r="E170" s="267">
        <f>tlInputBid5Emp3HrsRFQ</f>
        <v>0</v>
      </c>
      <c r="F170" s="26" t="s">
        <v>399</v>
      </c>
      <c r="G170" s="67">
        <v>0</v>
      </c>
      <c r="H170" s="72">
        <f>tlInputBid5Emp3HrsRFQ</f>
        <v>0</v>
      </c>
      <c r="J170" s="144"/>
      <c r="K170" s="71"/>
      <c r="O170" s="70">
        <v>0</v>
      </c>
      <c r="P170" s="70">
        <v>0</v>
      </c>
      <c r="Q170" s="70">
        <v>0</v>
      </c>
      <c r="R170" s="70">
        <v>0</v>
      </c>
      <c r="S170" s="70">
        <v>0</v>
      </c>
    </row>
    <row r="171" spans="1:19" ht="11.25">
      <c r="A171" s="1265" t="s">
        <v>4891</v>
      </c>
      <c r="C171" t="s">
        <v>1660</v>
      </c>
      <c r="E171" s="267">
        <f>tlInputBid6Emp3HrsRFQ</f>
        <v>0</v>
      </c>
      <c r="F171" s="26" t="s">
        <v>2379</v>
      </c>
      <c r="G171" s="67">
        <v>0</v>
      </c>
      <c r="H171" s="72">
        <f>tlInputBid6Emp3HrsRFQ</f>
        <v>0</v>
      </c>
      <c r="J171" s="144"/>
      <c r="K171" s="71"/>
      <c r="O171" s="70">
        <v>0</v>
      </c>
      <c r="P171" s="70">
        <v>0</v>
      </c>
      <c r="Q171" s="70">
        <v>0</v>
      </c>
      <c r="R171" s="70">
        <v>0</v>
      </c>
      <c r="S171" s="70">
        <v>0</v>
      </c>
    </row>
    <row r="172" spans="1:19" ht="11.25">
      <c r="A172" s="1265" t="s">
        <v>4891</v>
      </c>
      <c r="C172" t="s">
        <v>1661</v>
      </c>
      <c r="E172" s="267">
        <f>tlInputBid7Emp3HrsRFQ</f>
        <v>0</v>
      </c>
      <c r="F172" s="26" t="s">
        <v>2383</v>
      </c>
      <c r="G172" s="67">
        <v>0</v>
      </c>
      <c r="H172" s="72">
        <f>tlInputBid7Emp3HrsRFQ</f>
        <v>0</v>
      </c>
      <c r="J172" s="144"/>
      <c r="K172" s="71"/>
      <c r="O172" s="70">
        <v>0</v>
      </c>
      <c r="P172" s="70">
        <v>0</v>
      </c>
      <c r="Q172" s="70">
        <v>0</v>
      </c>
      <c r="R172" s="70">
        <v>0</v>
      </c>
      <c r="S172" s="70">
        <v>0</v>
      </c>
    </row>
    <row r="173" spans="1:19" ht="11.25">
      <c r="A173" s="1265" t="s">
        <v>4891</v>
      </c>
      <c r="C173" t="s">
        <v>1662</v>
      </c>
      <c r="E173" s="267">
        <f>tlInputBid8Emp3HrsRFQ</f>
        <v>0</v>
      </c>
      <c r="F173" s="26" t="s">
        <v>2387</v>
      </c>
      <c r="G173" s="67">
        <v>0</v>
      </c>
      <c r="H173" s="72">
        <f>tlInputBid8Emp3HrsRFQ</f>
        <v>0</v>
      </c>
      <c r="J173" s="144"/>
      <c r="K173" s="71"/>
      <c r="O173" s="70">
        <v>0</v>
      </c>
      <c r="P173" s="70">
        <v>0</v>
      </c>
      <c r="Q173" s="70">
        <v>0</v>
      </c>
      <c r="R173" s="70">
        <v>0</v>
      </c>
      <c r="S173" s="70">
        <v>0</v>
      </c>
    </row>
    <row r="174" spans="1:19" ht="11.25">
      <c r="A174" s="1265" t="s">
        <v>4891</v>
      </c>
      <c r="C174" t="s">
        <v>1663</v>
      </c>
      <c r="E174" s="267">
        <f>tlInputBid9Emp3HrsRFQ</f>
        <v>0</v>
      </c>
      <c r="F174" s="26" t="s">
        <v>4055</v>
      </c>
      <c r="G174" s="67">
        <v>0</v>
      </c>
      <c r="H174" s="72">
        <f>tlInputBid9Emp3HrsRFQ</f>
        <v>0</v>
      </c>
      <c r="J174" s="144"/>
      <c r="K174" s="71"/>
      <c r="O174" s="70">
        <v>0</v>
      </c>
      <c r="P174" s="70">
        <v>0</v>
      </c>
      <c r="Q174" s="70">
        <v>0</v>
      </c>
      <c r="R174" s="70">
        <v>0</v>
      </c>
      <c r="S174" s="70">
        <v>0</v>
      </c>
    </row>
    <row r="175" spans="1:19" ht="11.25">
      <c r="A175" s="1265" t="s">
        <v>4891</v>
      </c>
      <c r="C175" t="s">
        <v>1664</v>
      </c>
      <c r="E175" s="267">
        <f>tlInputBid1Emp2HrsRFQ</f>
        <v>2200</v>
      </c>
      <c r="F175" s="26" t="s">
        <v>2772</v>
      </c>
      <c r="G175" s="67">
        <v>2200</v>
      </c>
      <c r="H175" s="72">
        <f>tlInputBid1Emp2HrsRFQ</f>
        <v>2200</v>
      </c>
      <c r="J175" s="144"/>
      <c r="K175" s="71"/>
      <c r="O175" s="70">
        <v>2200</v>
      </c>
      <c r="P175" s="70">
        <v>2200</v>
      </c>
      <c r="Q175" s="70">
        <v>2200</v>
      </c>
      <c r="R175" s="70">
        <v>2200</v>
      </c>
      <c r="S175" s="70">
        <v>2200</v>
      </c>
    </row>
    <row r="176" spans="1:19" ht="11.25">
      <c r="A176" s="1265" t="s">
        <v>4891</v>
      </c>
      <c r="C176" t="s">
        <v>1665</v>
      </c>
      <c r="E176" s="267">
        <f>tlInputBid2Emp2HrsRFQ</f>
        <v>0</v>
      </c>
      <c r="F176" s="26" t="s">
        <v>2856</v>
      </c>
      <c r="G176" s="67">
        <v>0</v>
      </c>
      <c r="H176" s="72">
        <f>tlInputBid2Emp2HrsRFQ</f>
        <v>0</v>
      </c>
      <c r="J176" s="144"/>
      <c r="K176" s="71"/>
      <c r="O176" s="70">
        <v>0</v>
      </c>
      <c r="P176" s="70">
        <v>0</v>
      </c>
      <c r="Q176" s="70">
        <v>0</v>
      </c>
      <c r="R176" s="70">
        <v>0</v>
      </c>
      <c r="S176" s="70">
        <v>0</v>
      </c>
    </row>
    <row r="177" spans="1:19" ht="11.25">
      <c r="A177" s="1265" t="s">
        <v>4891</v>
      </c>
      <c r="C177" t="s">
        <v>1666</v>
      </c>
      <c r="E177" s="267">
        <f>tlInputBid3Emp2HrsRFQ</f>
        <v>0</v>
      </c>
      <c r="F177" s="26" t="s">
        <v>2427</v>
      </c>
      <c r="G177" s="67">
        <v>0</v>
      </c>
      <c r="H177" s="72">
        <f>tlInputBid3Emp2HrsRFQ</f>
        <v>0</v>
      </c>
      <c r="J177" s="144"/>
      <c r="K177" s="71"/>
      <c r="O177" s="70">
        <v>0</v>
      </c>
      <c r="P177" s="70">
        <v>0</v>
      </c>
      <c r="Q177" s="70">
        <v>0</v>
      </c>
      <c r="R177" s="70">
        <v>0</v>
      </c>
      <c r="S177" s="70">
        <v>0</v>
      </c>
    </row>
    <row r="178" spans="1:19" ht="11.25">
      <c r="A178" s="1265" t="s">
        <v>4891</v>
      </c>
      <c r="C178" t="s">
        <v>1667</v>
      </c>
      <c r="E178" s="267">
        <f>tlInputBid4Emp2HrsRFQ</f>
        <v>0</v>
      </c>
      <c r="F178" s="26" t="s">
        <v>396</v>
      </c>
      <c r="G178" s="67">
        <v>0</v>
      </c>
      <c r="H178" s="72">
        <f>tlInputBid4Emp2HrsRFQ</f>
        <v>0</v>
      </c>
      <c r="J178" s="144"/>
      <c r="K178" s="71"/>
      <c r="O178" s="70">
        <v>0</v>
      </c>
      <c r="P178" s="70">
        <v>0</v>
      </c>
      <c r="Q178" s="70">
        <v>0</v>
      </c>
      <c r="R178" s="70">
        <v>0</v>
      </c>
      <c r="S178" s="70">
        <v>0</v>
      </c>
    </row>
    <row r="179" spans="1:19" ht="11.25">
      <c r="A179" s="1265" t="s">
        <v>4891</v>
      </c>
      <c r="C179" t="s">
        <v>1668</v>
      </c>
      <c r="E179" s="267">
        <f>tlInputBid5Emp2HrsRFQ</f>
        <v>0</v>
      </c>
      <c r="F179" s="26" t="s">
        <v>2376</v>
      </c>
      <c r="G179" s="67">
        <v>0</v>
      </c>
      <c r="H179" s="72">
        <f>tlInputBid5Emp2HrsRFQ</f>
        <v>0</v>
      </c>
      <c r="J179" s="144"/>
      <c r="K179" s="71"/>
      <c r="O179" s="70">
        <v>0</v>
      </c>
      <c r="P179" s="70">
        <v>0</v>
      </c>
      <c r="Q179" s="70">
        <v>0</v>
      </c>
      <c r="R179" s="70">
        <v>0</v>
      </c>
      <c r="S179" s="70">
        <v>0</v>
      </c>
    </row>
    <row r="180" spans="1:19" ht="11.25">
      <c r="A180" s="1265" t="s">
        <v>4891</v>
      </c>
      <c r="C180" t="s">
        <v>1669</v>
      </c>
      <c r="E180" s="267">
        <f>tlInputBid6Emp2HrsRFQ</f>
        <v>0</v>
      </c>
      <c r="F180" s="26" t="s">
        <v>2380</v>
      </c>
      <c r="G180" s="67">
        <v>0</v>
      </c>
      <c r="H180" s="72">
        <f>tlInputBid6Emp2HrsRFQ</f>
        <v>0</v>
      </c>
      <c r="J180" s="144"/>
      <c r="K180" s="71"/>
      <c r="O180" s="70">
        <v>0</v>
      </c>
      <c r="P180" s="70">
        <v>0</v>
      </c>
      <c r="Q180" s="70">
        <v>0</v>
      </c>
      <c r="R180" s="70">
        <v>0</v>
      </c>
      <c r="S180" s="70">
        <v>0</v>
      </c>
    </row>
    <row r="181" spans="1:19" ht="11.25">
      <c r="A181" s="1265" t="s">
        <v>4891</v>
      </c>
      <c r="C181" t="s">
        <v>1670</v>
      </c>
      <c r="E181" s="267">
        <f>tlInputBid7Emp2HrsRFQ</f>
        <v>0</v>
      </c>
      <c r="F181" s="26" t="s">
        <v>2384</v>
      </c>
      <c r="G181" s="67">
        <v>0</v>
      </c>
      <c r="H181" s="72">
        <f>tlInputBid7Emp2HrsRFQ</f>
        <v>0</v>
      </c>
      <c r="J181" s="144"/>
      <c r="K181" s="71"/>
      <c r="O181" s="70">
        <v>0</v>
      </c>
      <c r="P181" s="70">
        <v>0</v>
      </c>
      <c r="Q181" s="70">
        <v>0</v>
      </c>
      <c r="R181" s="70">
        <v>0</v>
      </c>
      <c r="S181" s="70">
        <v>0</v>
      </c>
    </row>
    <row r="182" spans="1:19" ht="11.25">
      <c r="A182" s="1265" t="s">
        <v>4891</v>
      </c>
      <c r="C182" t="s">
        <v>1671</v>
      </c>
      <c r="E182" s="267">
        <f>tlInputBid8Emp2HrsRFQ</f>
        <v>0</v>
      </c>
      <c r="F182" s="26" t="s">
        <v>2388</v>
      </c>
      <c r="G182" s="67">
        <v>0</v>
      </c>
      <c r="H182" s="72">
        <f>tlInputBid8Emp2HrsRFQ</f>
        <v>0</v>
      </c>
      <c r="J182" s="144"/>
      <c r="K182" s="71"/>
      <c r="O182" s="70">
        <v>0</v>
      </c>
      <c r="P182" s="70">
        <v>0</v>
      </c>
      <c r="Q182" s="70">
        <v>0</v>
      </c>
      <c r="R182" s="70">
        <v>0</v>
      </c>
      <c r="S182" s="70">
        <v>0</v>
      </c>
    </row>
    <row r="183" spans="1:19" ht="11.25">
      <c r="A183" s="1265" t="s">
        <v>4891</v>
      </c>
      <c r="C183" t="s">
        <v>1672</v>
      </c>
      <c r="E183" s="267">
        <f>tlInputBid9Emp2HrsRFQ</f>
        <v>0</v>
      </c>
      <c r="F183" s="26" t="s">
        <v>4056</v>
      </c>
      <c r="G183" s="67">
        <v>0</v>
      </c>
      <c r="H183" s="72">
        <f>tlInputBid9Emp2HrsRFQ</f>
        <v>0</v>
      </c>
      <c r="J183" s="144"/>
      <c r="K183" s="71"/>
      <c r="O183" s="70">
        <v>0</v>
      </c>
      <c r="P183" s="70">
        <v>0</v>
      </c>
      <c r="Q183" s="70">
        <v>0</v>
      </c>
      <c r="R183" s="70">
        <v>0</v>
      </c>
      <c r="S183" s="70">
        <v>0</v>
      </c>
    </row>
    <row r="184" spans="1:19" ht="11.25">
      <c r="E184" s="266"/>
      <c r="G184" s="67"/>
      <c r="H184" s="72"/>
      <c r="J184" s="144"/>
      <c r="K184" s="71"/>
      <c r="O184" s="70"/>
      <c r="P184" s="70"/>
      <c r="Q184" s="70"/>
      <c r="R184" s="70"/>
      <c r="S184" s="70"/>
    </row>
    <row r="185" spans="1:19" ht="11.25">
      <c r="A185" s="1265" t="s">
        <v>4891</v>
      </c>
      <c r="B185" s="2" t="s">
        <v>3673</v>
      </c>
      <c r="E185" s="562">
        <f>tlInputBusBBusDevNonPayrollBud</f>
        <v>825</v>
      </c>
      <c r="F185" s="26" t="s">
        <v>1619</v>
      </c>
      <c r="G185" s="67">
        <v>825</v>
      </c>
      <c r="H185" s="559">
        <f>tlInputBusBBusDevNonPayrollBud</f>
        <v>825</v>
      </c>
      <c r="J185" s="144"/>
      <c r="K185" s="71"/>
      <c r="O185" s="70">
        <v>825</v>
      </c>
      <c r="P185" s="70">
        <v>825</v>
      </c>
      <c r="Q185" s="70">
        <v>825</v>
      </c>
      <c r="R185" s="70">
        <v>825</v>
      </c>
      <c r="S185" s="70">
        <v>825</v>
      </c>
    </row>
    <row r="186" spans="1:19" ht="11.25">
      <c r="B186" s="2"/>
      <c r="E186" s="562"/>
      <c r="G186" s="67"/>
      <c r="H186" s="559"/>
      <c r="J186" s="144"/>
      <c r="K186" s="71"/>
      <c r="O186" s="70"/>
      <c r="P186" s="70"/>
      <c r="Q186" s="70"/>
      <c r="R186" s="70"/>
      <c r="S186" s="70"/>
    </row>
    <row r="187" spans="1:19" ht="11.25">
      <c r="B187" s="2" t="s">
        <v>1307</v>
      </c>
      <c r="E187" s="267"/>
      <c r="G187" s="67"/>
      <c r="H187" s="72"/>
      <c r="J187" s="144"/>
      <c r="K187" s="71"/>
      <c r="O187" s="70"/>
      <c r="P187" s="70"/>
      <c r="Q187" s="70"/>
      <c r="R187" s="70"/>
      <c r="S187" s="70"/>
    </row>
    <row r="188" spans="1:19" ht="11.25">
      <c r="A188" s="1265" t="s">
        <v>4891</v>
      </c>
      <c r="C188" t="s">
        <v>3087</v>
      </c>
      <c r="E188" s="267">
        <v>0</v>
      </c>
      <c r="F188" t="s">
        <v>2014</v>
      </c>
      <c r="G188" s="67">
        <v>0</v>
      </c>
      <c r="H188" s="72">
        <v>0</v>
      </c>
      <c r="J188" s="144"/>
      <c r="K188" s="71"/>
      <c r="O188" s="70">
        <v>0</v>
      </c>
      <c r="P188" s="70">
        <v>0</v>
      </c>
      <c r="Q188" s="70">
        <v>0</v>
      </c>
      <c r="R188" s="70">
        <v>0</v>
      </c>
      <c r="S188" s="70">
        <v>0</v>
      </c>
    </row>
    <row r="189" spans="1:19" ht="11.25">
      <c r="A189" s="1265" t="s">
        <v>4891</v>
      </c>
      <c r="C189" t="s">
        <v>3088</v>
      </c>
      <c r="E189" s="267">
        <v>0</v>
      </c>
      <c r="F189" t="s">
        <v>4510</v>
      </c>
      <c r="G189" s="67">
        <v>0</v>
      </c>
      <c r="H189" s="72">
        <v>0</v>
      </c>
      <c r="J189" s="144"/>
      <c r="K189" s="71"/>
      <c r="O189" s="70">
        <v>0</v>
      </c>
      <c r="P189" s="70">
        <v>0</v>
      </c>
      <c r="Q189" s="70">
        <v>0</v>
      </c>
      <c r="R189" s="70">
        <v>0</v>
      </c>
      <c r="S189" s="70">
        <v>0</v>
      </c>
    </row>
    <row r="190" spans="1:19" ht="11.25">
      <c r="A190" s="1265" t="s">
        <v>4891</v>
      </c>
      <c r="C190" t="s">
        <v>3089</v>
      </c>
      <c r="E190" s="267">
        <v>0</v>
      </c>
      <c r="F190" t="s">
        <v>4511</v>
      </c>
      <c r="G190" s="67">
        <v>0</v>
      </c>
      <c r="H190" s="72">
        <v>0</v>
      </c>
      <c r="J190" s="144"/>
      <c r="K190" s="71"/>
      <c r="O190" s="70">
        <v>0</v>
      </c>
      <c r="P190" s="70">
        <v>0</v>
      </c>
      <c r="Q190" s="70">
        <v>0</v>
      </c>
      <c r="R190" s="70">
        <v>0</v>
      </c>
      <c r="S190" s="70">
        <v>0</v>
      </c>
    </row>
    <row r="191" spans="1:19" ht="11.25">
      <c r="E191" s="267"/>
      <c r="G191" s="67"/>
      <c r="H191" s="72"/>
      <c r="J191" s="144"/>
      <c r="K191" s="71"/>
      <c r="O191" s="70"/>
      <c r="P191" s="70"/>
      <c r="Q191" s="70"/>
      <c r="R191" s="70"/>
      <c r="S191" s="70"/>
    </row>
    <row r="192" spans="1:19" ht="11.25">
      <c r="B192" s="2" t="s">
        <v>3090</v>
      </c>
      <c r="E192" s="266"/>
      <c r="G192" s="67"/>
      <c r="H192" s="72"/>
      <c r="J192" s="144"/>
      <c r="K192" s="71"/>
      <c r="O192" s="70"/>
      <c r="P192" s="70"/>
      <c r="Q192" s="70"/>
      <c r="R192" s="70"/>
      <c r="S192" s="70"/>
    </row>
    <row r="193" spans="1:19" ht="11.25">
      <c r="A193" s="1265" t="s">
        <v>4891</v>
      </c>
      <c r="C193" t="s">
        <v>3087</v>
      </c>
      <c r="E193" s="266">
        <f>tlInputV1H1Dev</f>
        <v>0</v>
      </c>
      <c r="F193" t="s">
        <v>3093</v>
      </c>
      <c r="G193" s="67">
        <v>0</v>
      </c>
      <c r="H193" s="72">
        <f>tlInputV1H1Dev</f>
        <v>0</v>
      </c>
      <c r="J193" s="144"/>
      <c r="K193" s="71"/>
      <c r="O193" s="70">
        <v>0</v>
      </c>
      <c r="P193" s="70">
        <v>0</v>
      </c>
      <c r="Q193" s="70">
        <v>0</v>
      </c>
      <c r="R193" s="70">
        <v>0</v>
      </c>
      <c r="S193" s="70">
        <v>0</v>
      </c>
    </row>
    <row r="194" spans="1:19" ht="11.25">
      <c r="A194" s="1265" t="s">
        <v>4891</v>
      </c>
      <c r="C194" t="s">
        <v>3088</v>
      </c>
      <c r="E194" s="266">
        <f>tlInputV1H2Dev</f>
        <v>0</v>
      </c>
      <c r="F194" t="s">
        <v>3094</v>
      </c>
      <c r="G194" s="67">
        <v>0</v>
      </c>
      <c r="H194" s="72">
        <f>tlInputV1H2Dev</f>
        <v>0</v>
      </c>
      <c r="J194" s="144"/>
      <c r="K194" s="71"/>
      <c r="O194" s="70">
        <v>0</v>
      </c>
      <c r="P194" s="70">
        <v>0</v>
      </c>
      <c r="Q194" s="70">
        <v>0</v>
      </c>
      <c r="R194" s="70">
        <v>0</v>
      </c>
      <c r="S194" s="70">
        <v>0</v>
      </c>
    </row>
    <row r="195" spans="1:19" ht="11.25">
      <c r="A195" s="1265" t="s">
        <v>4891</v>
      </c>
      <c r="C195" t="s">
        <v>3089</v>
      </c>
      <c r="E195" s="266">
        <f>tlInputV1H3Dev</f>
        <v>0</v>
      </c>
      <c r="F195" t="s">
        <v>3095</v>
      </c>
      <c r="G195" s="67">
        <v>0</v>
      </c>
      <c r="H195" s="72">
        <f>tlInputV1H3Dev</f>
        <v>0</v>
      </c>
      <c r="J195" s="144"/>
      <c r="K195" s="71"/>
      <c r="O195" s="70">
        <v>0</v>
      </c>
      <c r="P195" s="70">
        <v>0</v>
      </c>
      <c r="Q195" s="70">
        <v>0</v>
      </c>
      <c r="R195" s="70">
        <v>0</v>
      </c>
      <c r="S195" s="70">
        <v>0</v>
      </c>
    </row>
    <row r="196" spans="1:19" ht="11.25">
      <c r="E196" s="266"/>
      <c r="G196" s="67"/>
      <c r="H196" s="72"/>
      <c r="J196" s="144"/>
      <c r="K196" s="71"/>
      <c r="O196" s="70"/>
      <c r="P196" s="70"/>
      <c r="Q196" s="70"/>
      <c r="R196" s="70"/>
      <c r="S196" s="70"/>
    </row>
    <row r="197" spans="1:19" ht="11.25">
      <c r="B197" s="2" t="s">
        <v>3091</v>
      </c>
      <c r="E197" s="266"/>
      <c r="G197" s="67"/>
      <c r="H197" s="72"/>
      <c r="J197" s="144"/>
      <c r="K197" s="71"/>
      <c r="O197" s="70"/>
      <c r="P197" s="70"/>
      <c r="Q197" s="70"/>
      <c r="R197" s="70"/>
      <c r="S197" s="70"/>
    </row>
    <row r="198" spans="1:19" ht="11.25">
      <c r="A198" s="1265" t="s">
        <v>4891</v>
      </c>
      <c r="C198" t="s">
        <v>3087</v>
      </c>
      <c r="E198" s="266">
        <f>tlInputV2H1Dev</f>
        <v>0</v>
      </c>
      <c r="F198" t="s">
        <v>3096</v>
      </c>
      <c r="G198" s="67">
        <v>0</v>
      </c>
      <c r="H198" s="72">
        <f>tlInputV2H1Dev</f>
        <v>0</v>
      </c>
      <c r="J198" s="144"/>
      <c r="K198" s="71"/>
      <c r="O198" s="70">
        <v>0</v>
      </c>
      <c r="P198" s="70">
        <v>0</v>
      </c>
      <c r="Q198" s="70">
        <v>0</v>
      </c>
      <c r="R198" s="70">
        <v>0</v>
      </c>
      <c r="S198" s="70">
        <v>0</v>
      </c>
    </row>
    <row r="199" spans="1:19" ht="11.25">
      <c r="A199" s="1265" t="s">
        <v>4891</v>
      </c>
      <c r="C199" t="s">
        <v>3088</v>
      </c>
      <c r="E199" s="266">
        <f>tlInputV2H2Dev</f>
        <v>0</v>
      </c>
      <c r="F199" t="s">
        <v>3097</v>
      </c>
      <c r="G199" s="67">
        <v>0</v>
      </c>
      <c r="H199" s="72">
        <f>tlInputV2H2Dev</f>
        <v>0</v>
      </c>
      <c r="J199" s="144"/>
      <c r="K199" s="71"/>
      <c r="O199" s="70">
        <v>0</v>
      </c>
      <c r="P199" s="70">
        <v>0</v>
      </c>
      <c r="Q199" s="70">
        <v>0</v>
      </c>
      <c r="R199" s="70">
        <v>0</v>
      </c>
      <c r="S199" s="70">
        <v>0</v>
      </c>
    </row>
    <row r="200" spans="1:19" ht="11.25">
      <c r="A200" s="1265" t="s">
        <v>4891</v>
      </c>
      <c r="C200" t="s">
        <v>3089</v>
      </c>
      <c r="E200" s="266">
        <f>tlInputV2H3Dev</f>
        <v>0</v>
      </c>
      <c r="F200" t="s">
        <v>3101</v>
      </c>
      <c r="G200" s="67">
        <v>0</v>
      </c>
      <c r="H200" s="72">
        <f>tlInputV2H3Dev</f>
        <v>0</v>
      </c>
      <c r="J200" s="144"/>
      <c r="K200" s="71"/>
      <c r="O200" s="70">
        <v>0</v>
      </c>
      <c r="P200" s="70">
        <v>0</v>
      </c>
      <c r="Q200" s="70">
        <v>0</v>
      </c>
      <c r="R200" s="70">
        <v>0</v>
      </c>
      <c r="S200" s="70">
        <v>0</v>
      </c>
    </row>
    <row r="201" spans="1:19" ht="11.25">
      <c r="E201" s="266"/>
      <c r="G201" s="67"/>
      <c r="H201" s="72"/>
      <c r="J201" s="144"/>
      <c r="K201" s="71"/>
      <c r="O201" s="70"/>
      <c r="P201" s="70"/>
      <c r="Q201" s="70"/>
      <c r="R201" s="70"/>
      <c r="S201" s="70"/>
    </row>
    <row r="202" spans="1:19" ht="11.25">
      <c r="B202" s="2" t="s">
        <v>3092</v>
      </c>
      <c r="E202" s="266"/>
      <c r="G202" s="67"/>
      <c r="H202" s="72"/>
      <c r="J202" s="144"/>
      <c r="K202" s="71"/>
      <c r="O202" s="70"/>
      <c r="P202" s="70"/>
      <c r="Q202" s="70"/>
      <c r="R202" s="70"/>
      <c r="S202" s="70"/>
    </row>
    <row r="203" spans="1:19" ht="11.25">
      <c r="A203" s="1265" t="s">
        <v>4891</v>
      </c>
      <c r="C203" t="s">
        <v>3087</v>
      </c>
      <c r="E203" s="266">
        <f>tlInputV3H1Dev</f>
        <v>0</v>
      </c>
      <c r="F203" t="s">
        <v>3098</v>
      </c>
      <c r="G203" s="67">
        <v>0</v>
      </c>
      <c r="H203" s="72">
        <f>tlInputV3H1Dev</f>
        <v>0</v>
      </c>
      <c r="J203" s="144"/>
      <c r="K203" s="71"/>
      <c r="O203" s="70">
        <v>0</v>
      </c>
      <c r="P203" s="70">
        <v>0</v>
      </c>
      <c r="Q203" s="70">
        <v>0</v>
      </c>
      <c r="R203" s="70">
        <v>0</v>
      </c>
      <c r="S203" s="70">
        <v>0</v>
      </c>
    </row>
    <row r="204" spans="1:19" ht="11.25">
      <c r="A204" s="1265" t="s">
        <v>4891</v>
      </c>
      <c r="C204" t="s">
        <v>3088</v>
      </c>
      <c r="E204" s="266">
        <f>tlInputV3H2Dev</f>
        <v>0</v>
      </c>
      <c r="F204" t="s">
        <v>3099</v>
      </c>
      <c r="G204" s="67">
        <v>0</v>
      </c>
      <c r="H204" s="72">
        <f>tlInputV3H2Dev</f>
        <v>0</v>
      </c>
      <c r="J204" s="144"/>
      <c r="K204" s="71"/>
      <c r="O204" s="70">
        <v>0</v>
      </c>
      <c r="P204" s="70">
        <v>0</v>
      </c>
      <c r="Q204" s="70">
        <v>0</v>
      </c>
      <c r="R204" s="70">
        <v>0</v>
      </c>
      <c r="S204" s="70">
        <v>0</v>
      </c>
    </row>
    <row r="205" spans="1:19" ht="11.25">
      <c r="A205" s="1265" t="s">
        <v>4891</v>
      </c>
      <c r="C205" t="s">
        <v>3089</v>
      </c>
      <c r="E205" s="266">
        <f>tlInputV3H3Dev</f>
        <v>0</v>
      </c>
      <c r="F205" t="s">
        <v>3100</v>
      </c>
      <c r="G205" s="67">
        <v>0</v>
      </c>
      <c r="H205" s="72">
        <f>tlInputV3H3Dev</f>
        <v>0</v>
      </c>
      <c r="J205" s="144"/>
      <c r="K205" s="71"/>
      <c r="O205" s="70">
        <v>0</v>
      </c>
      <c r="P205" s="70">
        <v>0</v>
      </c>
      <c r="Q205" s="70">
        <v>0</v>
      </c>
      <c r="R205" s="70">
        <v>0</v>
      </c>
      <c r="S205" s="70">
        <v>0</v>
      </c>
    </row>
    <row r="206" spans="1:19" ht="11.25">
      <c r="E206" s="266"/>
      <c r="G206" s="67"/>
      <c r="H206" s="72"/>
      <c r="J206" s="144"/>
      <c r="K206" s="71"/>
      <c r="O206" s="70"/>
      <c r="P206" s="70"/>
      <c r="Q206" s="70"/>
      <c r="R206" s="70"/>
      <c r="S206" s="70"/>
    </row>
    <row r="207" spans="1:19" ht="11.25">
      <c r="B207" s="2" t="s">
        <v>4236</v>
      </c>
      <c r="E207" s="266"/>
      <c r="G207" s="67"/>
      <c r="H207" s="72"/>
      <c r="J207" s="144"/>
      <c r="K207" s="71"/>
      <c r="O207" s="70"/>
      <c r="P207" s="70"/>
      <c r="Q207" s="70"/>
      <c r="R207" s="70"/>
      <c r="S207" s="70"/>
    </row>
    <row r="208" spans="1:19" ht="11.25">
      <c r="A208" s="1265" t="s">
        <v>4891</v>
      </c>
      <c r="C208" t="s">
        <v>3083</v>
      </c>
      <c r="E208" s="266">
        <f>tlInputEmp4BusBOpsImprove</f>
        <v>2700</v>
      </c>
      <c r="F208" s="26" t="s">
        <v>4237</v>
      </c>
      <c r="G208" s="67">
        <v>2700</v>
      </c>
      <c r="H208" s="374">
        <f>tlInputEmp4BusBOpsImprove</f>
        <v>2700</v>
      </c>
      <c r="J208" s="144"/>
      <c r="K208" s="71"/>
      <c r="O208" s="70">
        <v>2700</v>
      </c>
      <c r="P208" s="70">
        <v>2700</v>
      </c>
      <c r="Q208" s="70">
        <v>2700</v>
      </c>
      <c r="R208" s="70">
        <v>2700</v>
      </c>
      <c r="S208" s="70">
        <v>2700</v>
      </c>
    </row>
    <row r="209" spans="1:19" ht="11.25">
      <c r="A209" s="1265" t="s">
        <v>4891</v>
      </c>
      <c r="C209" t="s">
        <v>3084</v>
      </c>
      <c r="E209" s="266">
        <f>tlInputEmp3BusBOpsImprove</f>
        <v>4500</v>
      </c>
      <c r="F209" s="26" t="s">
        <v>4238</v>
      </c>
      <c r="G209" s="67">
        <v>4500</v>
      </c>
      <c r="H209" s="374">
        <f>tlInputEmp3BusBOpsImprove</f>
        <v>4500</v>
      </c>
      <c r="J209" s="144"/>
      <c r="K209" s="71"/>
      <c r="O209" s="70">
        <v>4500</v>
      </c>
      <c r="P209" s="70">
        <v>4500</v>
      </c>
      <c r="Q209" s="70">
        <v>4500</v>
      </c>
      <c r="R209" s="70">
        <v>4500</v>
      </c>
      <c r="S209" s="70">
        <v>4500</v>
      </c>
    </row>
    <row r="210" spans="1:19" ht="11.25">
      <c r="A210" s="1265" t="s">
        <v>4891</v>
      </c>
      <c r="C210" t="s">
        <v>3085</v>
      </c>
      <c r="E210" s="266">
        <f>tlInputEmp2BusBOpsImprove</f>
        <v>7200</v>
      </c>
      <c r="F210" s="26" t="s">
        <v>4239</v>
      </c>
      <c r="G210" s="67">
        <v>7200</v>
      </c>
      <c r="H210" s="374">
        <f>tlInputEmp2BusBOpsImprove</f>
        <v>7200</v>
      </c>
      <c r="J210" s="144"/>
      <c r="K210" s="71"/>
      <c r="O210" s="70">
        <v>7200</v>
      </c>
      <c r="P210" s="70">
        <v>7200</v>
      </c>
      <c r="Q210" s="70">
        <v>7200</v>
      </c>
      <c r="R210" s="70">
        <v>7200</v>
      </c>
      <c r="S210" s="70">
        <v>7200</v>
      </c>
    </row>
    <row r="211" spans="1:19" ht="11.25">
      <c r="A211" s="1265" t="s">
        <v>4891</v>
      </c>
      <c r="C211" t="s">
        <v>3086</v>
      </c>
      <c r="E211" s="266">
        <f>tlInputEmp1BusBOpsImprove</f>
        <v>3000</v>
      </c>
      <c r="F211" s="26" t="s">
        <v>4240</v>
      </c>
      <c r="G211" s="67">
        <v>3000</v>
      </c>
      <c r="H211" s="374">
        <f>tlInputEmp1BusBOpsImprove</f>
        <v>3000</v>
      </c>
      <c r="J211" s="144"/>
      <c r="K211" s="71"/>
      <c r="O211" s="70">
        <v>3000</v>
      </c>
      <c r="P211" s="70">
        <v>3000</v>
      </c>
      <c r="Q211" s="70">
        <v>3000</v>
      </c>
      <c r="R211" s="70">
        <v>3000</v>
      </c>
      <c r="S211" s="70">
        <v>3000</v>
      </c>
    </row>
    <row r="212" spans="1:19" ht="11.25">
      <c r="A212" s="2" t="s">
        <v>714</v>
      </c>
      <c r="E212" s="266"/>
      <c r="F212" s="26"/>
      <c r="G212" s="67"/>
      <c r="H212" s="72"/>
      <c r="J212" s="144"/>
      <c r="K212" s="71"/>
      <c r="O212" s="70"/>
      <c r="P212" s="70"/>
      <c r="Q212" s="70"/>
      <c r="R212" s="70"/>
      <c r="S212" s="70"/>
    </row>
    <row r="213" spans="1:19" ht="11.25">
      <c r="A213" s="2" t="s">
        <v>3293</v>
      </c>
      <c r="E213" s="266"/>
      <c r="G213" s="67"/>
      <c r="H213" s="72"/>
      <c r="J213" s="144"/>
      <c r="K213" s="71"/>
      <c r="O213" s="70"/>
      <c r="P213" s="70"/>
      <c r="Q213" s="70"/>
      <c r="R213" s="70"/>
      <c r="S213" s="70"/>
    </row>
    <row r="214" spans="1:19" ht="11.25">
      <c r="B214" s="2" t="s">
        <v>1139</v>
      </c>
      <c r="E214" s="266"/>
      <c r="G214" s="67"/>
      <c r="H214" s="72"/>
      <c r="J214" s="144"/>
      <c r="K214" s="71"/>
      <c r="O214" s="70"/>
      <c r="P214" s="70"/>
      <c r="Q214" s="70"/>
      <c r="R214" s="70"/>
      <c r="S214" s="70"/>
    </row>
    <row r="215" spans="1:19" ht="11.25">
      <c r="B215" s="2"/>
      <c r="C215" s="700" t="s">
        <v>4923</v>
      </c>
      <c r="E215" s="266">
        <f>tlInputEmp4BusAHire</f>
        <v>20</v>
      </c>
      <c r="F215" t="s">
        <v>3102</v>
      </c>
      <c r="G215" s="67">
        <v>0</v>
      </c>
      <c r="H215" s="72">
        <f>tlInputEmp4BusAHire</f>
        <v>20</v>
      </c>
      <c r="J215" s="144"/>
      <c r="K215" s="71"/>
      <c r="O215" s="70">
        <v>20</v>
      </c>
      <c r="P215" s="70">
        <v>20</v>
      </c>
      <c r="Q215" s="70">
        <v>20</v>
      </c>
      <c r="R215" s="70">
        <v>20</v>
      </c>
      <c r="S215" s="70">
        <v>20</v>
      </c>
    </row>
    <row r="216" spans="1:19" ht="11.25">
      <c r="B216" s="2"/>
      <c r="C216" s="700" t="s">
        <v>4890</v>
      </c>
      <c r="E216" s="266">
        <f>tlInputEmp3BusAHire</f>
        <v>136</v>
      </c>
      <c r="F216" t="s">
        <v>3103</v>
      </c>
      <c r="G216" s="67">
        <v>0</v>
      </c>
      <c r="H216" s="72">
        <f>tlInputEmp3BusAHire</f>
        <v>136</v>
      </c>
      <c r="J216" s="144"/>
      <c r="K216" s="71"/>
      <c r="O216" s="70">
        <v>136</v>
      </c>
      <c r="P216" s="70">
        <v>136</v>
      </c>
      <c r="Q216" s="70">
        <v>136</v>
      </c>
      <c r="R216" s="70">
        <v>136</v>
      </c>
      <c r="S216" s="70">
        <v>136</v>
      </c>
    </row>
    <row r="217" spans="1:19" ht="11.25">
      <c r="B217" s="2"/>
      <c r="C217" s="700" t="s">
        <v>4705</v>
      </c>
      <c r="E217" s="266">
        <f>tlInputEmp2BusAHire</f>
        <v>204</v>
      </c>
      <c r="F217" t="s">
        <v>3104</v>
      </c>
      <c r="G217" s="67">
        <v>0</v>
      </c>
      <c r="H217" s="72">
        <f>tlInputEmp2BusAHire</f>
        <v>204</v>
      </c>
      <c r="J217" s="144"/>
      <c r="K217" s="71"/>
      <c r="O217" s="70">
        <v>204</v>
      </c>
      <c r="P217" s="70">
        <v>204</v>
      </c>
      <c r="Q217" s="70">
        <v>204</v>
      </c>
      <c r="R217" s="70">
        <v>204</v>
      </c>
      <c r="S217" s="70">
        <v>204</v>
      </c>
    </row>
    <row r="218" spans="1:19" ht="11.25">
      <c r="A218" s="1265" t="s">
        <v>4891</v>
      </c>
      <c r="B218" s="2"/>
      <c r="C218" s="700" t="s">
        <v>5178</v>
      </c>
      <c r="E218" s="266">
        <f>tlInputEmp1BusAHire</f>
        <v>0</v>
      </c>
      <c r="F218" t="s">
        <v>3105</v>
      </c>
      <c r="G218" s="67">
        <v>0</v>
      </c>
      <c r="H218" s="72">
        <f>tlInputEmp1BusAHire</f>
        <v>0</v>
      </c>
      <c r="J218" s="144"/>
      <c r="K218" s="71"/>
      <c r="O218" s="70">
        <v>0</v>
      </c>
      <c r="P218" s="70">
        <v>0</v>
      </c>
      <c r="Q218" s="70">
        <v>0</v>
      </c>
      <c r="R218" s="70">
        <v>0</v>
      </c>
      <c r="S218" s="70">
        <v>0</v>
      </c>
    </row>
    <row r="219" spans="1:19" ht="11.25">
      <c r="A219" s="1265" t="s">
        <v>4891</v>
      </c>
      <c r="B219" s="2"/>
      <c r="C219" t="s">
        <v>3083</v>
      </c>
      <c r="D219" t="s">
        <v>173</v>
      </c>
      <c r="E219" s="266">
        <f>tlInputEmp7BusAHire</f>
        <v>0</v>
      </c>
      <c r="F219" t="s">
        <v>4373</v>
      </c>
      <c r="G219" s="67">
        <v>0</v>
      </c>
      <c r="H219" s="72">
        <f>tlInputEmp7BusAHire</f>
        <v>0</v>
      </c>
      <c r="J219" s="144"/>
      <c r="K219" s="71"/>
      <c r="O219" s="70">
        <v>0</v>
      </c>
      <c r="P219" s="70">
        <v>0</v>
      </c>
      <c r="Q219" s="70">
        <v>0</v>
      </c>
      <c r="R219" s="70">
        <v>0</v>
      </c>
      <c r="S219" s="70">
        <v>0</v>
      </c>
    </row>
    <row r="220" spans="1:19" ht="11.25">
      <c r="A220" s="1265" t="s">
        <v>4891</v>
      </c>
      <c r="B220" s="2"/>
      <c r="C220" t="s">
        <v>3084</v>
      </c>
      <c r="D220" t="s">
        <v>173</v>
      </c>
      <c r="E220" s="266">
        <f>tlInputEmp8BusAHire</f>
        <v>0</v>
      </c>
      <c r="F220" t="s">
        <v>4374</v>
      </c>
      <c r="G220" s="67">
        <v>0</v>
      </c>
      <c r="H220" s="72">
        <f>tlInputEmp8BusAHire</f>
        <v>0</v>
      </c>
      <c r="J220" s="144"/>
      <c r="K220" s="71"/>
      <c r="O220" s="70">
        <v>0</v>
      </c>
      <c r="P220" s="70">
        <v>0</v>
      </c>
      <c r="Q220" s="70">
        <v>0</v>
      </c>
      <c r="R220" s="70">
        <v>0</v>
      </c>
      <c r="S220" s="70">
        <v>0</v>
      </c>
    </row>
    <row r="221" spans="1:19" ht="11.25">
      <c r="B221" s="2"/>
      <c r="C221" s="700" t="s">
        <v>5178</v>
      </c>
      <c r="D221" t="s">
        <v>173</v>
      </c>
      <c r="E221" s="266">
        <f>tlInputEmp9BusAHire</f>
        <v>26</v>
      </c>
      <c r="F221" t="s">
        <v>4375</v>
      </c>
      <c r="G221" s="67">
        <v>0</v>
      </c>
      <c r="H221" s="72">
        <f>tlInputEmp9BusAHire</f>
        <v>26</v>
      </c>
      <c r="J221" s="144"/>
      <c r="K221" s="71"/>
      <c r="O221" s="70">
        <v>26</v>
      </c>
      <c r="P221" s="70">
        <v>26</v>
      </c>
      <c r="Q221" s="70">
        <v>26</v>
      </c>
      <c r="R221" s="70">
        <v>26</v>
      </c>
      <c r="S221" s="70">
        <v>26</v>
      </c>
    </row>
    <row r="222" spans="1:19" ht="11.25">
      <c r="B222" s="2" t="s">
        <v>4790</v>
      </c>
      <c r="E222" s="266"/>
      <c r="G222" s="67"/>
      <c r="H222" s="72"/>
      <c r="J222" s="144"/>
      <c r="K222" s="71"/>
      <c r="O222" s="70"/>
      <c r="P222" s="70"/>
      <c r="Q222" s="70"/>
      <c r="R222" s="70"/>
      <c r="S222" s="70"/>
    </row>
    <row r="223" spans="1:19" ht="11.25">
      <c r="B223" s="2"/>
      <c r="C223" t="s">
        <v>3083</v>
      </c>
      <c r="E223" s="266" t="str">
        <f>tlInputEmp4BusADismiss</f>
        <v>Average</v>
      </c>
      <c r="F223" t="s">
        <v>716</v>
      </c>
      <c r="G223" s="67" t="s">
        <v>2295</v>
      </c>
      <c r="H223" s="72" t="str">
        <f>tlInputEmp4BusADismiss</f>
        <v>Average</v>
      </c>
      <c r="J223" s="144"/>
      <c r="K223" s="71"/>
      <c r="O223" s="70" t="s">
        <v>2295</v>
      </c>
      <c r="P223" s="70" t="s">
        <v>2295</v>
      </c>
      <c r="Q223" s="70" t="s">
        <v>2295</v>
      </c>
      <c r="R223" s="70" t="s">
        <v>2295</v>
      </c>
      <c r="S223" s="70" t="s">
        <v>2295</v>
      </c>
    </row>
    <row r="224" spans="1:19" ht="11.25">
      <c r="B224" s="2"/>
      <c r="C224" t="s">
        <v>3084</v>
      </c>
      <c r="E224" s="266" t="str">
        <f>tlInputEmp3BusADismiss</f>
        <v>Average</v>
      </c>
      <c r="F224" t="s">
        <v>1293</v>
      </c>
      <c r="G224" s="67" t="s">
        <v>2295</v>
      </c>
      <c r="H224" s="72" t="str">
        <f>tlInputEmp3BusADismiss</f>
        <v>Average</v>
      </c>
      <c r="J224" s="144"/>
      <c r="K224" s="71"/>
      <c r="O224" s="70" t="s">
        <v>2295</v>
      </c>
      <c r="P224" s="70" t="s">
        <v>2295</v>
      </c>
      <c r="Q224" s="70" t="s">
        <v>2295</v>
      </c>
      <c r="R224" s="70" t="s">
        <v>2295</v>
      </c>
      <c r="S224" s="70" t="s">
        <v>2295</v>
      </c>
    </row>
    <row r="225" spans="1:19" ht="11.25">
      <c r="B225" s="2"/>
      <c r="C225" t="s">
        <v>3085</v>
      </c>
      <c r="E225" s="266" t="str">
        <f>tlInputEmp2BusADismiss</f>
        <v>Average</v>
      </c>
      <c r="F225" t="s">
        <v>1294</v>
      </c>
      <c r="G225" s="67" t="s">
        <v>2295</v>
      </c>
      <c r="H225" s="72" t="str">
        <f>tlInputEmp2BusADismiss</f>
        <v>Average</v>
      </c>
      <c r="J225" s="144"/>
      <c r="K225" s="71"/>
      <c r="O225" s="70" t="s">
        <v>2295</v>
      </c>
      <c r="P225" s="70" t="s">
        <v>2295</v>
      </c>
      <c r="Q225" s="70" t="s">
        <v>2295</v>
      </c>
      <c r="R225" s="70" t="s">
        <v>2295</v>
      </c>
      <c r="S225" s="70" t="s">
        <v>2295</v>
      </c>
    </row>
    <row r="226" spans="1:19" ht="11.25">
      <c r="A226" s="1265" t="s">
        <v>4891</v>
      </c>
      <c r="B226" s="2"/>
      <c r="C226" t="s">
        <v>3086</v>
      </c>
      <c r="E226" s="266">
        <v>0</v>
      </c>
      <c r="F226" t="s">
        <v>1295</v>
      </c>
      <c r="G226" s="67">
        <v>0</v>
      </c>
      <c r="H226" s="72">
        <v>0</v>
      </c>
      <c r="J226" s="144"/>
      <c r="K226" s="71"/>
      <c r="O226" s="70">
        <v>0</v>
      </c>
      <c r="P226" s="70">
        <v>0</v>
      </c>
      <c r="Q226" s="70">
        <v>0</v>
      </c>
      <c r="R226" s="70">
        <v>0</v>
      </c>
      <c r="S226" s="70">
        <v>0</v>
      </c>
    </row>
    <row r="227" spans="1:19" ht="11.25">
      <c r="A227" s="1265" t="s">
        <v>4891</v>
      </c>
      <c r="B227" s="2"/>
      <c r="C227" t="s">
        <v>3083</v>
      </c>
      <c r="D227" t="s">
        <v>173</v>
      </c>
      <c r="E227" s="266">
        <v>0</v>
      </c>
      <c r="F227" t="s">
        <v>3751</v>
      </c>
      <c r="G227" s="67">
        <v>0</v>
      </c>
      <c r="H227" s="72">
        <v>0</v>
      </c>
      <c r="J227" s="144"/>
      <c r="K227" s="71"/>
      <c r="O227" s="70">
        <v>0</v>
      </c>
      <c r="P227" s="70">
        <v>0</v>
      </c>
      <c r="Q227" s="70">
        <v>0</v>
      </c>
      <c r="R227" s="70">
        <v>0</v>
      </c>
      <c r="S227" s="70">
        <v>0</v>
      </c>
    </row>
    <row r="228" spans="1:19" ht="11.25">
      <c r="A228" s="1265" t="s">
        <v>4891</v>
      </c>
      <c r="B228" s="2"/>
      <c r="C228" t="s">
        <v>3084</v>
      </c>
      <c r="D228" t="s">
        <v>173</v>
      </c>
      <c r="E228" s="266">
        <v>0</v>
      </c>
      <c r="F228" t="s">
        <v>3752</v>
      </c>
      <c r="G228" s="67">
        <v>0</v>
      </c>
      <c r="H228" s="72">
        <v>0</v>
      </c>
      <c r="J228" s="144"/>
      <c r="K228" s="71"/>
      <c r="O228" s="70">
        <v>0</v>
      </c>
      <c r="P228" s="70">
        <v>0</v>
      </c>
      <c r="Q228" s="70">
        <v>0</v>
      </c>
      <c r="R228" s="70">
        <v>0</v>
      </c>
      <c r="S228" s="70">
        <v>0</v>
      </c>
    </row>
    <row r="229" spans="1:19" ht="11.25">
      <c r="B229" s="2"/>
      <c r="C229" t="s">
        <v>3085</v>
      </c>
      <c r="D229" t="s">
        <v>173</v>
      </c>
      <c r="E229" s="266" t="str">
        <f>tlInputEmp9BusADismiss</f>
        <v>Average</v>
      </c>
      <c r="F229" t="s">
        <v>3753</v>
      </c>
      <c r="G229" s="67" t="s">
        <v>2295</v>
      </c>
      <c r="H229" s="72" t="str">
        <f>tlInputEmp9BusADismiss</f>
        <v>Average</v>
      </c>
      <c r="J229" s="144"/>
      <c r="K229" s="71"/>
      <c r="O229" s="70" t="s">
        <v>2295</v>
      </c>
      <c r="P229" s="70" t="s">
        <v>2295</v>
      </c>
      <c r="Q229" s="70" t="s">
        <v>2295</v>
      </c>
      <c r="R229" s="70" t="s">
        <v>2295</v>
      </c>
      <c r="S229" s="70" t="s">
        <v>2295</v>
      </c>
    </row>
    <row r="230" spans="1:19" ht="11.25">
      <c r="A230" s="2" t="s">
        <v>1138</v>
      </c>
      <c r="B230" s="2"/>
      <c r="E230" s="266"/>
      <c r="G230" s="67"/>
      <c r="H230" s="72"/>
      <c r="J230" s="144"/>
      <c r="K230" s="71"/>
      <c r="O230" s="70"/>
      <c r="P230" s="70"/>
      <c r="Q230" s="70"/>
      <c r="R230" s="70"/>
      <c r="S230" s="70"/>
    </row>
    <row r="231" spans="1:19" ht="11.25">
      <c r="B231" s="2" t="s">
        <v>1139</v>
      </c>
      <c r="E231" s="266"/>
      <c r="G231" s="67"/>
      <c r="H231" s="72"/>
      <c r="J231" s="144"/>
      <c r="K231" s="71"/>
      <c r="O231" s="70"/>
      <c r="P231" s="70"/>
      <c r="Q231" s="70"/>
      <c r="R231" s="70"/>
      <c r="S231" s="70"/>
    </row>
    <row r="232" spans="1:19" ht="11.25">
      <c r="A232" s="1265" t="s">
        <v>4891</v>
      </c>
      <c r="B232" s="2"/>
      <c r="C232" t="s">
        <v>3083</v>
      </c>
      <c r="E232" s="266">
        <f>tlInputEmp4BusBHire</f>
        <v>0</v>
      </c>
      <c r="F232" s="26" t="s">
        <v>3106</v>
      </c>
      <c r="G232" s="67">
        <v>0</v>
      </c>
      <c r="H232" s="72">
        <f>tlInputEmp4BusBHire</f>
        <v>0</v>
      </c>
      <c r="J232" s="144"/>
      <c r="K232" s="71"/>
      <c r="O232" s="70">
        <v>0</v>
      </c>
      <c r="P232" s="70">
        <v>0</v>
      </c>
      <c r="Q232" s="70">
        <v>0</v>
      </c>
      <c r="R232" s="70">
        <v>0</v>
      </c>
      <c r="S232" s="70">
        <v>0</v>
      </c>
    </row>
    <row r="233" spans="1:19" ht="11.25">
      <c r="A233" s="1265" t="s">
        <v>4891</v>
      </c>
      <c r="B233" s="2"/>
      <c r="C233" t="s">
        <v>3084</v>
      </c>
      <c r="E233" s="266">
        <f>tlInputEmp3BusBHire</f>
        <v>0</v>
      </c>
      <c r="F233" s="26" t="s">
        <v>3107</v>
      </c>
      <c r="G233" s="67">
        <v>0</v>
      </c>
      <c r="H233" s="72">
        <f>tlInputEmp3BusBHire</f>
        <v>0</v>
      </c>
      <c r="J233" s="144"/>
      <c r="K233" s="71"/>
      <c r="O233" s="70">
        <v>0</v>
      </c>
      <c r="P233" s="70">
        <v>0</v>
      </c>
      <c r="Q233" s="70">
        <v>0</v>
      </c>
      <c r="R233" s="70">
        <v>0</v>
      </c>
      <c r="S233" s="70">
        <v>0</v>
      </c>
    </row>
    <row r="234" spans="1:19" ht="11.25">
      <c r="A234" s="1265" t="s">
        <v>4891</v>
      </c>
      <c r="B234" s="2"/>
      <c r="C234" t="s">
        <v>3085</v>
      </c>
      <c r="E234" s="266">
        <f>tlInputEmp2BusBHire</f>
        <v>0</v>
      </c>
      <c r="F234" s="26" t="s">
        <v>145</v>
      </c>
      <c r="G234" s="67">
        <v>0</v>
      </c>
      <c r="H234" s="72">
        <f>tlInputEmp2BusBHire</f>
        <v>0</v>
      </c>
      <c r="J234" s="144"/>
      <c r="K234" s="71"/>
      <c r="O234" s="70">
        <v>0</v>
      </c>
      <c r="P234" s="70">
        <v>0</v>
      </c>
      <c r="Q234" s="70">
        <v>0</v>
      </c>
      <c r="R234" s="70">
        <v>0</v>
      </c>
      <c r="S234" s="70">
        <v>0</v>
      </c>
    </row>
    <row r="235" spans="1:19" ht="11.25">
      <c r="A235" s="1265" t="s">
        <v>4891</v>
      </c>
      <c r="B235" s="2"/>
      <c r="C235" t="s">
        <v>3086</v>
      </c>
      <c r="E235" s="266">
        <f>tlInputEmp1BusBHire</f>
        <v>0</v>
      </c>
      <c r="F235" s="26" t="s">
        <v>146</v>
      </c>
      <c r="G235" s="67">
        <v>0</v>
      </c>
      <c r="H235" s="72">
        <f>tlInputEmp1BusBHire</f>
        <v>0</v>
      </c>
      <c r="J235" s="144"/>
      <c r="K235" s="71"/>
      <c r="O235" s="70">
        <v>0</v>
      </c>
      <c r="P235" s="70">
        <v>0</v>
      </c>
      <c r="Q235" s="70">
        <v>0</v>
      </c>
      <c r="R235" s="70">
        <v>0</v>
      </c>
      <c r="S235" s="70">
        <v>0</v>
      </c>
    </row>
    <row r="236" spans="1:19" ht="11.25">
      <c r="B236" s="2" t="s">
        <v>713</v>
      </c>
      <c r="E236" s="266"/>
      <c r="G236" s="67"/>
      <c r="H236" s="72"/>
      <c r="J236" s="144"/>
      <c r="K236" s="71"/>
      <c r="O236" s="70"/>
      <c r="P236" s="70"/>
      <c r="Q236" s="70"/>
      <c r="R236" s="70"/>
      <c r="S236" s="70"/>
    </row>
    <row r="237" spans="1:19" ht="11.25">
      <c r="A237" s="1265" t="s">
        <v>4891</v>
      </c>
      <c r="B237" s="2"/>
      <c r="C237" t="s">
        <v>3083</v>
      </c>
      <c r="E237" s="266">
        <f>tlInputEmp4BusBDismiss</f>
        <v>0</v>
      </c>
      <c r="F237" t="s">
        <v>1296</v>
      </c>
      <c r="G237" s="67">
        <v>0</v>
      </c>
      <c r="H237" s="72">
        <f>tlInputEmp4BusBDismiss</f>
        <v>0</v>
      </c>
      <c r="J237" s="144"/>
      <c r="K237" s="71"/>
      <c r="O237" s="70">
        <v>0</v>
      </c>
      <c r="P237" s="70">
        <v>0</v>
      </c>
      <c r="Q237" s="70">
        <v>0</v>
      </c>
      <c r="R237" s="70">
        <v>0</v>
      </c>
      <c r="S237" s="70">
        <v>0</v>
      </c>
    </row>
    <row r="238" spans="1:19" ht="11.25">
      <c r="A238" s="1265" t="s">
        <v>4891</v>
      </c>
      <c r="B238" s="2"/>
      <c r="C238" t="s">
        <v>3084</v>
      </c>
      <c r="E238" s="266">
        <f>tlInputEmp3BusBDismiss</f>
        <v>0</v>
      </c>
      <c r="F238" t="s">
        <v>1297</v>
      </c>
      <c r="G238" s="67">
        <v>0</v>
      </c>
      <c r="H238" s="72">
        <f>tlInputEmp3BusBDismiss</f>
        <v>0</v>
      </c>
      <c r="J238" s="144"/>
      <c r="K238" s="71"/>
      <c r="O238" s="70">
        <v>0</v>
      </c>
      <c r="P238" s="70">
        <v>0</v>
      </c>
      <c r="Q238" s="70">
        <v>0</v>
      </c>
      <c r="R238" s="70">
        <v>0</v>
      </c>
      <c r="S238" s="70">
        <v>0</v>
      </c>
    </row>
    <row r="239" spans="1:19" ht="11.25">
      <c r="A239" s="1265" t="s">
        <v>4891</v>
      </c>
      <c r="B239" s="2"/>
      <c r="C239" t="s">
        <v>3085</v>
      </c>
      <c r="E239" s="266">
        <f>tlInputEmp2BusBDismiss</f>
        <v>0</v>
      </c>
      <c r="F239" t="s">
        <v>1298</v>
      </c>
      <c r="G239" s="67">
        <v>0</v>
      </c>
      <c r="H239" s="72">
        <f>tlInputEmp2BusBDismiss</f>
        <v>0</v>
      </c>
      <c r="J239" s="144"/>
      <c r="K239" s="71"/>
      <c r="O239" s="70">
        <v>0</v>
      </c>
      <c r="P239" s="70">
        <v>0</v>
      </c>
      <c r="Q239" s="70">
        <v>0</v>
      </c>
      <c r="R239" s="70">
        <v>0</v>
      </c>
      <c r="S239" s="70">
        <v>0</v>
      </c>
    </row>
    <row r="240" spans="1:19" ht="11.25">
      <c r="A240" s="1265" t="s">
        <v>4891</v>
      </c>
      <c r="B240" s="2"/>
      <c r="C240" t="s">
        <v>3086</v>
      </c>
      <c r="E240" s="1504">
        <f>tlInputEmp1BusBDismiss</f>
        <v>0</v>
      </c>
      <c r="F240" t="s">
        <v>1299</v>
      </c>
      <c r="G240" s="67">
        <v>0</v>
      </c>
      <c r="H240" s="72">
        <f>tlInputEmp1BusBDismiss</f>
        <v>0</v>
      </c>
      <c r="J240" s="144"/>
      <c r="K240" s="71"/>
      <c r="O240" s="70">
        <v>0</v>
      </c>
      <c r="P240" s="70">
        <v>0</v>
      </c>
      <c r="Q240" s="70">
        <v>0</v>
      </c>
      <c r="R240" s="70">
        <v>0</v>
      </c>
      <c r="S240" s="70">
        <v>0</v>
      </c>
    </row>
    <row r="241" spans="2:19" ht="11.25">
      <c r="E241" s="266"/>
      <c r="G241" s="67"/>
      <c r="H241" s="72"/>
      <c r="J241" s="144"/>
      <c r="K241" s="71"/>
      <c r="O241" s="70"/>
      <c r="P241" s="70"/>
      <c r="Q241" s="70"/>
      <c r="R241" s="70"/>
      <c r="S241" s="70"/>
    </row>
    <row r="242" spans="2:19" ht="11.25">
      <c r="B242" s="2" t="s">
        <v>3603</v>
      </c>
      <c r="E242" s="73"/>
      <c r="G242" s="67"/>
      <c r="H242" s="72"/>
      <c r="J242" s="144"/>
      <c r="K242" s="71"/>
      <c r="O242" s="70"/>
      <c r="P242" s="70"/>
      <c r="Q242" s="70"/>
      <c r="R242" s="70"/>
      <c r="S242" s="70"/>
    </row>
    <row r="243" spans="2:19" ht="11.25">
      <c r="C243" s="3" t="s">
        <v>1300</v>
      </c>
      <c r="E243" s="73">
        <f>tlInputEntWFHire</f>
        <v>194</v>
      </c>
      <c r="F243" s="26" t="s">
        <v>3604</v>
      </c>
      <c r="G243" s="67">
        <v>0</v>
      </c>
      <c r="H243" s="72">
        <f>tlInputEntWFHire</f>
        <v>194</v>
      </c>
      <c r="J243" s="144"/>
      <c r="K243" s="71"/>
      <c r="O243" s="70">
        <v>194</v>
      </c>
      <c r="P243" s="70">
        <v>194</v>
      </c>
      <c r="Q243" s="70">
        <v>194</v>
      </c>
      <c r="R243" s="70">
        <v>194</v>
      </c>
      <c r="S243" s="70">
        <v>194</v>
      </c>
    </row>
    <row r="244" spans="2:19" ht="11.25">
      <c r="C244" s="3" t="s">
        <v>1301</v>
      </c>
      <c r="E244" s="73" t="str">
        <f>tlInputEntWFDismiss</f>
        <v>Average</v>
      </c>
      <c r="F244" s="26" t="s">
        <v>1302</v>
      </c>
      <c r="G244" s="67" t="s">
        <v>2295</v>
      </c>
      <c r="H244" s="72" t="str">
        <f>tlInputEntWFDismiss</f>
        <v>Average</v>
      </c>
      <c r="J244" s="144"/>
      <c r="K244" s="71"/>
      <c r="O244" s="70" t="s">
        <v>2295</v>
      </c>
      <c r="P244" s="70" t="s">
        <v>2295</v>
      </c>
      <c r="Q244" s="70" t="s">
        <v>2295</v>
      </c>
      <c r="R244" s="70" t="s">
        <v>2295</v>
      </c>
      <c r="S244" s="70" t="s">
        <v>2295</v>
      </c>
    </row>
    <row r="245" spans="2:19" ht="11.25">
      <c r="E245" s="73"/>
      <c r="G245" s="67"/>
      <c r="H245" s="72"/>
      <c r="J245" s="144"/>
      <c r="K245" s="71"/>
      <c r="O245" s="70"/>
      <c r="P245" s="70"/>
      <c r="Q245" s="70"/>
      <c r="R245" s="70"/>
      <c r="S245" s="70"/>
    </row>
    <row r="246" spans="2:19" ht="11.25">
      <c r="B246" s="2" t="s">
        <v>3140</v>
      </c>
      <c r="E246" s="73"/>
      <c r="G246" s="67"/>
      <c r="H246" s="72"/>
      <c r="J246" s="144"/>
      <c r="K246" s="71"/>
      <c r="O246" s="70"/>
      <c r="P246" s="70"/>
      <c r="Q246" s="70"/>
      <c r="R246" s="70"/>
      <c r="S246" s="70"/>
    </row>
    <row r="247" spans="2:19" ht="11.25">
      <c r="C247" s="700" t="s">
        <v>4893</v>
      </c>
      <c r="E247" s="267">
        <f>tlInputEmp4Training</f>
        <v>80</v>
      </c>
      <c r="F247" s="26" t="s">
        <v>3963</v>
      </c>
      <c r="G247" s="67">
        <v>80</v>
      </c>
      <c r="H247" s="72">
        <f>tlInputEmp4Training</f>
        <v>80</v>
      </c>
      <c r="J247" s="144"/>
      <c r="K247" s="71"/>
      <c r="O247" s="70">
        <v>80</v>
      </c>
      <c r="P247" s="70">
        <v>80</v>
      </c>
      <c r="Q247" s="70">
        <v>80</v>
      </c>
      <c r="R247" s="70">
        <v>80</v>
      </c>
      <c r="S247" s="70">
        <v>80</v>
      </c>
    </row>
    <row r="248" spans="2:19" ht="11.25">
      <c r="C248" s="700" t="s">
        <v>4867</v>
      </c>
      <c r="E248" s="267">
        <f>tlInputEmp3Training</f>
        <v>120</v>
      </c>
      <c r="F248" s="26" t="s">
        <v>1961</v>
      </c>
      <c r="G248" s="67">
        <v>120</v>
      </c>
      <c r="H248" s="72">
        <f>tlInputEmp3Training</f>
        <v>120</v>
      </c>
      <c r="J248" s="144"/>
      <c r="K248" s="71"/>
      <c r="O248" s="70">
        <v>120</v>
      </c>
      <c r="P248" s="70">
        <v>120</v>
      </c>
      <c r="Q248" s="70">
        <v>120</v>
      </c>
      <c r="R248" s="70">
        <v>120</v>
      </c>
      <c r="S248" s="70">
        <v>120</v>
      </c>
    </row>
    <row r="249" spans="2:19" ht="11.25">
      <c r="C249" s="700" t="s">
        <v>4705</v>
      </c>
      <c r="E249" s="267">
        <f>tlInputEmp2Training</f>
        <v>120</v>
      </c>
      <c r="F249" s="26" t="s">
        <v>1962</v>
      </c>
      <c r="G249" s="67">
        <v>120</v>
      </c>
      <c r="H249" s="72">
        <f>tlInputEmp2Training</f>
        <v>120</v>
      </c>
      <c r="J249" s="144"/>
      <c r="K249" s="71"/>
      <c r="O249" s="70">
        <v>120</v>
      </c>
      <c r="P249" s="70">
        <v>120</v>
      </c>
      <c r="Q249" s="70">
        <v>120</v>
      </c>
      <c r="R249" s="70">
        <v>120</v>
      </c>
      <c r="S249" s="70">
        <v>120</v>
      </c>
    </row>
    <row r="250" spans="2:19" ht="11.25">
      <c r="C250" s="700" t="s">
        <v>5169</v>
      </c>
      <c r="E250" s="267">
        <f>MAX(0,ROUND(tlInputEntSvcsEmp1Training,0))</f>
        <v>120</v>
      </c>
      <c r="F250" s="26" t="s">
        <v>1963</v>
      </c>
      <c r="G250" s="67">
        <v>120</v>
      </c>
      <c r="H250" s="72">
        <f>MAX(0,ROUND(tlInputEntSvcsEmp1Training,0))</f>
        <v>120</v>
      </c>
      <c r="J250" s="144"/>
      <c r="K250" s="71"/>
      <c r="O250" s="70">
        <v>120</v>
      </c>
      <c r="P250" s="70">
        <v>120</v>
      </c>
      <c r="Q250" s="70">
        <v>120</v>
      </c>
      <c r="R250" s="70">
        <v>120</v>
      </c>
      <c r="S250" s="70">
        <v>120</v>
      </c>
    </row>
    <row r="251" spans="2:19" ht="11.25">
      <c r="C251" s="700" t="s">
        <v>4696</v>
      </c>
      <c r="E251" s="267">
        <f>tlInputEntWFTraining</f>
        <v>120</v>
      </c>
      <c r="F251" s="26" t="s">
        <v>1303</v>
      </c>
      <c r="G251" s="67">
        <v>120</v>
      </c>
      <c r="H251" s="72">
        <f>tlInputEntWFTraining</f>
        <v>120</v>
      </c>
      <c r="J251" s="144"/>
      <c r="K251" s="71"/>
      <c r="O251" s="70">
        <v>120</v>
      </c>
      <c r="P251" s="70">
        <v>120</v>
      </c>
      <c r="Q251" s="70">
        <v>120</v>
      </c>
      <c r="R251" s="70">
        <v>120</v>
      </c>
      <c r="S251" s="70">
        <v>120</v>
      </c>
    </row>
    <row r="252" spans="2:19" ht="11.25">
      <c r="B252" s="2" t="s">
        <v>4894</v>
      </c>
      <c r="E252" s="267"/>
      <c r="G252" s="67"/>
      <c r="H252" s="72"/>
      <c r="J252" s="144"/>
      <c r="K252" s="71"/>
      <c r="O252" s="70"/>
      <c r="P252" s="70"/>
      <c r="Q252" s="70"/>
      <c r="R252" s="70"/>
      <c r="S252" s="70"/>
    </row>
    <row r="253" spans="2:19" ht="11.25">
      <c r="C253" s="700" t="s">
        <v>4893</v>
      </c>
      <c r="E253" s="267">
        <f>tlInputEmp4TrainingBudget</f>
        <v>4250</v>
      </c>
      <c r="F253" s="26" t="s">
        <v>476</v>
      </c>
      <c r="G253" s="67">
        <v>4250</v>
      </c>
      <c r="H253" s="72">
        <f>tlInputEmp4TrainingBudget</f>
        <v>4250</v>
      </c>
      <c r="J253" s="144"/>
      <c r="K253" s="71"/>
      <c r="O253" s="70">
        <v>4250</v>
      </c>
      <c r="P253" s="70">
        <v>4250</v>
      </c>
      <c r="Q253" s="70">
        <v>4250</v>
      </c>
      <c r="R253" s="70">
        <v>4250</v>
      </c>
      <c r="S253" s="70">
        <v>4250</v>
      </c>
    </row>
    <row r="254" spans="2:19" ht="11.25">
      <c r="C254" s="700" t="s">
        <v>4867</v>
      </c>
      <c r="E254" s="267">
        <f>tlInputEmp3TrainingBudget</f>
        <v>4250</v>
      </c>
      <c r="F254" s="26" t="s">
        <v>477</v>
      </c>
      <c r="G254" s="67">
        <v>4250</v>
      </c>
      <c r="H254" s="72">
        <f>tlInputEmp3TrainingBudget</f>
        <v>4250</v>
      </c>
      <c r="J254" s="144"/>
      <c r="K254" s="71"/>
      <c r="O254" s="70">
        <v>4250</v>
      </c>
      <c r="P254" s="70">
        <v>4250</v>
      </c>
      <c r="Q254" s="70">
        <v>4250</v>
      </c>
      <c r="R254" s="70">
        <v>4250</v>
      </c>
      <c r="S254" s="70">
        <v>4250</v>
      </c>
    </row>
    <row r="255" spans="2:19" ht="11.25">
      <c r="C255" s="700" t="s">
        <v>4705</v>
      </c>
      <c r="E255" s="267">
        <f>tlInputEmp2TrainingBudget</f>
        <v>4250</v>
      </c>
      <c r="F255" s="26" t="s">
        <v>478</v>
      </c>
      <c r="G255" s="67">
        <v>4250</v>
      </c>
      <c r="H255" s="72">
        <f>tlInputEmp2TrainingBudget</f>
        <v>4250</v>
      </c>
      <c r="J255" s="144"/>
      <c r="K255" s="71"/>
      <c r="O255" s="70">
        <v>4250</v>
      </c>
      <c r="P255" s="70">
        <v>4250</v>
      </c>
      <c r="Q255" s="70">
        <v>4250</v>
      </c>
      <c r="R255" s="70">
        <v>4250</v>
      </c>
      <c r="S255" s="70">
        <v>4250</v>
      </c>
    </row>
    <row r="256" spans="2:19" ht="11.25">
      <c r="C256" t="s">
        <v>3086</v>
      </c>
      <c r="E256" s="267">
        <f>MAX(0,ROUND(tlInputEntSvcsEmp1TrainingNextYr,0))</f>
        <v>1000</v>
      </c>
      <c r="F256" s="26" t="s">
        <v>479</v>
      </c>
      <c r="G256" s="67">
        <v>1000</v>
      </c>
      <c r="H256" s="72">
        <f>MAX(0,ROUND(tlInputEntSvcsEmp1TrainingNextYr,0))</f>
        <v>1000</v>
      </c>
      <c r="J256" s="144"/>
      <c r="K256" s="71"/>
      <c r="O256" s="70">
        <v>1000</v>
      </c>
      <c r="P256" s="70">
        <v>1000</v>
      </c>
      <c r="Q256" s="70">
        <v>1000</v>
      </c>
      <c r="R256" s="70">
        <v>1000</v>
      </c>
      <c r="S256" s="70">
        <v>1000</v>
      </c>
    </row>
    <row r="257" spans="2:19" ht="11.25">
      <c r="C257" s="700" t="s">
        <v>4696</v>
      </c>
      <c r="E257" s="267">
        <f>tlInputEntWFTrainingBudget</f>
        <v>1500</v>
      </c>
      <c r="F257" s="26" t="s">
        <v>1405</v>
      </c>
      <c r="G257" s="67">
        <v>1500</v>
      </c>
      <c r="H257" s="72">
        <f>tlInputEntWFTrainingBudget</f>
        <v>1500</v>
      </c>
      <c r="J257" s="144"/>
      <c r="K257" s="71"/>
      <c r="O257" s="70">
        <v>1500</v>
      </c>
      <c r="P257" s="70">
        <v>1500</v>
      </c>
      <c r="Q257" s="70">
        <v>1500</v>
      </c>
      <c r="R257" s="70">
        <v>1500</v>
      </c>
      <c r="S257" s="70">
        <v>1500</v>
      </c>
    </row>
    <row r="258" spans="2:19" ht="11.25">
      <c r="B258" s="2" t="s">
        <v>4830</v>
      </c>
      <c r="E258" s="73"/>
      <c r="G258" s="67"/>
      <c r="H258" s="72"/>
      <c r="J258" s="144"/>
      <c r="K258" s="71"/>
      <c r="O258" s="70"/>
      <c r="P258" s="70"/>
      <c r="Q258" s="70"/>
      <c r="R258" s="70"/>
      <c r="S258" s="70"/>
    </row>
    <row r="259" spans="2:19" ht="11.25">
      <c r="B259" s="2"/>
      <c r="C259" t="s">
        <v>3083</v>
      </c>
      <c r="E259" s="705" t="str">
        <f>tlInputEmp4SalaryLvl</f>
        <v>At Market</v>
      </c>
      <c r="F259" s="26" t="s">
        <v>4831</v>
      </c>
      <c r="G259" s="67" t="s">
        <v>2450</v>
      </c>
      <c r="H259" s="72" t="str">
        <f>tlInputEmp4SalaryLvl</f>
        <v>At Market</v>
      </c>
      <c r="J259" s="144"/>
      <c r="K259" s="71"/>
      <c r="O259" s="70" t="s">
        <v>2450</v>
      </c>
      <c r="P259" s="70" t="s">
        <v>2450</v>
      </c>
      <c r="Q259" s="70" t="s">
        <v>2450</v>
      </c>
      <c r="R259" s="70" t="s">
        <v>2450</v>
      </c>
      <c r="S259" s="70" t="s">
        <v>2450</v>
      </c>
    </row>
    <row r="260" spans="2:19" ht="11.25">
      <c r="B260" s="2"/>
      <c r="C260" t="s">
        <v>3084</v>
      </c>
      <c r="E260" s="705" t="str">
        <f>tlInputEmp3SalaryLvl</f>
        <v>At Market</v>
      </c>
      <c r="F260" s="26" t="s">
        <v>4832</v>
      </c>
      <c r="G260" s="67" t="s">
        <v>2450</v>
      </c>
      <c r="H260" s="72" t="str">
        <f>tlInputEmp3SalaryLvl</f>
        <v>At Market</v>
      </c>
      <c r="J260" s="144"/>
      <c r="K260" s="71"/>
      <c r="O260" s="70" t="s">
        <v>2450</v>
      </c>
      <c r="P260" s="70" t="s">
        <v>2450</v>
      </c>
      <c r="Q260" s="70" t="s">
        <v>2450</v>
      </c>
      <c r="R260" s="70" t="s">
        <v>2450</v>
      </c>
      <c r="S260" s="70" t="s">
        <v>2450</v>
      </c>
    </row>
    <row r="261" spans="2:19" ht="11.25">
      <c r="B261" s="2"/>
      <c r="C261" t="s">
        <v>3085</v>
      </c>
      <c r="E261" s="705" t="str">
        <f>tlInputEmp2SalaryLvl</f>
        <v>At Market</v>
      </c>
      <c r="F261" s="26" t="s">
        <v>4833</v>
      </c>
      <c r="G261" s="67" t="s">
        <v>2450</v>
      </c>
      <c r="H261" s="72" t="str">
        <f>tlInputEmp2SalaryLvl</f>
        <v>At Market</v>
      </c>
      <c r="J261" s="144"/>
      <c r="K261" s="71"/>
      <c r="O261" s="70" t="s">
        <v>2450</v>
      </c>
      <c r="P261" s="70" t="s">
        <v>2450</v>
      </c>
      <c r="Q261" s="70" t="s">
        <v>2450</v>
      </c>
      <c r="R261" s="70" t="s">
        <v>2450</v>
      </c>
      <c r="S261" s="70" t="s">
        <v>2450</v>
      </c>
    </row>
    <row r="262" spans="2:19" ht="11.25">
      <c r="B262" s="2"/>
      <c r="C262" t="s">
        <v>3086</v>
      </c>
      <c r="E262" s="73"/>
      <c r="F262" s="26" t="s">
        <v>4834</v>
      </c>
      <c r="G262" s="67"/>
      <c r="H262" s="72"/>
      <c r="J262" s="144"/>
      <c r="K262" s="71"/>
      <c r="O262" s="70"/>
      <c r="P262" s="70"/>
      <c r="Q262" s="70"/>
      <c r="R262" s="70"/>
      <c r="S262" s="70"/>
    </row>
    <row r="263" spans="2:19" ht="11.25">
      <c r="B263" s="2"/>
      <c r="E263" s="73"/>
      <c r="G263" s="67"/>
      <c r="H263" s="72"/>
      <c r="J263" s="144"/>
      <c r="K263" s="71"/>
      <c r="O263" s="70"/>
      <c r="P263" s="70"/>
      <c r="Q263" s="70"/>
      <c r="R263" s="70"/>
      <c r="S263" s="70"/>
    </row>
    <row r="264" spans="2:19" ht="11.25">
      <c r="B264" s="2" t="s">
        <v>1964</v>
      </c>
      <c r="E264" s="73">
        <f>tlInputProd1Adv</f>
        <v>7500</v>
      </c>
      <c r="F264" s="26" t="s">
        <v>3485</v>
      </c>
      <c r="G264" s="67">
        <v>7500</v>
      </c>
      <c r="H264" s="72">
        <f>tlInputProd1Adv</f>
        <v>7500</v>
      </c>
      <c r="J264" s="144"/>
      <c r="K264" s="71"/>
      <c r="O264" s="70">
        <v>7500</v>
      </c>
      <c r="P264" s="70">
        <v>7500</v>
      </c>
      <c r="Q264" s="70">
        <v>7500</v>
      </c>
      <c r="R264" s="70">
        <v>7500</v>
      </c>
      <c r="S264" s="70">
        <v>7500</v>
      </c>
    </row>
    <row r="265" spans="2:19" ht="11.25">
      <c r="B265" s="2" t="s">
        <v>4709</v>
      </c>
      <c r="E265" s="73">
        <f>tlInputEntSvcsSalesSupportLevelPrac1</f>
        <v>90000</v>
      </c>
      <c r="F265" s="700" t="s">
        <v>6572</v>
      </c>
      <c r="G265" s="67">
        <v>225000</v>
      </c>
      <c r="H265" s="72">
        <f>tlInputEntSvcsSalesSupportLevelPrac1</f>
        <v>90000</v>
      </c>
      <c r="J265" s="144"/>
      <c r="K265" s="71"/>
      <c r="O265" s="70">
        <v>90000</v>
      </c>
      <c r="P265" s="70">
        <v>90000</v>
      </c>
      <c r="Q265" s="70">
        <v>90000</v>
      </c>
      <c r="R265" s="70">
        <v>90000</v>
      </c>
      <c r="S265" s="70">
        <v>90000</v>
      </c>
    </row>
    <row r="266" spans="2:19" ht="11.25">
      <c r="B266" s="2" t="s">
        <v>4710</v>
      </c>
      <c r="E266" s="73">
        <f>tlInputEntSvcsSalesSupportLevelPrac2</f>
        <v>40000</v>
      </c>
      <c r="F266" s="700" t="s">
        <v>6573</v>
      </c>
      <c r="G266" s="67">
        <v>225000</v>
      </c>
      <c r="H266" s="72">
        <f>tlInputEntSvcsSalesSupportLevelPrac2</f>
        <v>40000</v>
      </c>
      <c r="J266" s="144"/>
      <c r="K266" s="71"/>
      <c r="O266" s="70">
        <v>40000</v>
      </c>
      <c r="P266" s="70">
        <v>40000</v>
      </c>
      <c r="Q266" s="70">
        <v>40000</v>
      </c>
      <c r="R266" s="70">
        <v>40000</v>
      </c>
      <c r="S266" s="70">
        <v>40000</v>
      </c>
    </row>
    <row r="267" spans="2:19" ht="11.25">
      <c r="B267" s="2" t="s">
        <v>4711</v>
      </c>
      <c r="E267" s="73">
        <f>tlInputEntSvcsSalesSupportLevelPrac3</f>
        <v>15000</v>
      </c>
      <c r="F267" s="700" t="s">
        <v>6574</v>
      </c>
      <c r="G267" s="67">
        <v>225000</v>
      </c>
      <c r="H267" s="72">
        <f>tlInputEntSvcsSalesSupportLevelPrac3</f>
        <v>15000</v>
      </c>
      <c r="J267" s="144"/>
      <c r="K267" s="71"/>
      <c r="O267" s="70">
        <v>15000</v>
      </c>
      <c r="P267" s="70">
        <v>15000</v>
      </c>
      <c r="Q267" s="70">
        <v>15000</v>
      </c>
      <c r="R267" s="70">
        <v>15000</v>
      </c>
      <c r="S267" s="70">
        <v>15000</v>
      </c>
    </row>
    <row r="268" spans="2:19" ht="11.25">
      <c r="E268" s="73"/>
      <c r="G268" s="67"/>
      <c r="H268" s="72"/>
      <c r="J268" s="144"/>
      <c r="K268" s="71"/>
      <c r="O268" s="70"/>
      <c r="P268" s="70"/>
      <c r="Q268" s="70"/>
      <c r="R268" s="70"/>
      <c r="S268" s="70"/>
    </row>
    <row r="269" spans="2:19" ht="11.25">
      <c r="B269" s="2" t="s">
        <v>4778</v>
      </c>
      <c r="E269" s="73"/>
      <c r="G269" s="67"/>
      <c r="H269" s="72"/>
      <c r="J269" s="144"/>
      <c r="K269" s="71"/>
      <c r="O269" s="70"/>
      <c r="P269" s="70"/>
      <c r="Q269" s="70"/>
      <c r="R269" s="70"/>
      <c r="S269" s="70"/>
    </row>
    <row r="270" spans="2:19" ht="11.25">
      <c r="C270" t="s">
        <v>4927</v>
      </c>
      <c r="E270" s="73">
        <f>tlInputIndustryEminence</f>
        <v>3</v>
      </c>
      <c r="F270" t="s">
        <v>4930</v>
      </c>
      <c r="G270" s="67">
        <v>3</v>
      </c>
      <c r="H270" s="72">
        <f>tlInputIndustryEminence</f>
        <v>3</v>
      </c>
      <c r="J270" s="144"/>
      <c r="K270" s="71"/>
      <c r="O270" s="70">
        <v>3</v>
      </c>
      <c r="P270" s="70">
        <v>3</v>
      </c>
      <c r="Q270" s="70">
        <v>3</v>
      </c>
      <c r="R270" s="70">
        <v>3</v>
      </c>
      <c r="S270" s="70">
        <v>3</v>
      </c>
    </row>
    <row r="271" spans="2:19" ht="11.25">
      <c r="C271" t="s">
        <v>4774</v>
      </c>
      <c r="E271" s="73">
        <f>tlInputInternalassets</f>
        <v>3</v>
      </c>
      <c r="F271" t="s">
        <v>4781</v>
      </c>
      <c r="G271" s="67">
        <v>3</v>
      </c>
      <c r="H271" s="72">
        <f>tlInputInternalassets</f>
        <v>3</v>
      </c>
      <c r="J271" s="144"/>
      <c r="K271" s="71"/>
      <c r="O271" s="70">
        <v>3</v>
      </c>
      <c r="P271" s="70">
        <v>3</v>
      </c>
      <c r="Q271" s="70">
        <v>3</v>
      </c>
      <c r="R271" s="70">
        <v>3</v>
      </c>
      <c r="S271" s="70">
        <v>3</v>
      </c>
    </row>
    <row r="272" spans="2:19" ht="11.25">
      <c r="E272" s="73"/>
      <c r="G272" s="67"/>
      <c r="H272" s="72"/>
      <c r="J272" s="144"/>
      <c r="K272" s="71"/>
      <c r="O272" s="70"/>
      <c r="P272" s="70"/>
      <c r="Q272" s="70"/>
      <c r="R272" s="70"/>
      <c r="S272" s="70"/>
    </row>
    <row r="273" spans="2:19" ht="11.25">
      <c r="B273" s="2" t="s">
        <v>365</v>
      </c>
      <c r="E273" s="74"/>
      <c r="G273" s="25"/>
      <c r="H273" s="71"/>
      <c r="J273" s="144"/>
      <c r="K273" s="71"/>
      <c r="O273" s="70"/>
      <c r="P273" s="70"/>
      <c r="Q273" s="70"/>
      <c r="R273" s="70"/>
      <c r="S273" s="70"/>
    </row>
    <row r="274" spans="2:19" ht="11.25">
      <c r="B274" t="s">
        <v>47</v>
      </c>
      <c r="E274" s="74">
        <f>tlInputSpecProg1</f>
        <v>0</v>
      </c>
      <c r="F274" s="26" t="s">
        <v>2639</v>
      </c>
      <c r="G274" s="25">
        <v>0</v>
      </c>
      <c r="H274" s="71">
        <f>tlInputSpecProg1</f>
        <v>0</v>
      </c>
      <c r="J274" s="144"/>
      <c r="K274" s="71"/>
      <c r="O274" s="70"/>
      <c r="P274" s="70"/>
      <c r="Q274" s="70"/>
      <c r="R274" s="70"/>
      <c r="S274" s="70"/>
    </row>
    <row r="275" spans="2:19" ht="11.25">
      <c r="B275" t="s">
        <v>48</v>
      </c>
      <c r="E275" s="74">
        <f>tlInputSpecProg2</f>
        <v>0</v>
      </c>
      <c r="F275" s="26" t="s">
        <v>2640</v>
      </c>
      <c r="G275" s="25">
        <v>0</v>
      </c>
      <c r="H275" s="71">
        <f>tlInputSpecProg2</f>
        <v>0</v>
      </c>
      <c r="J275" s="144"/>
      <c r="K275" s="71"/>
      <c r="O275" s="70"/>
      <c r="P275" s="70"/>
      <c r="Q275" s="70"/>
      <c r="R275" s="70"/>
      <c r="S275" s="70"/>
    </row>
    <row r="276" spans="2:19" ht="11.25">
      <c r="B276" t="s">
        <v>49</v>
      </c>
      <c r="E276" s="74">
        <f>tlInputSpecProg3</f>
        <v>0</v>
      </c>
      <c r="F276" s="26" t="s">
        <v>2641</v>
      </c>
      <c r="G276" s="25">
        <v>0</v>
      </c>
      <c r="H276" s="71">
        <f>tlInputSpecProg3</f>
        <v>0</v>
      </c>
      <c r="J276" s="144"/>
      <c r="K276" s="71"/>
      <c r="O276" s="70"/>
      <c r="P276" s="70"/>
      <c r="Q276" s="70"/>
      <c r="R276" s="70"/>
      <c r="S276" s="70"/>
    </row>
    <row r="277" spans="2:19" ht="11.25">
      <c r="B277" t="s">
        <v>50</v>
      </c>
      <c r="E277" s="74">
        <f>tlInputSpecProg4</f>
        <v>0</v>
      </c>
      <c r="F277" s="26" t="s">
        <v>2642</v>
      </c>
      <c r="G277" s="25">
        <v>0</v>
      </c>
      <c r="H277" s="71">
        <f>tlInputSpecProg4</f>
        <v>0</v>
      </c>
      <c r="J277" s="144"/>
      <c r="K277" s="71"/>
      <c r="O277" s="70"/>
      <c r="P277" s="70"/>
      <c r="Q277" s="70"/>
      <c r="R277" s="70"/>
      <c r="S277" s="70"/>
    </row>
    <row r="278" spans="2:19" ht="11.25">
      <c r="B278" t="s">
        <v>3554</v>
      </c>
      <c r="E278" s="74">
        <f>tlInputSpecProg5</f>
        <v>0</v>
      </c>
      <c r="F278" s="26" t="s">
        <v>2643</v>
      </c>
      <c r="G278" s="25">
        <v>0</v>
      </c>
      <c r="H278" s="71">
        <f>tlInputSpecProg5</f>
        <v>0</v>
      </c>
      <c r="J278" s="144"/>
      <c r="K278" s="71"/>
      <c r="O278" s="70"/>
      <c r="P278" s="70"/>
      <c r="Q278" s="70"/>
      <c r="R278" s="70"/>
      <c r="S278" s="70"/>
    </row>
    <row r="279" spans="2:19" ht="11.25">
      <c r="B279" t="s">
        <v>3300</v>
      </c>
      <c r="E279" s="74" t="str">
        <f>tlInputSpecProg6</f>
        <v>-</v>
      </c>
      <c r="F279" s="26" t="s">
        <v>1145</v>
      </c>
      <c r="G279" s="25">
        <v>0</v>
      </c>
      <c r="H279" s="71" t="str">
        <f>tlInputSpecProg6</f>
        <v>-</v>
      </c>
      <c r="J279" s="144"/>
      <c r="K279" s="71"/>
      <c r="O279" s="70" t="s">
        <v>6571</v>
      </c>
      <c r="P279" s="70" t="s">
        <v>6571</v>
      </c>
      <c r="Q279" s="70" t="s">
        <v>6571</v>
      </c>
      <c r="R279" s="70" t="s">
        <v>6571</v>
      </c>
      <c r="S279" s="70" t="s">
        <v>6571</v>
      </c>
    </row>
    <row r="280" spans="2:19" ht="11.25">
      <c r="B280" t="s">
        <v>3301</v>
      </c>
      <c r="E280" s="74" t="str">
        <f>tlInputSpecProg7</f>
        <v>-</v>
      </c>
      <c r="F280" s="26" t="s">
        <v>1146</v>
      </c>
      <c r="G280" s="25">
        <v>0</v>
      </c>
      <c r="H280" s="71" t="str">
        <f>tlInputSpecProg7</f>
        <v>-</v>
      </c>
      <c r="J280" s="144"/>
      <c r="K280" s="71"/>
      <c r="O280" s="70" t="s">
        <v>6571</v>
      </c>
      <c r="P280" s="70" t="s">
        <v>6571</v>
      </c>
      <c r="Q280" s="70" t="s">
        <v>6571</v>
      </c>
      <c r="R280" s="70" t="s">
        <v>6571</v>
      </c>
      <c r="S280" s="70" t="s">
        <v>6571</v>
      </c>
    </row>
    <row r="281" spans="2:19" ht="11.25">
      <c r="E281" s="74"/>
      <c r="G281" s="25"/>
      <c r="H281" s="71"/>
      <c r="J281" s="144"/>
      <c r="K281" s="71"/>
      <c r="O281" s="70"/>
      <c r="P281" s="70"/>
      <c r="Q281" s="70"/>
      <c r="R281" s="70"/>
      <c r="S281" s="70"/>
    </row>
    <row r="282" spans="2:19" ht="11.25">
      <c r="E282" s="74"/>
      <c r="G282" s="25"/>
      <c r="H282" s="71"/>
      <c r="J282" s="144"/>
      <c r="K282" s="71"/>
      <c r="O282" s="70"/>
      <c r="P282" s="70"/>
      <c r="Q282" s="70"/>
      <c r="R282" s="70"/>
      <c r="S282" s="70"/>
    </row>
    <row r="283" spans="2:19" ht="11.25">
      <c r="E283" s="74"/>
      <c r="G283" s="25"/>
      <c r="H283" s="71"/>
      <c r="J283" s="144"/>
      <c r="K283" s="71"/>
      <c r="O283" s="70"/>
      <c r="P283" s="70"/>
      <c r="Q283" s="70"/>
      <c r="R283" s="70"/>
      <c r="S283" s="70"/>
    </row>
    <row r="284" spans="2:19" ht="12" thickBot="1">
      <c r="E284" s="74"/>
      <c r="G284" s="25"/>
      <c r="H284" s="71"/>
      <c r="I284" s="74"/>
      <c r="J284" s="144"/>
      <c r="K284" s="71"/>
      <c r="O284" s="70"/>
      <c r="P284" s="70"/>
      <c r="Q284" s="70"/>
      <c r="R284" s="70"/>
      <c r="S284" s="70"/>
    </row>
    <row r="285" spans="2:19" ht="13.5" thickBot="1">
      <c r="B285" t="s">
        <v>357</v>
      </c>
      <c r="D285" s="179">
        <v>0</v>
      </c>
      <c r="E285" s="1508">
        <f>tlInputWobbler1</f>
        <v>0</v>
      </c>
      <c r="F285" t="s">
        <v>2980</v>
      </c>
      <c r="G285" s="25">
        <v>0</v>
      </c>
      <c r="H285" s="71">
        <f>tlInputWobbler1</f>
        <v>0</v>
      </c>
      <c r="J285" s="144"/>
      <c r="K285" s="71"/>
      <c r="O285" s="70">
        <v>0</v>
      </c>
      <c r="P285" s="70">
        <v>0</v>
      </c>
      <c r="Q285" s="70">
        <v>0</v>
      </c>
      <c r="R285" s="70">
        <v>0</v>
      </c>
      <c r="S285" s="70">
        <v>0</v>
      </c>
    </row>
    <row r="286" spans="2:19" ht="13.5" thickBot="1">
      <c r="B286" t="s">
        <v>358</v>
      </c>
      <c r="D286" s="179">
        <v>0</v>
      </c>
      <c r="E286" s="1508">
        <f>tlInputWobbler2</f>
        <v>0</v>
      </c>
      <c r="F286" t="s">
        <v>2981</v>
      </c>
      <c r="G286" s="25">
        <v>0</v>
      </c>
      <c r="H286" s="71">
        <f>tlInputWobbler2</f>
        <v>0</v>
      </c>
      <c r="J286" s="144"/>
      <c r="K286" s="71"/>
      <c r="O286" s="70">
        <v>0</v>
      </c>
      <c r="P286" s="70">
        <v>0</v>
      </c>
      <c r="Q286" s="70">
        <v>0</v>
      </c>
      <c r="R286" s="70">
        <v>0</v>
      </c>
      <c r="S286" s="70">
        <v>0</v>
      </c>
    </row>
    <row r="287" spans="2:19" ht="13.5" thickBot="1">
      <c r="B287" t="s">
        <v>359</v>
      </c>
      <c r="D287" s="179">
        <v>0</v>
      </c>
      <c r="E287" s="1508">
        <f>tlInputWobbler3</f>
        <v>0</v>
      </c>
      <c r="F287" t="s">
        <v>2982</v>
      </c>
      <c r="G287" s="25">
        <v>0</v>
      </c>
      <c r="H287" s="71">
        <f>tlInputWobbler3</f>
        <v>0</v>
      </c>
      <c r="J287" s="144"/>
      <c r="K287" s="71"/>
      <c r="O287" s="70">
        <v>0</v>
      </c>
      <c r="P287" s="70">
        <v>0</v>
      </c>
      <c r="Q287" s="70">
        <v>0</v>
      </c>
      <c r="R287" s="70">
        <v>0</v>
      </c>
      <c r="S287" s="70">
        <v>0</v>
      </c>
    </row>
    <row r="288" spans="2:19" ht="13.5" thickBot="1">
      <c r="B288" t="s">
        <v>2979</v>
      </c>
      <c r="D288" s="179">
        <v>0</v>
      </c>
      <c r="E288" s="1508">
        <f>tlInputWobbler4</f>
        <v>0</v>
      </c>
      <c r="F288" t="s">
        <v>2983</v>
      </c>
      <c r="G288" s="25">
        <v>0</v>
      </c>
      <c r="H288" s="71">
        <f>tlInputWobbler4</f>
        <v>0</v>
      </c>
      <c r="J288" s="144"/>
      <c r="K288" s="71"/>
      <c r="O288" s="70">
        <v>0</v>
      </c>
      <c r="P288" s="70">
        <v>0</v>
      </c>
      <c r="Q288" s="70">
        <v>0</v>
      </c>
      <c r="R288" s="70">
        <v>0</v>
      </c>
      <c r="S288" s="70">
        <v>0</v>
      </c>
    </row>
    <row r="289" spans="1:19" ht="11.25">
      <c r="E289" s="74"/>
      <c r="G289" s="25"/>
      <c r="H289" s="71"/>
      <c r="I289" s="74"/>
      <c r="J289" s="144"/>
      <c r="K289" s="71"/>
      <c r="O289" s="70"/>
      <c r="P289" s="70"/>
      <c r="Q289" s="70"/>
      <c r="R289" s="70"/>
      <c r="S289" s="70"/>
    </row>
    <row r="290" spans="1:19" ht="11.25">
      <c r="B290" t="s">
        <v>564</v>
      </c>
      <c r="E290" s="74"/>
      <c r="G290" s="25"/>
      <c r="H290" s="71"/>
      <c r="J290" s="144"/>
      <c r="K290" s="71"/>
      <c r="O290" s="70"/>
      <c r="P290" s="70"/>
      <c r="Q290" s="70"/>
      <c r="R290" s="70"/>
      <c r="S290" s="70"/>
    </row>
    <row r="291" spans="1:19" ht="11.25">
      <c r="B291" t="s">
        <v>565</v>
      </c>
      <c r="E291" s="74"/>
      <c r="G291" s="25"/>
      <c r="H291" s="71"/>
      <c r="J291" s="144"/>
      <c r="K291" s="71"/>
      <c r="O291" s="70"/>
      <c r="P291" s="70"/>
      <c r="Q291" s="70"/>
      <c r="R291" s="70"/>
      <c r="S291" s="70"/>
    </row>
    <row r="292" spans="1:19" ht="11.25">
      <c r="B292" t="s">
        <v>566</v>
      </c>
      <c r="E292" s="74"/>
      <c r="G292" s="25"/>
      <c r="H292" s="71"/>
      <c r="J292" s="144"/>
      <c r="K292" s="71"/>
      <c r="O292" s="70"/>
      <c r="P292" s="70"/>
      <c r="Q292" s="70"/>
      <c r="R292" s="70"/>
      <c r="S292" s="70"/>
    </row>
    <row r="293" spans="1:19" ht="11.25">
      <c r="B293" t="s">
        <v>567</v>
      </c>
      <c r="E293" s="74"/>
      <c r="G293" s="25"/>
      <c r="H293" s="71"/>
      <c r="J293" s="144"/>
      <c r="K293" s="71"/>
      <c r="O293" s="70"/>
      <c r="P293" s="70"/>
      <c r="Q293" s="70"/>
      <c r="R293" s="70"/>
      <c r="S293" s="70"/>
    </row>
    <row r="294" spans="1:19" ht="11.25">
      <c r="B294" t="s">
        <v>568</v>
      </c>
      <c r="E294" s="74"/>
      <c r="G294" s="25"/>
      <c r="H294" s="71"/>
      <c r="J294" s="144"/>
      <c r="K294" s="71"/>
      <c r="O294" s="70"/>
      <c r="P294" s="70"/>
      <c r="Q294" s="70"/>
      <c r="R294" s="70"/>
      <c r="S294" s="70"/>
    </row>
    <row r="295" spans="1:19" ht="11.25">
      <c r="B295" t="s">
        <v>569</v>
      </c>
      <c r="E295" s="74"/>
      <c r="G295" s="25"/>
      <c r="H295" s="71"/>
      <c r="J295" s="144"/>
      <c r="K295" s="71"/>
      <c r="O295" s="70"/>
      <c r="P295" s="70"/>
      <c r="Q295" s="70"/>
      <c r="R295" s="70"/>
      <c r="S295" s="70"/>
    </row>
    <row r="296" spans="1:19" ht="11.25">
      <c r="B296" t="s">
        <v>570</v>
      </c>
      <c r="E296" s="74"/>
      <c r="G296" s="25"/>
      <c r="H296" s="71"/>
      <c r="J296" s="144"/>
      <c r="K296" s="71"/>
      <c r="O296" s="70"/>
      <c r="P296" s="70"/>
      <c r="Q296" s="70"/>
      <c r="R296" s="70"/>
      <c r="S296" s="70"/>
    </row>
    <row r="297" spans="1:19" ht="11.25">
      <c r="B297" t="s">
        <v>571</v>
      </c>
      <c r="E297" s="74"/>
      <c r="G297" s="25"/>
      <c r="H297" s="71"/>
      <c r="J297" s="144"/>
      <c r="K297" s="71"/>
      <c r="O297" s="70"/>
      <c r="P297" s="70"/>
      <c r="Q297" s="70"/>
      <c r="R297" s="70"/>
      <c r="S297" s="70"/>
    </row>
    <row r="298" spans="1:19" ht="11.25">
      <c r="B298" t="s">
        <v>572</v>
      </c>
      <c r="E298" s="74"/>
      <c r="G298" s="25"/>
      <c r="H298" s="71"/>
      <c r="J298" s="144"/>
      <c r="K298" s="71"/>
      <c r="O298" s="70"/>
      <c r="P298" s="70"/>
      <c r="Q298" s="70"/>
      <c r="R298" s="70"/>
      <c r="S298" s="70"/>
    </row>
    <row r="299" spans="1:19" ht="11.25">
      <c r="B299" t="s">
        <v>573</v>
      </c>
      <c r="E299" s="74"/>
      <c r="G299" s="25"/>
      <c r="H299" s="71"/>
      <c r="J299" s="144"/>
      <c r="K299" s="71"/>
      <c r="O299" s="70"/>
      <c r="P299" s="70"/>
      <c r="Q299" s="70"/>
      <c r="R299" s="70"/>
      <c r="S299" s="70"/>
    </row>
    <row r="300" spans="1:19" ht="11.25">
      <c r="E300" s="74"/>
      <c r="G300" s="25"/>
      <c r="H300" s="71"/>
      <c r="J300" s="144"/>
      <c r="K300" s="71"/>
      <c r="O300" s="70"/>
      <c r="P300" s="70"/>
      <c r="Q300" s="70"/>
      <c r="R300" s="70"/>
      <c r="S300" s="70"/>
    </row>
    <row r="301" spans="1:19" ht="11.25">
      <c r="E301" s="74"/>
      <c r="G301" s="25"/>
      <c r="H301" s="71"/>
      <c r="J301" s="144"/>
      <c r="K301" s="71"/>
      <c r="O301" s="70"/>
      <c r="P301" s="70"/>
      <c r="Q301" s="70"/>
      <c r="R301" s="70"/>
      <c r="S301" s="70"/>
    </row>
    <row r="302" spans="1:19" ht="11.25">
      <c r="E302" s="74"/>
      <c r="G302" s="25"/>
      <c r="H302" s="71"/>
      <c r="J302" s="144"/>
      <c r="K302" s="71"/>
      <c r="O302" s="70"/>
      <c r="P302" s="70"/>
      <c r="Q302" s="70"/>
      <c r="R302" s="70"/>
      <c r="S302" s="70"/>
    </row>
    <row r="303" spans="1:19" ht="11.25">
      <c r="E303" s="74"/>
      <c r="G303" s="25"/>
      <c r="H303" s="71"/>
      <c r="J303" s="144"/>
      <c r="K303" s="71"/>
      <c r="O303" s="70"/>
      <c r="P303" s="70"/>
      <c r="Q303" s="70"/>
      <c r="R303" s="70"/>
      <c r="S303" s="70"/>
    </row>
    <row r="304" spans="1:19" ht="11.25">
      <c r="A304" s="2" t="s">
        <v>3905</v>
      </c>
      <c r="E304" s="74"/>
      <c r="G304" s="25"/>
      <c r="H304" s="71"/>
      <c r="J304" s="144"/>
      <c r="K304" s="71"/>
      <c r="O304" s="70"/>
      <c r="P304" s="70"/>
      <c r="Q304" s="70"/>
      <c r="R304" s="70"/>
      <c r="S304" s="70"/>
    </row>
    <row r="305" spans="2:19" ht="11.25">
      <c r="E305" s="74"/>
      <c r="G305" s="25"/>
      <c r="H305" s="71"/>
      <c r="J305" s="144"/>
      <c r="K305" s="71"/>
      <c r="O305" s="70"/>
      <c r="P305" s="70"/>
      <c r="Q305" s="70"/>
      <c r="R305" s="70"/>
      <c r="S305" s="70"/>
    </row>
    <row r="306" spans="2:19" ht="11.25">
      <c r="E306" s="74"/>
      <c r="G306" s="25"/>
      <c r="H306" s="71"/>
      <c r="J306" s="144"/>
      <c r="K306" s="71"/>
      <c r="O306" s="70"/>
      <c r="P306" s="70"/>
      <c r="Q306" s="70"/>
      <c r="R306" s="70"/>
      <c r="S306" s="70"/>
    </row>
    <row r="307" spans="2:19" ht="11.25">
      <c r="B307" t="s">
        <v>4080</v>
      </c>
      <c r="E307" s="74" t="b">
        <f>INDEX(cbalCashValue,1)&gt;0</f>
        <v>1</v>
      </c>
      <c r="G307" s="25" t="b">
        <v>1</v>
      </c>
      <c r="H307" s="172" t="b">
        <f>INDEX(cbalCashValue,1)&gt;0</f>
        <v>1</v>
      </c>
      <c r="J307" s="144"/>
      <c r="K307" s="71"/>
      <c r="M307" t="s">
        <v>4394</v>
      </c>
      <c r="O307" s="70" t="b">
        <v>1</v>
      </c>
      <c r="P307" s="70" t="b">
        <v>1</v>
      </c>
      <c r="Q307" s="70" t="b">
        <v>1</v>
      </c>
      <c r="R307" s="70" t="b">
        <v>1</v>
      </c>
      <c r="S307" s="70" t="b">
        <v>1</v>
      </c>
    </row>
  </sheetData>
  <phoneticPr fontId="0" type="noConversion"/>
  <dataValidations disablePrompts="1" count="1">
    <dataValidation operator="greaterThanOrEqual" allowBlank="1" showInputMessage="1" showErrorMessage="1" error="Must be a positive number" sqref="C44:C46"/>
  </dataValidations>
  <pageMargins left="0.5" right="0.5" top="0.5" bottom="0.5"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p">
    <tabColor rgb="FF0AAE02"/>
  </sheetPr>
  <dimension ref="A1:J2600"/>
  <sheetViews>
    <sheetView topLeftCell="B380" zoomScaleNormal="100" workbookViewId="0">
      <selection activeCell="J395" sqref="J395"/>
    </sheetView>
  </sheetViews>
  <sheetFormatPr defaultColWidth="18.83203125" defaultRowHeight="12.75" customHeight="1"/>
  <cols>
    <col min="1" max="1" width="3.83203125" customWidth="1"/>
    <col min="2" max="2" width="4.1640625" customWidth="1"/>
    <col min="3" max="3" width="33" bestFit="1" customWidth="1"/>
    <col min="4" max="4" width="13" customWidth="1"/>
    <col min="5" max="5" width="22.5" bestFit="1" customWidth="1"/>
    <col min="6" max="6" width="39.33203125" bestFit="1" customWidth="1"/>
    <col min="7" max="8" width="9.33203125" customWidth="1"/>
    <col min="9" max="10" width="11.83203125" customWidth="1"/>
  </cols>
  <sheetData>
    <row r="1" spans="1:7" s="91" customFormat="1" ht="15.75">
      <c r="A1" s="91" t="s">
        <v>1473</v>
      </c>
      <c r="E1" s="91" t="s">
        <v>470</v>
      </c>
    </row>
    <row r="2" spans="1:7" ht="11.25"/>
    <row r="3" spans="1:7" ht="15.75">
      <c r="A3" s="22" t="s">
        <v>193</v>
      </c>
      <c r="B3" s="23"/>
      <c r="C3" s="23"/>
      <c r="D3" s="23"/>
      <c r="E3" s="23"/>
    </row>
    <row r="4" spans="1:7" ht="11.25"/>
    <row r="5" spans="1:7" ht="11.25">
      <c r="A5" s="140" t="str">
        <f>DataNameProd1 &amp; " Sold/Forecasted"</f>
        <v>Consulting Sold/Forecasted</v>
      </c>
      <c r="B5" s="23"/>
      <c r="C5" s="23"/>
      <c r="D5" s="23"/>
      <c r="E5" s="23"/>
      <c r="G5" t="b">
        <f>MAX(E5:E5)=MIN(E5:E5)</f>
        <v>1</v>
      </c>
    </row>
    <row r="6" spans="1:7" ht="11.25">
      <c r="B6" s="3" t="str">
        <f>DataNameProd1&amp;" V1 Sold"</f>
        <v>Consulting V1 Sold</v>
      </c>
      <c r="E6" s="21">
        <f>IF(xxSim0Tool1=0,MMProd1UnitsSoldSeg1,capProd1V1HrsForecast)</f>
        <v>852248.16297476855</v>
      </c>
      <c r="F6" t="s">
        <v>3882</v>
      </c>
      <c r="G6" t="b">
        <f>MAX(E6:E6)=MIN(E6:E6)</f>
        <v>1</v>
      </c>
    </row>
    <row r="7" spans="1:7" ht="11.25">
      <c r="B7" s="3" t="str">
        <f>DataNameProd1&amp;" V2 Sold"</f>
        <v>Consulting V2 Sold</v>
      </c>
      <c r="E7" s="21">
        <f>IF(xxSim0Tool1=0,MMProd1UnitsSoldSeg2,capProd1V2HrsForecast)</f>
        <v>539313.29063247086</v>
      </c>
      <c r="F7" t="s">
        <v>3883</v>
      </c>
      <c r="G7" t="b">
        <f>MAX(E7:E7)=MIN(E7:E7)</f>
        <v>1</v>
      </c>
    </row>
    <row r="8" spans="1:7" ht="11.25">
      <c r="B8" s="3" t="str">
        <f>DataNameProd1&amp;" V3 Sold"</f>
        <v>Consulting V3 Sold</v>
      </c>
      <c r="E8" s="21">
        <f>IF(xxSim0Tool1=0,MMProd1UnitsSoldSeg3,capProd1V3HrsForecast)</f>
        <v>251616.12430683646</v>
      </c>
      <c r="F8" t="s">
        <v>1742</v>
      </c>
      <c r="G8" t="b">
        <f>MAX(E8:E8)=MIN(E8:E8)</f>
        <v>1</v>
      </c>
    </row>
    <row r="9" spans="1:7" ht="11.25">
      <c r="A9" s="2"/>
      <c r="B9" s="3" t="str">
        <f>DataNameProd1&amp;" Total  Sold"</f>
        <v>Consulting Total  Sold</v>
      </c>
      <c r="C9" s="2"/>
      <c r="D9" s="2"/>
      <c r="E9" s="21">
        <f>IF(xxSim0Tool1=0,MMTotalUnits,capProd1V1HrsForecast+capProd1V2HrsForecast+capProd1V3HrsForecast)</f>
        <v>1643177.5779140757</v>
      </c>
      <c r="F9" t="s">
        <v>1743</v>
      </c>
      <c r="G9" t="b">
        <f>MAX(E9:E9)=MIN(E9:E9)</f>
        <v>1</v>
      </c>
    </row>
    <row r="10" spans="1:7" ht="11.25">
      <c r="E10" s="11"/>
      <c r="G10" t="b">
        <f>MAX(E10:E10)=MIN(E10:E10)</f>
        <v>1</v>
      </c>
    </row>
    <row r="11" spans="1:7" ht="11.25">
      <c r="A11" s="2" t="s">
        <v>1835</v>
      </c>
      <c r="E11" s="11"/>
      <c r="G11" t="b">
        <f>MAX(E11:E11)=MIN(E11:E11)</f>
        <v>1</v>
      </c>
    </row>
    <row r="12" spans="1:7" ht="11.25">
      <c r="B12" t="s">
        <v>1368</v>
      </c>
      <c r="E12" s="11"/>
      <c r="G12" t="b">
        <f>MAX(E12:E12)=MIN(E12:E12)</f>
        <v>1</v>
      </c>
    </row>
    <row r="13" spans="1:7" ht="11.25">
      <c r="C13" t="s">
        <v>1142</v>
      </c>
      <c r="D13" s="12">
        <v>0.04</v>
      </c>
      <c r="E13" s="13">
        <f>((paramBusBH1RevPullThruWeight*obalY1V1H1BidRev)+(paramBusBH2RevPullThruWeight*obalY1V1H2BidRev)+(paramBusBH3RevPullThruWeight*obalY1V1H3BidRev)*$D13)</f>
        <v>0</v>
      </c>
      <c r="F13" t="s">
        <v>505</v>
      </c>
      <c r="G13" t="b">
        <f>MAX(E13:E13)=MIN(E13:E13)</f>
        <v>1</v>
      </c>
    </row>
    <row r="14" spans="1:7" ht="11.25">
      <c r="C14" t="s">
        <v>1902</v>
      </c>
      <c r="D14" s="12">
        <v>0.04</v>
      </c>
      <c r="E14" s="11">
        <f>((paramBusBH1RevPullThruWeight*obalY1V1H1BidRev)*$D14)</f>
        <v>0</v>
      </c>
      <c r="F14" t="s">
        <v>2748</v>
      </c>
      <c r="G14" t="b">
        <f>MAX(E14:E14)=MIN(E14:E14)</f>
        <v>1</v>
      </c>
    </row>
    <row r="15" spans="1:7" ht="11.25">
      <c r="C15" t="s">
        <v>1903</v>
      </c>
      <c r="D15" s="12">
        <v>0.04</v>
      </c>
      <c r="E15" s="11">
        <f>((paramBusBH2RevPullThruWeight*obalY1V1H2BidRev)*$D15)</f>
        <v>0</v>
      </c>
      <c r="F15" t="s">
        <v>1376</v>
      </c>
      <c r="G15" t="b">
        <f>MAX(E15:E15)=MIN(E15:E15)</f>
        <v>1</v>
      </c>
    </row>
    <row r="16" spans="1:7" ht="11.25">
      <c r="C16" t="s">
        <v>1904</v>
      </c>
      <c r="D16" s="12">
        <v>0.04</v>
      </c>
      <c r="E16" s="11">
        <f>((paramBusBH3RevPullThruWeight*obalY1V1H3BidRev)*$D16)</f>
        <v>0</v>
      </c>
      <c r="F16" t="s">
        <v>1377</v>
      </c>
      <c r="G16" t="b">
        <f>MAX(E16:E16)=MIN(E16:E16)</f>
        <v>1</v>
      </c>
    </row>
    <row r="17" spans="2:7" ht="11.25">
      <c r="C17" t="s">
        <v>1900</v>
      </c>
      <c r="D17" s="12">
        <v>0.04</v>
      </c>
      <c r="E17" s="11">
        <f>((paramBusBH1RevPullThruWeight*obalY2V1H1BidRev)+(paramBusBH2RevPullThruWeight*obalY2V1H2BidRev)+(paramBusBH3RevPullThruWeight*obalY2V1H3BidRev)*$D17)</f>
        <v>0</v>
      </c>
      <c r="F17" t="s">
        <v>497</v>
      </c>
      <c r="G17" t="b">
        <f>MAX(E17:E17)=MIN(E17:E17)</f>
        <v>1</v>
      </c>
    </row>
    <row r="18" spans="2:7" ht="11.25">
      <c r="C18" t="s">
        <v>1905</v>
      </c>
      <c r="D18" s="12">
        <v>0.04</v>
      </c>
      <c r="E18" s="11">
        <f>((paramBusBH1RevPullThruWeight*obalY2V1H1BidRev)*$D18)</f>
        <v>0</v>
      </c>
      <c r="F18" t="s">
        <v>4171</v>
      </c>
      <c r="G18" t="b">
        <f>MAX(E18:E18)=MIN(E18:E18)</f>
        <v>1</v>
      </c>
    </row>
    <row r="19" spans="2:7" ht="11.25">
      <c r="C19" t="s">
        <v>1906</v>
      </c>
      <c r="D19" s="12">
        <v>0.04</v>
      </c>
      <c r="E19" s="11">
        <f>((paramBusBH2RevPullThruWeight*obalY2V1H2BidRev)*$D19)</f>
        <v>0</v>
      </c>
      <c r="F19" t="s">
        <v>4172</v>
      </c>
      <c r="G19" t="b">
        <f>MAX(E19:E19)=MIN(E19:E19)</f>
        <v>1</v>
      </c>
    </row>
    <row r="20" spans="2:7" ht="11.25">
      <c r="C20" t="s">
        <v>1907</v>
      </c>
      <c r="D20" s="12">
        <v>0.04</v>
      </c>
      <c r="E20" s="11">
        <f>((paramBusBH3RevPullThruWeight*obalY2V1H3BidRev)*$D20)</f>
        <v>0</v>
      </c>
      <c r="F20" t="s">
        <v>4173</v>
      </c>
      <c r="G20" t="b">
        <f>MAX(E20:E20)=MIN(E20:E20)</f>
        <v>1</v>
      </c>
    </row>
    <row r="21" spans="2:7" ht="11.25">
      <c r="C21" t="s">
        <v>1901</v>
      </c>
      <c r="D21" s="12">
        <v>0.04</v>
      </c>
      <c r="E21" s="11">
        <f>((paramBusBH1RevPullThruWeight*obalY3V1H1BidRev)+(paramBusBH2RevPullThruWeight*obalY3V1H2BidRev)+(paramBusBH3RevPullThruWeight*obalY3V1H3BidRev)*$D21)</f>
        <v>0</v>
      </c>
      <c r="F21" t="s">
        <v>501</v>
      </c>
      <c r="G21" t="b">
        <f>MAX(E21:E21)=MIN(E21:E21)</f>
        <v>1</v>
      </c>
    </row>
    <row r="22" spans="2:7" ht="11.25">
      <c r="C22" t="s">
        <v>1908</v>
      </c>
      <c r="D22" s="12">
        <v>0.04</v>
      </c>
      <c r="E22" s="11">
        <f>((paramBusBH1RevPullThruWeight*obalY3V1H1BidRev)*$D22)</f>
        <v>0</v>
      </c>
      <c r="F22" t="s">
        <v>1982</v>
      </c>
      <c r="G22" t="b">
        <f>MAX(E22:E22)=MIN(E22:E22)</f>
        <v>1</v>
      </c>
    </row>
    <row r="23" spans="2:7" ht="11.25">
      <c r="C23" t="s">
        <v>1909</v>
      </c>
      <c r="D23" s="12">
        <v>0.04</v>
      </c>
      <c r="E23" s="11">
        <f>((paramBusBH2RevPullThruWeight*obalY3V1H2BidRev)*$D23)</f>
        <v>0</v>
      </c>
      <c r="F23" t="s">
        <v>1983</v>
      </c>
      <c r="G23" t="b">
        <f>MAX(E23:E23)=MIN(E23:E23)</f>
        <v>1</v>
      </c>
    </row>
    <row r="24" spans="2:7" ht="11.25">
      <c r="C24" t="s">
        <v>1910</v>
      </c>
      <c r="D24" s="12">
        <v>0.04</v>
      </c>
      <c r="E24" s="11">
        <f>((paramBusBH3RevPullThruWeight*obalY3V1H3BidRev)*$D24)</f>
        <v>0</v>
      </c>
      <c r="F24" t="s">
        <v>3779</v>
      </c>
      <c r="G24" t="b">
        <f>MAX(E24:E24)=MIN(E24:E24)</f>
        <v>1</v>
      </c>
    </row>
    <row r="25" spans="2:7" ht="11.25">
      <c r="B25" t="s">
        <v>1369</v>
      </c>
      <c r="D25" s="12">
        <v>0.04</v>
      </c>
      <c r="G25" t="b">
        <f>MAX(E25:E25)=MIN(E25:E25)</f>
        <v>1</v>
      </c>
    </row>
    <row r="26" spans="2:7" ht="11.25">
      <c r="C26" t="s">
        <v>1142</v>
      </c>
      <c r="D26" s="12">
        <v>0.04</v>
      </c>
      <c r="E26" s="13">
        <f>((paramBusBH1RevPullThruWeight*obalY1V2H1BidRev)+(paramBusBH2RevPullThruWeight*obalY1V2H2BidRev)+(paramBusBH3RevPullThruWeight*obalY1V2H3BidRev)*$D26)</f>
        <v>0</v>
      </c>
      <c r="F26" t="s">
        <v>504</v>
      </c>
      <c r="G26" t="b">
        <f>MAX(E26:E26)=MIN(E26:E26)</f>
        <v>1</v>
      </c>
    </row>
    <row r="27" spans="2:7" ht="11.25">
      <c r="C27" t="s">
        <v>1902</v>
      </c>
      <c r="D27" s="12">
        <v>0.04</v>
      </c>
      <c r="E27" s="11">
        <f>((paramBusBH1RevPullThruWeight*obalY1V2H1BidRev)*$D27)</f>
        <v>0</v>
      </c>
      <c r="F27" t="s">
        <v>648</v>
      </c>
      <c r="G27" t="b">
        <f>MAX(E27:E27)=MIN(E27:E27)</f>
        <v>1</v>
      </c>
    </row>
    <row r="28" spans="2:7" ht="11.25">
      <c r="C28" t="s">
        <v>1903</v>
      </c>
      <c r="D28" s="12">
        <v>0.04</v>
      </c>
      <c r="E28" s="11">
        <f>((paramBusBH2RevPullThruWeight*obalY1V2H2BidRev)*$D28)</f>
        <v>0</v>
      </c>
      <c r="F28" t="s">
        <v>649</v>
      </c>
      <c r="G28" t="b">
        <f>MAX(E28:E28)=MIN(E28:E28)</f>
        <v>1</v>
      </c>
    </row>
    <row r="29" spans="2:7" ht="11.25">
      <c r="C29" t="s">
        <v>1904</v>
      </c>
      <c r="D29" s="12">
        <v>0.04</v>
      </c>
      <c r="E29" s="11">
        <f>((paramBusBH3RevPullThruWeight*obalY1V2H3BidRev)*$D29)</f>
        <v>0</v>
      </c>
      <c r="F29" t="s">
        <v>4170</v>
      </c>
      <c r="G29" t="b">
        <f>MAX(E29:E29)=MIN(E29:E29)</f>
        <v>1</v>
      </c>
    </row>
    <row r="30" spans="2:7" ht="11.25">
      <c r="C30" t="s">
        <v>1900</v>
      </c>
      <c r="D30" s="12">
        <v>0.04</v>
      </c>
      <c r="E30" s="11">
        <f>((paramBusBH1RevPullThruWeight*obalY2V2H1BidRev)+(paramBusBH2RevPullThruWeight*obalY2V2H2BidRev)+(paramBusBH3RevPullThruWeight*obalY2V2H3BidRev)*$D30)</f>
        <v>0</v>
      </c>
      <c r="F30" t="s">
        <v>498</v>
      </c>
      <c r="G30" t="b">
        <f>MAX(E30:E30)=MIN(E30:E30)</f>
        <v>1</v>
      </c>
    </row>
    <row r="31" spans="2:7" ht="11.25">
      <c r="C31" t="s">
        <v>1905</v>
      </c>
      <c r="D31" s="12">
        <v>0.04</v>
      </c>
      <c r="E31" s="11">
        <f>((paramBusBH1RevPullThruWeight*obalY2V2H1BidRev)*$D31)</f>
        <v>0</v>
      </c>
      <c r="F31" t="s">
        <v>545</v>
      </c>
      <c r="G31" t="b">
        <f>MAX(E31:E31)=MIN(E31:E31)</f>
        <v>1</v>
      </c>
    </row>
    <row r="32" spans="2:7" ht="11.25">
      <c r="C32" t="s">
        <v>1906</v>
      </c>
      <c r="D32" s="12">
        <v>0.04</v>
      </c>
      <c r="E32" s="11">
        <f>((paramBusBH2RevPullThruWeight*obalY2V2H2BidRev)*$D32)</f>
        <v>0</v>
      </c>
      <c r="F32" t="s">
        <v>546</v>
      </c>
      <c r="G32" t="b">
        <f>MAX(E32:E32)=MIN(E32:E32)</f>
        <v>1</v>
      </c>
    </row>
    <row r="33" spans="2:7" ht="11.25">
      <c r="C33" t="s">
        <v>1907</v>
      </c>
      <c r="D33" s="12">
        <v>0.04</v>
      </c>
      <c r="E33" s="11">
        <f>((paramBusBH3RevPullThruWeight*obalY2V2H3BidRev)*$D33)</f>
        <v>0</v>
      </c>
      <c r="F33" t="s">
        <v>4490</v>
      </c>
      <c r="G33" t="b">
        <f>MAX(E33:E33)=MIN(E33:E33)</f>
        <v>1</v>
      </c>
    </row>
    <row r="34" spans="2:7" ht="11.25">
      <c r="C34" t="s">
        <v>1901</v>
      </c>
      <c r="D34" s="12">
        <v>0.04</v>
      </c>
      <c r="E34" s="11">
        <f>((paramBusBH1RevPullThruWeight*obalY3V2H1BidRev)+(paramBusBH2RevPullThruWeight*obalY3V2H2BidRev)+(paramBusBH3RevPullThruWeight*obalY3V2H3BidRev)*$D34)</f>
        <v>0</v>
      </c>
      <c r="F34" t="s">
        <v>500</v>
      </c>
      <c r="G34" t="b">
        <f>MAX(E34:E34)=MIN(E34:E34)</f>
        <v>1</v>
      </c>
    </row>
    <row r="35" spans="2:7" ht="11.25">
      <c r="C35" t="s">
        <v>1908</v>
      </c>
      <c r="D35" s="12">
        <v>0.04</v>
      </c>
      <c r="E35" s="11">
        <f>((paramBusBH1RevPullThruWeight*obalY3V2H1BidRev)*$D35)</f>
        <v>0</v>
      </c>
      <c r="F35" t="s">
        <v>4491</v>
      </c>
      <c r="G35" t="b">
        <f>MAX(E35:E35)=MIN(E35:E35)</f>
        <v>1</v>
      </c>
    </row>
    <row r="36" spans="2:7" ht="11.25">
      <c r="C36" t="s">
        <v>1909</v>
      </c>
      <c r="D36" s="12">
        <v>0.04</v>
      </c>
      <c r="E36" s="11">
        <f>((paramBusBH2RevPullThruWeight*obalY3V2H2BidRev)*$D36)</f>
        <v>0</v>
      </c>
      <c r="F36" t="s">
        <v>4492</v>
      </c>
      <c r="G36" t="b">
        <f>MAX(E36:E36)=MIN(E36:E36)</f>
        <v>1</v>
      </c>
    </row>
    <row r="37" spans="2:7" ht="11.25">
      <c r="C37" t="s">
        <v>1910</v>
      </c>
      <c r="D37" s="12">
        <v>0.04</v>
      </c>
      <c r="E37" s="11">
        <f>((paramBusBH3RevPullThruWeight*obalY3V2H3BidRev)*$D37)</f>
        <v>0</v>
      </c>
      <c r="F37" t="s">
        <v>4541</v>
      </c>
      <c r="G37" t="b">
        <f>MAX(E37:E37)=MIN(E37:E37)</f>
        <v>1</v>
      </c>
    </row>
    <row r="38" spans="2:7" ht="11.25">
      <c r="B38" t="s">
        <v>3432</v>
      </c>
      <c r="D38" s="12">
        <v>0.04</v>
      </c>
      <c r="E38" s="11"/>
      <c r="G38" t="b">
        <f>MAX(E38:E38)=MIN(E38:E38)</f>
        <v>1</v>
      </c>
    </row>
    <row r="39" spans="2:7" ht="11.25">
      <c r="C39" t="s">
        <v>1142</v>
      </c>
      <c r="D39" s="12">
        <v>0.04</v>
      </c>
      <c r="E39" s="13">
        <f>((paramBusBH1RevPullThruWeight*obalY1V3H1BidRev)+(paramBusBH2RevPullThruWeight*obalY1V3H2BidRev)+(paramBusBH3RevPullThruWeight*obalY1V3H3BidRev)*$D39)</f>
        <v>0</v>
      </c>
      <c r="F39" t="s">
        <v>503</v>
      </c>
      <c r="G39" t="b">
        <f>MAX(E39:E39)=MIN(E39:E39)</f>
        <v>1</v>
      </c>
    </row>
    <row r="40" spans="2:7" ht="11.25">
      <c r="C40" t="s">
        <v>1902</v>
      </c>
      <c r="D40" s="12">
        <v>0.04</v>
      </c>
      <c r="E40" s="11">
        <f>((paramBusBH1RevPullThruWeight*obalY1V3H1BidRev)*$D40)</f>
        <v>0</v>
      </c>
      <c r="F40" t="s">
        <v>4542</v>
      </c>
      <c r="G40" t="b">
        <f>MAX(E40:E40)=MIN(E40:E40)</f>
        <v>1</v>
      </c>
    </row>
    <row r="41" spans="2:7" ht="11.25">
      <c r="C41" t="s">
        <v>1903</v>
      </c>
      <c r="D41" s="12">
        <v>0.04</v>
      </c>
      <c r="E41" s="11">
        <f>((paramBusBH2RevPullThruWeight*obalY1V3H2BidRev)*$D41)</f>
        <v>0</v>
      </c>
      <c r="F41" t="s">
        <v>4543</v>
      </c>
      <c r="G41" t="b">
        <f>MAX(E41:E41)=MIN(E41:E41)</f>
        <v>1</v>
      </c>
    </row>
    <row r="42" spans="2:7" ht="11.25">
      <c r="C42" t="s">
        <v>1904</v>
      </c>
      <c r="D42" s="12">
        <v>0.04</v>
      </c>
      <c r="E42" s="11">
        <f>((paramBusBH3RevPullThruWeight*obalY1V3H3BidRev)*$D42)</f>
        <v>0</v>
      </c>
      <c r="F42" t="s">
        <v>4544</v>
      </c>
      <c r="G42" t="b">
        <f>MAX(E42:E42)=MIN(E42:E42)</f>
        <v>1</v>
      </c>
    </row>
    <row r="43" spans="2:7" ht="11.25">
      <c r="C43" t="s">
        <v>1900</v>
      </c>
      <c r="D43" s="12">
        <v>0.04</v>
      </c>
      <c r="E43" s="11">
        <f>((paramBusBH1RevPullThruWeight*obalY2V3H1BidRev)+(paramBusBH2RevPullThruWeight*obalY2V3H2BidRev)+(paramBusBH3RevPullThruWeight*obalY2V3H3BidRev)*$D43)</f>
        <v>0</v>
      </c>
      <c r="F43" t="s">
        <v>499</v>
      </c>
      <c r="G43" t="b">
        <f>MAX(E43:E43)=MIN(E43:E43)</f>
        <v>1</v>
      </c>
    </row>
    <row r="44" spans="2:7" ht="11.25">
      <c r="C44" t="s">
        <v>1905</v>
      </c>
      <c r="D44" s="12">
        <v>0.04</v>
      </c>
      <c r="E44" s="11">
        <f>((paramBusBH1RevPullThruWeight*obalY2V3H1BidRev)*$D44)</f>
        <v>0</v>
      </c>
      <c r="F44" t="s">
        <v>4545</v>
      </c>
      <c r="G44" t="b">
        <f>MAX(E44:E44)=MIN(E44:E44)</f>
        <v>1</v>
      </c>
    </row>
    <row r="45" spans="2:7" ht="11.25">
      <c r="C45" t="s">
        <v>1906</v>
      </c>
      <c r="D45" s="12">
        <v>0.04</v>
      </c>
      <c r="E45" s="11">
        <f>((paramBusBH2RevPullThruWeight*obalY2V3H2BidRev)*$D45)</f>
        <v>0</v>
      </c>
      <c r="F45" t="s">
        <v>4546</v>
      </c>
      <c r="G45" t="b">
        <f>MAX(E45:E45)=MIN(E45:E45)</f>
        <v>1</v>
      </c>
    </row>
    <row r="46" spans="2:7" ht="11.25">
      <c r="C46" t="s">
        <v>1907</v>
      </c>
      <c r="D46" s="12">
        <v>0.04</v>
      </c>
      <c r="E46" s="11">
        <f>((paramBusBH3RevPullThruWeight*obalY2V3H3BidRev)*$D46)</f>
        <v>0</v>
      </c>
      <c r="F46" t="s">
        <v>4547</v>
      </c>
      <c r="G46" t="b">
        <f>MAX(E46:E46)=MIN(E46:E46)</f>
        <v>1</v>
      </c>
    </row>
    <row r="47" spans="2:7" ht="11.25">
      <c r="C47" t="s">
        <v>1901</v>
      </c>
      <c r="D47" s="12">
        <v>0.04</v>
      </c>
      <c r="E47" s="11">
        <f>((paramBusBH1RevPullThruWeight*obalY3V3H1BidRev)+(paramBusBH2RevPullThruWeight*obalY3V3H2BidRev)+(paramBusBH3RevPullThruWeight*obalY3V3H3BidRev)*$D47)</f>
        <v>0</v>
      </c>
      <c r="F47" t="s">
        <v>502</v>
      </c>
      <c r="G47" t="b">
        <f>MAX(E47:E47)=MIN(E47:E47)</f>
        <v>1</v>
      </c>
    </row>
    <row r="48" spans="2:7" ht="11.25">
      <c r="C48" t="s">
        <v>1908</v>
      </c>
      <c r="D48" s="12">
        <v>0.04</v>
      </c>
      <c r="E48" s="11">
        <f>((paramBusBH1RevPullThruWeight*obalY3V3H1BidRev)*$D48)</f>
        <v>0</v>
      </c>
      <c r="F48" t="s">
        <v>4548</v>
      </c>
      <c r="G48" t="b">
        <f>MAX(E48:E48)=MIN(E48:E48)</f>
        <v>1</v>
      </c>
    </row>
    <row r="49" spans="1:7" ht="11.25">
      <c r="C49" t="s">
        <v>1909</v>
      </c>
      <c r="D49" s="12">
        <v>0.04</v>
      </c>
      <c r="E49" s="11">
        <f>((paramBusBH2RevPullThruWeight*obalY3V3H2BidRev)*$D49)</f>
        <v>0</v>
      </c>
      <c r="F49" t="s">
        <v>4549</v>
      </c>
      <c r="G49" t="b">
        <f>MAX(E49:E49)=MIN(E49:E49)</f>
        <v>1</v>
      </c>
    </row>
    <row r="50" spans="1:7" ht="11.25">
      <c r="C50" t="s">
        <v>1910</v>
      </c>
      <c r="D50" s="12">
        <v>0.04</v>
      </c>
      <c r="E50" s="11">
        <f>((paramBusBH3RevPullThruWeight*obalY3V3H3BidRev)*$D50)</f>
        <v>0</v>
      </c>
      <c r="F50" t="s">
        <v>178</v>
      </c>
      <c r="G50" t="b">
        <f>MAX(E50:E50)=MIN(E50:E50)</f>
        <v>1</v>
      </c>
    </row>
    <row r="51" spans="1:7" ht="11.25">
      <c r="G51" t="b">
        <f>MAX(E51:E51)=MIN(E51:E51)</f>
        <v>1</v>
      </c>
    </row>
    <row r="52" spans="1:7" ht="11.25">
      <c r="B52" t="s">
        <v>1340</v>
      </c>
      <c r="E52" s="11">
        <f>capBusAV1Y1RevFromPullThru+capBusAV1Y2RevFromPullThru+capBusAV1Y3RevFromPullThru+capBusAV2Y1RevFromPullThru+capBusAV2Y2RevFromPullThru+capBusAV2Y3RevFromPullThru+capBusAV3Y1RevFromPullThru+capBusAV3Y2RevFromPullThru+capBusAV3Y3RevFromPullThru</f>
        <v>0</v>
      </c>
      <c r="F52" t="s">
        <v>1684</v>
      </c>
      <c r="G52" t="b">
        <f>MAX(E52:E52)=MIN(E52:E52)</f>
        <v>1</v>
      </c>
    </row>
    <row r="53" spans="1:7" ht="11.25">
      <c r="E53" s="11"/>
      <c r="G53" t="b">
        <f>MAX(E53:E53)=MIN(E53:E53)</f>
        <v>1</v>
      </c>
    </row>
    <row r="54" spans="1:7" ht="11.25">
      <c r="A54" s="140" t="s">
        <v>2786</v>
      </c>
      <c r="B54" s="23"/>
      <c r="C54" s="23"/>
      <c r="D54" s="23"/>
      <c r="E54" s="23"/>
      <c r="G54" t="b">
        <f>MAX(E54:E54)=MIN(E54:E54)</f>
        <v>1</v>
      </c>
    </row>
    <row r="55" spans="1:7" ht="11.25">
      <c r="A55" t="s">
        <v>1188</v>
      </c>
      <c r="E55" s="11">
        <f>IF(xxSim0Tool1=1,finPNLBusBTotalRev,finPNLBusBTotalRev-capBusBTotalForecastRev)</f>
        <v>117600000</v>
      </c>
      <c r="G55" t="b">
        <f>MAX(E55:E55)=MIN(E55:E55)</f>
        <v>1</v>
      </c>
    </row>
    <row r="56" spans="1:7" ht="11.25">
      <c r="B56" t="s">
        <v>3624</v>
      </c>
      <c r="E56" s="11"/>
      <c r="G56" t="b">
        <f>MAX(E56:E56)=MIN(E56:E56)</f>
        <v>1</v>
      </c>
    </row>
    <row r="57" spans="1:7" ht="11.25">
      <c r="B57" t="s">
        <v>951</v>
      </c>
      <c r="E57" s="324">
        <f>IF(decBid1Check=TRUE,capBid1Price/paramBusBYearsPerContract,0)</f>
        <v>0</v>
      </c>
      <c r="F57" t="s">
        <v>185</v>
      </c>
      <c r="G57" t="b">
        <f>MAX(E57:E57)=MIN(E57:E57)</f>
        <v>1</v>
      </c>
    </row>
    <row r="58" spans="1:7" ht="11.25">
      <c r="B58" t="s">
        <v>952</v>
      </c>
      <c r="E58" s="324">
        <f>IF(decBid2Check=TRUE,capBid2Price/paramBusBYearsPerContract,0)</f>
        <v>0</v>
      </c>
      <c r="F58" t="s">
        <v>2665</v>
      </c>
      <c r="G58" t="b">
        <f>MAX(E58:E58)=MIN(E58:E58)</f>
        <v>1</v>
      </c>
    </row>
    <row r="59" spans="1:7" ht="11.25">
      <c r="B59" t="s">
        <v>953</v>
      </c>
      <c r="E59" s="324">
        <f>IF(decBid3Check=TRUE,capBid3Price/paramBusBYearsPerContract,0)</f>
        <v>0</v>
      </c>
      <c r="F59" t="s">
        <v>1032</v>
      </c>
      <c r="G59" t="b">
        <f>MAX(E59:E59)=MIN(E59:E59)</f>
        <v>1</v>
      </c>
    </row>
    <row r="60" spans="1:7" ht="11.25">
      <c r="B60" t="s">
        <v>954</v>
      </c>
      <c r="E60" s="324">
        <f>IF(decBid4Check=TRUE,capBid4Price/paramBusBYearsPerContract,0)</f>
        <v>0</v>
      </c>
      <c r="F60" t="s">
        <v>1033</v>
      </c>
      <c r="G60" t="b">
        <f>MAX(E60:E60)=MIN(E60:E60)</f>
        <v>1</v>
      </c>
    </row>
    <row r="61" spans="1:7" ht="11.25">
      <c r="B61" t="s">
        <v>955</v>
      </c>
      <c r="E61" s="324">
        <f>IF(decBid5Check=TRUE,capBid5Price/paramBusBYearsPerContract,0)</f>
        <v>0</v>
      </c>
      <c r="F61" t="s">
        <v>2431</v>
      </c>
      <c r="G61" t="b">
        <f>MAX(E61:E61)=MIN(E61:E61)</f>
        <v>1</v>
      </c>
    </row>
    <row r="62" spans="1:7" ht="11.25">
      <c r="B62" t="s">
        <v>1498</v>
      </c>
      <c r="E62" s="324">
        <f>IF(decBid6Check=TRUE,capBid6Price/paramBusBYearsPerContract,0)</f>
        <v>0</v>
      </c>
      <c r="F62" t="s">
        <v>2432</v>
      </c>
      <c r="G62" t="b">
        <f>MAX(E62:E62)=MIN(E62:E62)</f>
        <v>1</v>
      </c>
    </row>
    <row r="63" spans="1:7" ht="11.25">
      <c r="B63" t="s">
        <v>1499</v>
      </c>
      <c r="E63" s="324">
        <f>IF(decBid7Check=TRUE,capBid7Price/paramBusBYearsPerContract,0)</f>
        <v>0</v>
      </c>
      <c r="F63" t="s">
        <v>2433</v>
      </c>
      <c r="G63" t="b">
        <f>MAX(E63:E63)=MIN(E63:E63)</f>
        <v>1</v>
      </c>
    </row>
    <row r="64" spans="1:7" ht="11.25">
      <c r="B64" t="s">
        <v>1500</v>
      </c>
      <c r="E64" s="324">
        <f>IF(decBid8Check=TRUE,capBid8Price/paramBusBYearsPerContract,0)</f>
        <v>0</v>
      </c>
      <c r="F64" t="s">
        <v>2434</v>
      </c>
      <c r="G64" t="b">
        <f>MAX(E64:E64)=MIN(E64:E64)</f>
        <v>1</v>
      </c>
    </row>
    <row r="65" spans="1:7" ht="11.25">
      <c r="B65" t="s">
        <v>1501</v>
      </c>
      <c r="E65" s="401">
        <f>IF(decBid9Check=TRUE,capBid9Price/paramBusBYearsPerContract,0)</f>
        <v>0</v>
      </c>
      <c r="F65" t="s">
        <v>1502</v>
      </c>
      <c r="G65" t="b">
        <f>MAX(E65:E65)=MIN(E65:E65)</f>
        <v>1</v>
      </c>
    </row>
    <row r="66" spans="1:7" ht="11.25">
      <c r="B66" t="s">
        <v>1340</v>
      </c>
      <c r="E66" s="324">
        <f>SUM(E57:E65)</f>
        <v>0</v>
      </c>
      <c r="F66" t="s">
        <v>2783</v>
      </c>
      <c r="G66" t="b">
        <f>MAX(E66:E66)=MIN(E66:E66)</f>
        <v>1</v>
      </c>
    </row>
    <row r="67" spans="1:7" ht="11.25">
      <c r="A67" t="s">
        <v>1079</v>
      </c>
      <c r="E67" s="11"/>
      <c r="G67" t="b">
        <f>MAX(E67:E67)=MIN(E67:E67)</f>
        <v>1</v>
      </c>
    </row>
    <row r="68" spans="1:7" ht="11.25">
      <c r="B68" t="s">
        <v>946</v>
      </c>
      <c r="E68" s="11">
        <f>capProd1V1HrsForecast*decProd1Price</f>
        <v>217323281.55856597</v>
      </c>
      <c r="F68" t="s">
        <v>1504</v>
      </c>
      <c r="G68" t="b">
        <f>MAX(E68:E68)=MIN(E68:E68)</f>
        <v>1</v>
      </c>
    </row>
    <row r="69" spans="1:7" ht="11.25">
      <c r="B69" t="s">
        <v>947</v>
      </c>
      <c r="E69" s="11">
        <f>capProd1V2HrsForecast*decProd1V2Price</f>
        <v>148311154.92392948</v>
      </c>
      <c r="F69" t="s">
        <v>2781</v>
      </c>
      <c r="G69" t="b">
        <f>MAX(E69:E69)=MIN(E69:E69)</f>
        <v>1</v>
      </c>
    </row>
    <row r="70" spans="1:7" ht="11.25">
      <c r="B70" t="s">
        <v>948</v>
      </c>
      <c r="E70" s="63">
        <f>capProd1V3HrsForecast*decProd1V3Price</f>
        <v>74226756.670516759</v>
      </c>
      <c r="F70" t="s">
        <v>2782</v>
      </c>
      <c r="G70" t="b">
        <f>MAX(E70:E70)=MIN(E70:E70)</f>
        <v>1</v>
      </c>
    </row>
    <row r="71" spans="1:7" ht="11.25">
      <c r="B71" t="s">
        <v>1340</v>
      </c>
      <c r="E71" s="324">
        <f>SUM(E68:E70)</f>
        <v>439861193.15301216</v>
      </c>
      <c r="F71" s="324" t="s">
        <v>2784</v>
      </c>
      <c r="G71" t="b">
        <f>MAX(E71:E71)=MIN(E71:E71)</f>
        <v>1</v>
      </c>
    </row>
    <row r="72" spans="1:7" ht="11.25">
      <c r="E72" s="11"/>
      <c r="G72" t="b">
        <f>MAX(E72:E72)=MIN(E72:E72)</f>
        <v>1</v>
      </c>
    </row>
    <row r="73" spans="1:7" ht="11.25">
      <c r="A73" t="s">
        <v>1503</v>
      </c>
      <c r="E73" s="11">
        <f>capBusBTotalForecastRev+capBusATotalForecastRev+E55</f>
        <v>557461193.15301216</v>
      </c>
      <c r="F73" t="s">
        <v>2785</v>
      </c>
      <c r="G73" t="b">
        <f>MAX(E73:E73)=MIN(E73:E73)</f>
        <v>1</v>
      </c>
    </row>
    <row r="74" spans="1:7" ht="11.25">
      <c r="E74" s="11"/>
      <c r="G74" t="b">
        <f>MAX(E74:E74)=MIN(E74:E74)</f>
        <v>1</v>
      </c>
    </row>
    <row r="75" spans="1:7" ht="11.25">
      <c r="A75" t="s">
        <v>1080</v>
      </c>
      <c r="D75" s="11"/>
      <c r="E75" s="11">
        <f>((capTotalForecastRev/1000000)*paramEmp6ReqPMilRev)</f>
        <v>309.7006628627845</v>
      </c>
      <c r="G75" t="b">
        <f>MAX(E75:E75)=MIN(E75:E75)</f>
        <v>1</v>
      </c>
    </row>
    <row r="76" spans="1:7" ht="11.25">
      <c r="A76" t="s">
        <v>1081</v>
      </c>
      <c r="D76" s="11"/>
      <c r="E76" s="11">
        <f>capEmp6GeneralTrainingHrsAvailNextYr*(capEmp6End+decEntWFHire)</f>
        <v>35520</v>
      </c>
      <c r="G76" t="b">
        <f>MAX(E76:E76)=MIN(E76:E76)</f>
        <v>1</v>
      </c>
    </row>
    <row r="77" spans="1:7" ht="11.25">
      <c r="A77" s="144" t="s">
        <v>3211</v>
      </c>
      <c r="B77" s="144"/>
      <c r="C77" s="144"/>
      <c r="D77" s="445"/>
      <c r="E77" s="445">
        <f>DataPageEmp6TotalTrainingEffectOnTimeDemandFuture</f>
        <v>9324.6666666666661</v>
      </c>
      <c r="G77" t="b">
        <f>MAX(E77:E77)=MIN(E77:E77)</f>
        <v>1</v>
      </c>
    </row>
    <row r="78" spans="1:7" ht="11.25">
      <c r="A78" t="s">
        <v>1954</v>
      </c>
      <c r="D78" s="63"/>
      <c r="E78" s="63">
        <f>(decEntSvcsSalesSupportLevelPrac1*paramEmp6HrsPerSalesSupportLevel)</f>
        <v>1800000000</v>
      </c>
      <c r="G78" t="b">
        <f>MAX(E78:E78)=MIN(E78:E78)</f>
        <v>1</v>
      </c>
    </row>
    <row r="79" spans="1:7" ht="11.25">
      <c r="C79" t="s">
        <v>1956</v>
      </c>
      <c r="D79" s="11"/>
      <c r="E79" s="11">
        <f>SUM(E75:E78)</f>
        <v>1800045154.3673296</v>
      </c>
      <c r="F79" t="s">
        <v>1955</v>
      </c>
      <c r="G79" t="b">
        <f>MAX(E79:E79)=MIN(E79:E79)</f>
        <v>1</v>
      </c>
    </row>
    <row r="80" spans="1:7" ht="11.25">
      <c r="E80" s="11"/>
      <c r="G80" t="b">
        <f>MAX(E80:E80)=MIN(E80:E80)</f>
        <v>1</v>
      </c>
    </row>
    <row r="81" spans="1:9" ht="11.25">
      <c r="E81" s="11"/>
      <c r="G81" t="b">
        <f>MAX(E81:E81)=MIN(E81:E81)</f>
        <v>1</v>
      </c>
    </row>
    <row r="82" spans="1:9" ht="11.25">
      <c r="A82" t="s">
        <v>3623</v>
      </c>
      <c r="E82" s="15">
        <f>capEmp6TotalForecastHours/((capEmp6End+decEntWFHire-(capEmp6End*paramEmp6AttRate))*paramEmp6ProductivityCoef*paramEmp6HoursPYear)</f>
        <v>2237.2046462482544</v>
      </c>
      <c r="F82" t="s">
        <v>3625</v>
      </c>
      <c r="G82" t="b">
        <f>MAX(E82:E82)=MIN(E82:E82)</f>
        <v>1</v>
      </c>
    </row>
    <row r="83" spans="1:9" ht="11.25">
      <c r="E83" s="11"/>
      <c r="G83" t="b">
        <f>MAX(E83:E83)=MIN(E83:E83)</f>
        <v>1</v>
      </c>
    </row>
    <row r="84" spans="1:9" ht="11.25">
      <c r="E84" s="11"/>
      <c r="G84" t="b">
        <f>MAX(E84:E84)=MIN(E84:E84)</f>
        <v>1</v>
      </c>
    </row>
    <row r="85" spans="1:9" ht="11.25">
      <c r="E85" s="11"/>
      <c r="G85" t="b">
        <f>MAX(E85:E85)=MIN(E85:E85)</f>
        <v>1</v>
      </c>
    </row>
    <row r="86" spans="1:9" ht="11.25">
      <c r="E86" s="11"/>
      <c r="G86" t="b">
        <f>MAX(E86:E86)=MIN(E86:E86)</f>
        <v>1</v>
      </c>
    </row>
    <row r="87" spans="1:9" ht="15.75">
      <c r="A87" s="22" t="s">
        <v>83</v>
      </c>
      <c r="B87" s="23"/>
      <c r="C87" s="23"/>
      <c r="D87" s="23"/>
      <c r="E87" s="23"/>
      <c r="G87" t="b">
        <f>MAX(E87:E87)=MIN(E87:E87)</f>
        <v>1</v>
      </c>
    </row>
    <row r="88" spans="1:9" ht="11.25">
      <c r="E88" s="11"/>
      <c r="G88" t="b">
        <f>MAX(E88:E88)=MIN(E88:E88)</f>
        <v>1</v>
      </c>
    </row>
    <row r="89" spans="1:9" ht="11.25">
      <c r="A89" s="140" t="str">
        <f>DataNameProd1 &amp; " Forecast"</f>
        <v>Consulting Forecast</v>
      </c>
      <c r="B89" s="23"/>
      <c r="C89" s="23"/>
      <c r="D89" s="23"/>
      <c r="E89" s="23"/>
      <c r="G89" t="b">
        <f>MAX(E89:E89)=MIN(E89:E89)</f>
        <v>1</v>
      </c>
    </row>
    <row r="90" spans="1:9" ht="11.25">
      <c r="B90" t="str">
        <f>DataNameProd1&amp;" V1 Units Sold Forecast"</f>
        <v>Consulting V1 Units Sold Forecast</v>
      </c>
      <c r="E90" s="11">
        <f>INDEX(xxMMProd1Seg1Units,xxYear+3)*decProd1Growth</f>
        <v>852248.16297476855</v>
      </c>
      <c r="F90" t="s">
        <v>2118</v>
      </c>
      <c r="G90" t="b">
        <f>MAX(E90:E90)=MIN(E90:E90)</f>
        <v>1</v>
      </c>
      <c r="I90">
        <v>710206.80247897387</v>
      </c>
    </row>
    <row r="91" spans="1:9" ht="11.25">
      <c r="B91" t="str">
        <f>DataNameProd1&amp;" V2 Units Sold Forecast"</f>
        <v>Consulting V2 Units Sold Forecast</v>
      </c>
      <c r="E91" s="11">
        <f>INDEX(xxMMProd1Seg2Units,xxYear+3)*decProd1V2Growth</f>
        <v>539313.29063247086</v>
      </c>
      <c r="F91" t="s">
        <v>2119</v>
      </c>
      <c r="G91" t="b">
        <f>MAX(E91:E91)=MIN(E91:E91)</f>
        <v>1</v>
      </c>
      <c r="I91">
        <v>399491.32639442279</v>
      </c>
    </row>
    <row r="92" spans="1:9" ht="11.25">
      <c r="B92" t="str">
        <f>DataNameProd1&amp;" V3 Units Sold Forecast"</f>
        <v>Consulting V3 Units Sold Forecast</v>
      </c>
      <c r="E92" s="11">
        <f>INDEX(xxMMProd1Seg3Units,xxYear+3)*decProd1V3Growth</f>
        <v>251616.12430683646</v>
      </c>
      <c r="F92" t="s">
        <v>2120</v>
      </c>
      <c r="G92" t="b">
        <f>MAX(E92:E92)=MIN(E92:E92)</f>
        <v>1</v>
      </c>
      <c r="I92">
        <v>157260.07769177278</v>
      </c>
    </row>
    <row r="93" spans="1:9" ht="11.25">
      <c r="E93" s="11"/>
      <c r="G93" t="b">
        <f>MAX(E93:E93)=MIN(E93:E93)</f>
        <v>1</v>
      </c>
    </row>
    <row r="94" spans="1:9" ht="11.25">
      <c r="A94" s="2" t="s">
        <v>2489</v>
      </c>
      <c r="E94" s="11"/>
      <c r="G94" t="b">
        <f>MAX(E94:E94)=MIN(E94:E94)</f>
        <v>1</v>
      </c>
    </row>
    <row r="95" spans="1:9" ht="11.25">
      <c r="C95" s="2" t="str">
        <f>DataNameEmp1</f>
        <v>Offshore</v>
      </c>
      <c r="D95" s="15">
        <v>1</v>
      </c>
      <c r="E95" s="11">
        <f>capBusAEmp1PureHrsAvail*$D$95</f>
        <v>315900</v>
      </c>
      <c r="G95" t="b">
        <f>MAX(E95:E95)=MIN(E95:E95)</f>
        <v>1</v>
      </c>
    </row>
    <row r="96" spans="1:9" ht="11.25">
      <c r="C96" s="2" t="str">
        <f>DataNameEmp2</f>
        <v>Technical</v>
      </c>
      <c r="D96" s="15">
        <v>0.9</v>
      </c>
      <c r="E96" s="11">
        <f>capBusAEmp2PureHrsAvail*$D$96</f>
        <v>657000</v>
      </c>
      <c r="G96" t="b">
        <f>MAX(E96:E96)=MIN(E96:E96)</f>
        <v>1</v>
      </c>
    </row>
    <row r="97" spans="1:7" ht="11.25">
      <c r="C97" s="2" t="str">
        <f>DataNameEmp3</f>
        <v>PM / Analyst</v>
      </c>
      <c r="D97" s="15">
        <v>0.75</v>
      </c>
      <c r="E97" s="11">
        <f>capBusAEmp3PureHrsAvail*$D$97</f>
        <v>366000</v>
      </c>
      <c r="G97" t="b">
        <f>MAX(E97:E97)=MIN(E97:E97)</f>
        <v>1</v>
      </c>
    </row>
    <row r="98" spans="1:7" ht="11.25">
      <c r="C98" s="2" t="str">
        <f>DataNameEmp4</f>
        <v>Director / EM</v>
      </c>
      <c r="D98" s="15">
        <v>0.3</v>
      </c>
      <c r="E98" s="11">
        <f>capBusAEmp4PureHrsAvail*$D$98</f>
        <v>46800</v>
      </c>
      <c r="G98" t="b">
        <f>MAX(E98:E98)=MIN(E98:E98)</f>
        <v>1</v>
      </c>
    </row>
    <row r="99" spans="1:7" ht="11.25">
      <c r="C99" t="s">
        <v>3008</v>
      </c>
      <c r="E99" s="11">
        <f>SUM(E95:E98)</f>
        <v>1385700</v>
      </c>
      <c r="G99" t="b">
        <f>MAX(E99:E99)=MIN(E99:E99)</f>
        <v>1</v>
      </c>
    </row>
    <row r="100" spans="1:7" ht="11.25">
      <c r="E100" s="11"/>
      <c r="G100" t="b">
        <f>MAX(E100:E100)=MIN(E100:E100)</f>
        <v>1</v>
      </c>
    </row>
    <row r="101" spans="1:7" ht="11.25" hidden="1">
      <c r="A101" s="128" t="s">
        <v>635</v>
      </c>
      <c r="E101" s="11"/>
      <c r="G101" t="b">
        <f>MAX(E101:E101)=MIN(E101:E101)</f>
        <v>1</v>
      </c>
    </row>
    <row r="102" spans="1:7" ht="11.25" hidden="1">
      <c r="A102" s="70"/>
      <c r="C102" s="2" t="str">
        <f>DataNameEmp1</f>
        <v>Offshore</v>
      </c>
      <c r="E102" s="11">
        <f>capBusAEmp1PureHrsAvail-E95</f>
        <v>0</v>
      </c>
      <c r="G102" t="b">
        <f>MAX(E102:E102)=MIN(E102:E102)</f>
        <v>1</v>
      </c>
    </row>
    <row r="103" spans="1:7" ht="11.25" hidden="1">
      <c r="A103" s="70"/>
      <c r="C103" s="2" t="str">
        <f>DataNameEmp2</f>
        <v>Technical</v>
      </c>
      <c r="E103" s="11">
        <f>capBusAEmp2PureHrsAvail-E96</f>
        <v>73000</v>
      </c>
      <c r="G103" t="b">
        <f>MAX(E103:E103)=MIN(E103:E103)</f>
        <v>1</v>
      </c>
    </row>
    <row r="104" spans="1:7" ht="11.25" hidden="1">
      <c r="A104" s="70"/>
      <c r="C104" s="2" t="str">
        <f>DataNameEmp3</f>
        <v>PM / Analyst</v>
      </c>
      <c r="E104" s="11">
        <f>capBusAEmp3PureHrsAvail-E97</f>
        <v>122000</v>
      </c>
      <c r="G104" t="b">
        <f>MAX(E104:E104)=MIN(E104:E104)</f>
        <v>1</v>
      </c>
    </row>
    <row r="105" spans="1:7" ht="11.25" hidden="1">
      <c r="A105" s="70"/>
      <c r="C105" s="2" t="str">
        <f>DataNameEmp4</f>
        <v>Director / EM</v>
      </c>
      <c r="E105" s="11">
        <f>capBusAEmp4PureHrsAvail-E98</f>
        <v>109200</v>
      </c>
      <c r="G105" t="b">
        <f>MAX(E105:E105)=MIN(E105:E105)</f>
        <v>1</v>
      </c>
    </row>
    <row r="106" spans="1:7" ht="11.25" hidden="1">
      <c r="A106" s="70"/>
      <c r="C106" t="s">
        <v>3008</v>
      </c>
      <c r="E106" s="11"/>
      <c r="G106" t="b">
        <f>MAX(E106:E106)=MIN(E106:E106)</f>
        <v>1</v>
      </c>
    </row>
    <row r="107" spans="1:7" ht="11.25" hidden="1">
      <c r="A107" s="70"/>
      <c r="C107" t="s">
        <v>946</v>
      </c>
      <c r="E107" s="11"/>
      <c r="G107" t="b">
        <f>MAX(E107:E107)=MIN(E107:E107)</f>
        <v>1</v>
      </c>
    </row>
    <row r="108" spans="1:7" ht="11.25" hidden="1">
      <c r="A108" s="70"/>
      <c r="C108" s="2" t="str">
        <f>DataNameEmp1</f>
        <v>Offshore</v>
      </c>
      <c r="D108" s="15">
        <v>0.4</v>
      </c>
      <c r="E108" s="11">
        <f t="shared" ref="E108:E111" si="0">E95*D108</f>
        <v>126360</v>
      </c>
      <c r="G108" t="b">
        <f>MAX(E108:E108)=MIN(E108:E108)</f>
        <v>1</v>
      </c>
    </row>
    <row r="109" spans="1:7" ht="11.25" hidden="1">
      <c r="A109" s="70"/>
      <c r="C109" s="2" t="str">
        <f>DataNameEmp2</f>
        <v>Technical</v>
      </c>
      <c r="D109" s="15">
        <v>0.4</v>
      </c>
      <c r="E109" s="11">
        <f t="shared" si="0"/>
        <v>262800</v>
      </c>
      <c r="G109" t="b">
        <f>MAX(E109:E109)=MIN(E109:E109)</f>
        <v>1</v>
      </c>
    </row>
    <row r="110" spans="1:7" ht="11.25" hidden="1">
      <c r="A110" s="70"/>
      <c r="C110" s="2" t="str">
        <f>DataNameEmp3</f>
        <v>PM / Analyst</v>
      </c>
      <c r="D110" s="15">
        <v>0.4</v>
      </c>
      <c r="E110" s="11">
        <f t="shared" si="0"/>
        <v>146400</v>
      </c>
      <c r="G110" t="b">
        <f>MAX(E110:E110)=MIN(E110:E110)</f>
        <v>1</v>
      </c>
    </row>
    <row r="111" spans="1:7" ht="11.25" hidden="1">
      <c r="A111" s="70"/>
      <c r="C111" s="2" t="str">
        <f>DataNameEmp4</f>
        <v>Director / EM</v>
      </c>
      <c r="D111" s="15">
        <v>0.4</v>
      </c>
      <c r="E111" s="11">
        <f t="shared" si="0"/>
        <v>18720</v>
      </c>
      <c r="G111" t="b">
        <f>MAX(E111:E111)=MIN(E111:E111)</f>
        <v>1</v>
      </c>
    </row>
    <row r="112" spans="1:7" ht="11.25" hidden="1">
      <c r="A112" s="70"/>
      <c r="E112" s="11">
        <f>SUM(E108:E111)</f>
        <v>554280</v>
      </c>
      <c r="G112" t="b">
        <f>MAX(E112:E112)=MIN(E112:E112)</f>
        <v>1</v>
      </c>
    </row>
    <row r="113" spans="1:7" ht="11.25" hidden="1">
      <c r="A113" s="70"/>
      <c r="C113" t="s">
        <v>947</v>
      </c>
      <c r="D113" s="15"/>
      <c r="E113" s="11"/>
      <c r="G113" t="b">
        <f>MAX(E113:E113)=MIN(E113:E113)</f>
        <v>1</v>
      </c>
    </row>
    <row r="114" spans="1:7" ht="11.25" hidden="1">
      <c r="A114" s="70"/>
      <c r="C114" s="2" t="str">
        <f>DataNameEmp1</f>
        <v>Offshore</v>
      </c>
      <c r="D114" s="15">
        <v>0.35</v>
      </c>
      <c r="E114" s="11">
        <f t="shared" ref="E114:E117" si="1">E95*D114</f>
        <v>110565</v>
      </c>
      <c r="G114" t="b">
        <f>MAX(E114:E114)=MIN(E114:E114)</f>
        <v>1</v>
      </c>
    </row>
    <row r="115" spans="1:7" ht="11.25" hidden="1">
      <c r="A115" s="70"/>
      <c r="C115" s="2" t="str">
        <f>DataNameEmp2</f>
        <v>Technical</v>
      </c>
      <c r="D115" s="15">
        <v>0.35</v>
      </c>
      <c r="E115" s="11">
        <f t="shared" si="1"/>
        <v>229949.99999999997</v>
      </c>
      <c r="G115" t="b">
        <f>MAX(E115:E115)=MIN(E115:E115)</f>
        <v>1</v>
      </c>
    </row>
    <row r="116" spans="1:7" ht="11.25" hidden="1">
      <c r="A116" s="70"/>
      <c r="C116" s="2" t="str">
        <f>DataNameEmp3</f>
        <v>PM / Analyst</v>
      </c>
      <c r="D116" s="15">
        <v>0.35</v>
      </c>
      <c r="E116" s="11">
        <f t="shared" si="1"/>
        <v>128099.99999999999</v>
      </c>
      <c r="G116" t="b">
        <f>MAX(E116:E116)=MIN(E116:E116)</f>
        <v>1</v>
      </c>
    </row>
    <row r="117" spans="1:7" ht="11.25" hidden="1">
      <c r="A117" s="70"/>
      <c r="C117" s="2" t="str">
        <f>DataNameEmp4</f>
        <v>Director / EM</v>
      </c>
      <c r="D117" s="15">
        <v>0.35</v>
      </c>
      <c r="E117" s="11">
        <f t="shared" si="1"/>
        <v>16379.999999999998</v>
      </c>
      <c r="G117" t="b">
        <f>MAX(E117:E117)=MIN(E117:E117)</f>
        <v>1</v>
      </c>
    </row>
    <row r="118" spans="1:7" ht="11.25" hidden="1">
      <c r="A118" s="70"/>
      <c r="E118" s="11">
        <f>SUM(E114:E117)</f>
        <v>484995</v>
      </c>
      <c r="G118" t="b">
        <f>MAX(E118:E118)=MIN(E118:E118)</f>
        <v>1</v>
      </c>
    </row>
    <row r="119" spans="1:7" ht="11.25" hidden="1">
      <c r="A119" s="70"/>
      <c r="C119" t="s">
        <v>948</v>
      </c>
      <c r="E119" s="11"/>
      <c r="G119" t="b">
        <f>MAX(E119:E119)=MIN(E119:E119)</f>
        <v>1</v>
      </c>
    </row>
    <row r="120" spans="1:7" ht="11.25" hidden="1">
      <c r="A120" s="70"/>
      <c r="C120" s="2" t="str">
        <f>DataNameEmp1</f>
        <v>Offshore</v>
      </c>
      <c r="D120" s="15">
        <v>0.25</v>
      </c>
      <c r="E120" s="11">
        <f t="shared" ref="E120:E123" si="2">E95*D120</f>
        <v>78975</v>
      </c>
      <c r="G120" t="b">
        <f>MAX(E120:E120)=MIN(E120:E120)</f>
        <v>1</v>
      </c>
    </row>
    <row r="121" spans="1:7" ht="11.25" hidden="1">
      <c r="A121" s="70"/>
      <c r="C121" s="2" t="str">
        <f>DataNameEmp2</f>
        <v>Technical</v>
      </c>
      <c r="D121" s="15">
        <v>0.25</v>
      </c>
      <c r="E121" s="11">
        <f t="shared" si="2"/>
        <v>164250</v>
      </c>
      <c r="G121" t="b">
        <f>MAX(E121:E121)=MIN(E121:E121)</f>
        <v>1</v>
      </c>
    </row>
    <row r="122" spans="1:7" ht="11.25" hidden="1">
      <c r="A122" s="70"/>
      <c r="C122" s="2" t="str">
        <f>DataNameEmp3</f>
        <v>PM / Analyst</v>
      </c>
      <c r="D122" s="15">
        <v>0.25</v>
      </c>
      <c r="E122" s="11">
        <f t="shared" si="2"/>
        <v>91500</v>
      </c>
      <c r="G122" t="b">
        <f>MAX(E122:E122)=MIN(E122:E122)</f>
        <v>1</v>
      </c>
    </row>
    <row r="123" spans="1:7" ht="11.25" hidden="1">
      <c r="A123" s="70"/>
      <c r="B123" s="2"/>
      <c r="C123" s="2" t="str">
        <f>DataNameEmp4</f>
        <v>Director / EM</v>
      </c>
      <c r="D123" s="15">
        <v>0.25</v>
      </c>
      <c r="E123" s="11">
        <f t="shared" si="2"/>
        <v>11700</v>
      </c>
      <c r="G123" t="b">
        <f>MAX(E123:E123)=MIN(E123:E123)</f>
        <v>1</v>
      </c>
    </row>
    <row r="124" spans="1:7" ht="11.25" hidden="1">
      <c r="A124" s="70"/>
      <c r="B124" s="2"/>
      <c r="C124" s="2"/>
      <c r="D124" s="2"/>
      <c r="E124" s="11">
        <f>SUM(E120:E123)</f>
        <v>346425</v>
      </c>
      <c r="G124" t="b">
        <f>MAX(E124:E124)=MIN(E124:E124)</f>
        <v>1</v>
      </c>
    </row>
    <row r="125" spans="1:7" ht="11.25" hidden="1">
      <c r="A125" s="70"/>
      <c r="B125" s="2"/>
      <c r="D125" s="2"/>
      <c r="E125" s="11"/>
      <c r="G125" t="b">
        <f>MAX(E125:E125)=MIN(E125:E125)</f>
        <v>1</v>
      </c>
    </row>
    <row r="126" spans="1:7" ht="11.25" hidden="1">
      <c r="A126" s="70"/>
      <c r="B126" s="2"/>
      <c r="C126" s="2" t="str">
        <f>DataNameEmp1</f>
        <v>Offshore</v>
      </c>
      <c r="D126" s="444">
        <v>0.15</v>
      </c>
      <c r="E126" s="11">
        <f t="shared" ref="E126:E129" si="3">($E$112+$E$118+$E$124)*D126</f>
        <v>207855</v>
      </c>
      <c r="G126" t="b">
        <f>MAX(E126:E126)=MIN(E126:E126)</f>
        <v>1</v>
      </c>
    </row>
    <row r="127" spans="1:7" ht="11.25" hidden="1">
      <c r="A127" s="70"/>
      <c r="B127" s="2"/>
      <c r="C127" s="2" t="str">
        <f>DataNameEmp2</f>
        <v>Technical</v>
      </c>
      <c r="D127" s="444">
        <v>0.52</v>
      </c>
      <c r="E127" s="11">
        <f t="shared" si="3"/>
        <v>720564</v>
      </c>
      <c r="G127" t="b">
        <f>MAX(E127:E127)=MIN(E127:E127)</f>
        <v>1</v>
      </c>
    </row>
    <row r="128" spans="1:7" ht="11.25" hidden="1">
      <c r="A128" s="70"/>
      <c r="B128" s="2"/>
      <c r="C128" s="2" t="str">
        <f>DataNameEmp3</f>
        <v>PM / Analyst</v>
      </c>
      <c r="D128" s="444">
        <v>0.26</v>
      </c>
      <c r="E128" s="11">
        <f t="shared" si="3"/>
        <v>360282</v>
      </c>
      <c r="G128" t="b">
        <f>MAX(E128:E128)=MIN(E128:E128)</f>
        <v>1</v>
      </c>
    </row>
    <row r="129" spans="1:7" ht="11.25" hidden="1">
      <c r="A129" s="70"/>
      <c r="B129" s="2"/>
      <c r="C129" s="2" t="str">
        <f>DataNameEmp4</f>
        <v>Director / EM</v>
      </c>
      <c r="D129" s="444">
        <v>7.0000000000000007E-2</v>
      </c>
      <c r="E129" s="11">
        <f t="shared" si="3"/>
        <v>96999.000000000015</v>
      </c>
      <c r="G129" t="b">
        <f>MAX(E129:E129)=MIN(E129:E129)</f>
        <v>1</v>
      </c>
    </row>
    <row r="130" spans="1:7" ht="11.25" hidden="1">
      <c r="A130" s="128" t="s">
        <v>2488</v>
      </c>
      <c r="B130" s="2"/>
      <c r="C130" s="2"/>
      <c r="D130" s="2"/>
      <c r="E130" s="11"/>
      <c r="G130" t="b">
        <f>MAX(E130:E130)=MIN(E130:E130)</f>
        <v>1</v>
      </c>
    </row>
    <row r="131" spans="1:7" s="144" customFormat="1" ht="11.25" hidden="1">
      <c r="A131" s="70"/>
      <c r="C131" s="144" t="s">
        <v>946</v>
      </c>
      <c r="E131" s="445"/>
      <c r="G131" t="b">
        <f>MAX(E131:E131)=MIN(E131:E131)</f>
        <v>1</v>
      </c>
    </row>
    <row r="132" spans="1:7" s="144" customFormat="1" ht="11.25" hidden="1">
      <c r="A132" s="70"/>
      <c r="C132" s="404" t="str">
        <f>DataNameEmp1</f>
        <v>Offshore</v>
      </c>
      <c r="D132" s="446">
        <v>0.4</v>
      </c>
      <c r="E132" s="445">
        <f t="shared" ref="E132:E135" si="4">E126*D132</f>
        <v>83142</v>
      </c>
      <c r="G132" t="b">
        <f>MAX(E132:E132)=MIN(E132:E132)</f>
        <v>1</v>
      </c>
    </row>
    <row r="133" spans="1:7" s="144" customFormat="1" ht="11.25" hidden="1">
      <c r="A133" s="70"/>
      <c r="C133" s="404" t="str">
        <f>DataNameEmp2</f>
        <v>Technical</v>
      </c>
      <c r="D133" s="446">
        <v>0.4</v>
      </c>
      <c r="E133" s="445">
        <f t="shared" si="4"/>
        <v>288225.60000000003</v>
      </c>
      <c r="G133" t="b">
        <f>MAX(E133:E133)=MIN(E133:E133)</f>
        <v>1</v>
      </c>
    </row>
    <row r="134" spans="1:7" s="144" customFormat="1" ht="11.25" hidden="1">
      <c r="A134" s="70"/>
      <c r="C134" s="404" t="str">
        <f>DataNameEmp3</f>
        <v>PM / Analyst</v>
      </c>
      <c r="D134" s="446">
        <v>0.4</v>
      </c>
      <c r="E134" s="445">
        <f t="shared" si="4"/>
        <v>144112.80000000002</v>
      </c>
      <c r="G134" t="b">
        <f>MAX(E134:E134)=MIN(E134:E134)</f>
        <v>1</v>
      </c>
    </row>
    <row r="135" spans="1:7" s="144" customFormat="1" ht="11.25" hidden="1">
      <c r="A135" s="70"/>
      <c r="C135" s="404" t="str">
        <f>DataNameEmp4</f>
        <v>Director / EM</v>
      </c>
      <c r="D135" s="446">
        <v>0.4</v>
      </c>
      <c r="E135" s="445">
        <f t="shared" si="4"/>
        <v>38799.600000000006</v>
      </c>
      <c r="G135" t="b">
        <f>MAX(E135:E135)=MIN(E135:E135)</f>
        <v>1</v>
      </c>
    </row>
    <row r="136" spans="1:7" s="144" customFormat="1" ht="11.25" hidden="1">
      <c r="A136" s="70"/>
      <c r="E136" s="445">
        <f>SUM(E132:E135)</f>
        <v>554280</v>
      </c>
      <c r="G136" t="b">
        <f>MAX(E136:E136)=MIN(E136:E136)</f>
        <v>1</v>
      </c>
    </row>
    <row r="137" spans="1:7" s="144" customFormat="1" ht="11.25" hidden="1">
      <c r="A137" s="70"/>
      <c r="C137" s="144" t="s">
        <v>947</v>
      </c>
      <c r="D137" s="446"/>
      <c r="E137" s="445"/>
      <c r="G137" t="b">
        <f>MAX(E137:E137)=MIN(E137:E137)</f>
        <v>1</v>
      </c>
    </row>
    <row r="138" spans="1:7" s="144" customFormat="1" ht="11.25" hidden="1">
      <c r="A138" s="70"/>
      <c r="C138" s="404" t="str">
        <f>DataNameEmp1</f>
        <v>Offshore</v>
      </c>
      <c r="D138" s="446">
        <v>0.35</v>
      </c>
      <c r="E138" s="445">
        <f t="shared" ref="E138:E141" si="5">E126*D138</f>
        <v>72749.25</v>
      </c>
      <c r="G138" t="b">
        <f>MAX(E138:E138)=MIN(E138:E138)</f>
        <v>1</v>
      </c>
    </row>
    <row r="139" spans="1:7" s="144" customFormat="1" ht="11.25" hidden="1">
      <c r="A139" s="70"/>
      <c r="C139" s="404" t="str">
        <f>DataNameEmp2</f>
        <v>Technical</v>
      </c>
      <c r="D139" s="446">
        <v>0.35</v>
      </c>
      <c r="E139" s="445">
        <f t="shared" si="5"/>
        <v>252197.4</v>
      </c>
      <c r="G139" t="b">
        <f>MAX(E139:E139)=MIN(E139:E139)</f>
        <v>1</v>
      </c>
    </row>
    <row r="140" spans="1:7" s="144" customFormat="1" ht="11.25" hidden="1">
      <c r="A140" s="70"/>
      <c r="C140" s="404" t="str">
        <f>DataNameEmp3</f>
        <v>PM / Analyst</v>
      </c>
      <c r="D140" s="446">
        <v>0.35</v>
      </c>
      <c r="E140" s="445">
        <f t="shared" si="5"/>
        <v>126098.7</v>
      </c>
      <c r="G140" t="b">
        <f>MAX(E140:E140)=MIN(E140:E140)</f>
        <v>1</v>
      </c>
    </row>
    <row r="141" spans="1:7" s="144" customFormat="1" ht="11.25" hidden="1">
      <c r="A141" s="70"/>
      <c r="C141" s="404" t="str">
        <f>DataNameEmp4</f>
        <v>Director / EM</v>
      </c>
      <c r="D141" s="446">
        <v>0.35</v>
      </c>
      <c r="E141" s="445">
        <f t="shared" si="5"/>
        <v>33949.65</v>
      </c>
      <c r="G141" t="b">
        <f>MAX(E141:E141)=MIN(E141:E141)</f>
        <v>1</v>
      </c>
    </row>
    <row r="142" spans="1:7" s="144" customFormat="1" ht="11.25" hidden="1">
      <c r="A142" s="70"/>
      <c r="E142" s="445">
        <f>SUM(E138:E141)</f>
        <v>484995.00000000006</v>
      </c>
      <c r="G142" t="b">
        <f>MAX(E142:E142)=MIN(E142:E142)</f>
        <v>1</v>
      </c>
    </row>
    <row r="143" spans="1:7" s="144" customFormat="1" ht="11.25" hidden="1">
      <c r="A143" s="70"/>
      <c r="C143" s="144" t="s">
        <v>948</v>
      </c>
      <c r="E143" s="445"/>
      <c r="G143" t="b">
        <f>MAX(E143:E143)=MIN(E143:E143)</f>
        <v>1</v>
      </c>
    </row>
    <row r="144" spans="1:7" s="144" customFormat="1" ht="11.25" hidden="1">
      <c r="A144" s="70"/>
      <c r="C144" s="404" t="str">
        <f>DataNameEmp1</f>
        <v>Offshore</v>
      </c>
      <c r="D144" s="446">
        <v>0.25</v>
      </c>
      <c r="E144" s="445">
        <f t="shared" ref="E144:E147" si="6">E126*D144</f>
        <v>51963.75</v>
      </c>
      <c r="G144" t="b">
        <f>MAX(E144:E144)=MIN(E144:E144)</f>
        <v>1</v>
      </c>
    </row>
    <row r="145" spans="1:7" s="144" customFormat="1" ht="11.25" hidden="1">
      <c r="A145" s="70"/>
      <c r="C145" s="404" t="str">
        <f>DataNameEmp2</f>
        <v>Technical</v>
      </c>
      <c r="D145" s="446">
        <v>0.25</v>
      </c>
      <c r="E145" s="445">
        <f t="shared" si="6"/>
        <v>180141</v>
      </c>
      <c r="G145" t="b">
        <f>MAX(E145:E145)=MIN(E145:E145)</f>
        <v>1</v>
      </c>
    </row>
    <row r="146" spans="1:7" s="144" customFormat="1" ht="11.25" hidden="1">
      <c r="A146" s="70"/>
      <c r="C146" s="404" t="str">
        <f>DataNameEmp3</f>
        <v>PM / Analyst</v>
      </c>
      <c r="D146" s="446">
        <v>0.25</v>
      </c>
      <c r="E146" s="445">
        <f t="shared" si="6"/>
        <v>90070.5</v>
      </c>
      <c r="G146" t="b">
        <f>MAX(E146:E146)=MIN(E146:E146)</f>
        <v>1</v>
      </c>
    </row>
    <row r="147" spans="1:7" s="144" customFormat="1" ht="11.25" hidden="1">
      <c r="A147" s="70"/>
      <c r="B147" s="404"/>
      <c r="C147" s="404" t="str">
        <f>DataNameEmp4</f>
        <v>Director / EM</v>
      </c>
      <c r="D147" s="446">
        <v>0.25</v>
      </c>
      <c r="E147" s="445">
        <f t="shared" si="6"/>
        <v>24249.750000000004</v>
      </c>
      <c r="G147" t="b">
        <f>MAX(E147:E147)=MIN(E147:E147)</f>
        <v>1</v>
      </c>
    </row>
    <row r="148" spans="1:7" s="144" customFormat="1" ht="11.25" hidden="1">
      <c r="A148" s="70"/>
      <c r="B148" s="404"/>
      <c r="C148" s="404"/>
      <c r="D148" s="404"/>
      <c r="E148" s="445">
        <f>SUM(E144:E147)</f>
        <v>346425</v>
      </c>
      <c r="G148" t="b">
        <f>MAX(E148:E148)=MIN(E148:E148)</f>
        <v>1</v>
      </c>
    </row>
    <row r="149" spans="1:7" ht="11.25" hidden="1">
      <c r="A149" s="70"/>
      <c r="B149" s="2"/>
      <c r="C149" s="2"/>
      <c r="D149" s="2"/>
      <c r="E149" s="11"/>
      <c r="G149" t="b">
        <f>MAX(E149:E149)=MIN(E149:E149)</f>
        <v>1</v>
      </c>
    </row>
    <row r="150" spans="1:7" ht="11.25" hidden="1">
      <c r="A150" s="70"/>
      <c r="B150" s="2"/>
      <c r="C150" s="2"/>
      <c r="D150" s="2"/>
      <c r="E150" s="11"/>
      <c r="G150" t="b">
        <f>MAX(E150:E150)=MIN(E150:E150)</f>
        <v>1</v>
      </c>
    </row>
    <row r="151" spans="1:7" ht="11.25" hidden="1">
      <c r="A151" s="70"/>
      <c r="B151" s="2"/>
      <c r="C151" s="2"/>
      <c r="D151" s="2"/>
      <c r="E151" s="11"/>
      <c r="G151" t="b">
        <f>MAX(E151:E151)=MIN(E151:E151)</f>
        <v>1</v>
      </c>
    </row>
    <row r="152" spans="1:7" ht="11.25">
      <c r="B152" s="2"/>
      <c r="C152" s="2"/>
      <c r="D152" s="2"/>
      <c r="E152" s="11"/>
      <c r="G152" t="b">
        <f>MAX(E152:E152)=MIN(E152:E152)</f>
        <v>1</v>
      </c>
    </row>
    <row r="153" spans="1:7" ht="11.25">
      <c r="B153" s="2"/>
      <c r="C153" s="2"/>
      <c r="D153" s="2"/>
      <c r="E153" s="11"/>
      <c r="G153" t="b">
        <f>MAX(E153:E153)=MIN(E153:E153)</f>
        <v>1</v>
      </c>
    </row>
    <row r="154" spans="1:7" ht="11.25">
      <c r="B154" s="2"/>
      <c r="C154" s="2"/>
      <c r="D154" s="2"/>
      <c r="E154" s="11"/>
      <c r="G154" t="b">
        <f>MAX(E154:E154)=MIN(E154:E154)</f>
        <v>1</v>
      </c>
    </row>
    <row r="155" spans="1:7" ht="11.25">
      <c r="A155" s="2" t="s">
        <v>84</v>
      </c>
      <c r="C155" s="2"/>
      <c r="D155" s="2"/>
      <c r="G155" t="b">
        <f>MAX(E155:E155)=MIN(E155:E155)</f>
        <v>1</v>
      </c>
    </row>
    <row r="156" spans="1:7" ht="11.25">
      <c r="B156" s="2"/>
      <c r="C156" s="2" t="str">
        <f>DataNameEmp1</f>
        <v>Offshore</v>
      </c>
      <c r="D156" s="2"/>
      <c r="E156" s="13">
        <f>cbalBusAEmp1*paramEmp1HoursPYear</f>
        <v>315900</v>
      </c>
      <c r="F156" t="s">
        <v>1410</v>
      </c>
      <c r="G156" t="b">
        <f>MAX(E156:E156)=MIN(E156:E156)</f>
        <v>1</v>
      </c>
    </row>
    <row r="157" spans="1:7" ht="11.25">
      <c r="B157" s="2"/>
      <c r="C157" s="2" t="str">
        <f>DataNameEmp2</f>
        <v>Technical</v>
      </c>
      <c r="D157" s="2"/>
      <c r="E157" s="13">
        <f>cbalBusAEmp2*paramEmp2HoursPYear</f>
        <v>730000</v>
      </c>
      <c r="F157" t="s">
        <v>1411</v>
      </c>
      <c r="G157" t="b">
        <f>MAX(E157:E157)=MIN(E157:E157)</f>
        <v>1</v>
      </c>
    </row>
    <row r="158" spans="1:7" ht="11.25">
      <c r="B158" s="2"/>
      <c r="C158" s="2" t="str">
        <f>DataNameEmp3</f>
        <v>PM / Analyst</v>
      </c>
      <c r="D158" s="2"/>
      <c r="E158" s="13">
        <f>cbalBusAEmp3*paramEmp3HoursPYear</f>
        <v>488000</v>
      </c>
      <c r="F158" t="s">
        <v>2348</v>
      </c>
      <c r="G158" t="b">
        <f>MAX(E158:E158)=MIN(E158:E158)</f>
        <v>1</v>
      </c>
    </row>
    <row r="159" spans="1:7" ht="11.25">
      <c r="B159" s="2"/>
      <c r="C159" s="2" t="str">
        <f>DataNameEmp4</f>
        <v>Director / EM</v>
      </c>
      <c r="D159" s="2"/>
      <c r="E159" s="13">
        <f>cbalBusAEmp4*paramEmp4HoursPYear</f>
        <v>156000</v>
      </c>
      <c r="F159" t="s">
        <v>2349</v>
      </c>
      <c r="G159" t="b">
        <f>MAX(E159:E159)=MIN(E159:E159)</f>
        <v>1</v>
      </c>
    </row>
    <row r="160" spans="1:7" ht="11.25">
      <c r="B160" s="2"/>
      <c r="C160" s="2"/>
      <c r="D160" s="2"/>
      <c r="E160" s="13"/>
      <c r="G160" t="b">
        <f>MAX(E160:E160)=MIN(E160:E160)</f>
        <v>1</v>
      </c>
    </row>
    <row r="161" spans="1:7" ht="11.25">
      <c r="A161" s="2" t="s">
        <v>3236</v>
      </c>
      <c r="B161" s="2"/>
      <c r="C161" s="2"/>
      <c r="D161" s="2"/>
      <c r="E161" s="13"/>
      <c r="G161" t="b">
        <f>MAX(E161:E161)=MIN(E161:E161)</f>
        <v>1</v>
      </c>
    </row>
    <row r="162" spans="1:7" ht="11.25">
      <c r="B162" s="2"/>
      <c r="C162" s="2" t="str">
        <f>DataNameEmp1</f>
        <v>Offshore</v>
      </c>
      <c r="D162" s="2"/>
      <c r="E162" s="21">
        <f>capBusAEmp1HrsCurrProj*paramEmp1ProductivityCoef</f>
        <v>35616.436876738087</v>
      </c>
      <c r="F162" t="s">
        <v>3808</v>
      </c>
      <c r="G162" t="b">
        <f>MAX(E162:E162)=MIN(E162:E162)</f>
        <v>1</v>
      </c>
    </row>
    <row r="163" spans="1:7" ht="11.25">
      <c r="B163" s="2"/>
      <c r="C163" s="2" t="str">
        <f>DataNameEmp2</f>
        <v>Technical</v>
      </c>
      <c r="D163" s="2"/>
      <c r="E163" s="21">
        <f>decBusAEmp2HrsCurrProj*paramEmp2ProductivityCoef</f>
        <v>103754.43949771688</v>
      </c>
      <c r="F163" t="s">
        <v>4302</v>
      </c>
      <c r="G163" t="b">
        <f>MAX(E163:E163)=MIN(E163:E163)</f>
        <v>1</v>
      </c>
    </row>
    <row r="164" spans="1:7" ht="11.25">
      <c r="B164" s="2"/>
      <c r="C164" s="2" t="str">
        <f>DataNameEmp3</f>
        <v>PM / Analyst</v>
      </c>
      <c r="D164" s="2"/>
      <c r="E164" s="21">
        <f>decBusAEmp3HrsCurrProj*paramEmp3ProductivityCoef</f>
        <v>92132.662131147532</v>
      </c>
      <c r="F164" t="s">
        <v>1885</v>
      </c>
      <c r="G164" t="b">
        <f>MAX(E164:E164)=MIN(E164:E164)</f>
        <v>1</v>
      </c>
    </row>
    <row r="165" spans="1:7" ht="11.25">
      <c r="B165" s="2"/>
      <c r="C165" s="2" t="str">
        <f>DataNameEmp4</f>
        <v>Director / EM</v>
      </c>
      <c r="D165" s="2"/>
      <c r="E165" s="21">
        <f>decBusAEmp4HrsCurrProj*paramEmp4ProductivityCoef</f>
        <v>43125.784615384619</v>
      </c>
      <c r="F165" t="s">
        <v>1119</v>
      </c>
      <c r="G165" t="b">
        <f>MAX(E165:E165)=MIN(E165:E165)</f>
        <v>1</v>
      </c>
    </row>
    <row r="166" spans="1:7" ht="11.25">
      <c r="B166" s="2"/>
      <c r="C166" s="2" t="str">
        <f>DataNameEmp4</f>
        <v>Director / EM</v>
      </c>
      <c r="D166" s="2" t="s">
        <v>173</v>
      </c>
      <c r="E166" s="21">
        <f>decBusAEmp7HrsCurrProj*paramEmp7ProductivityCoef</f>
        <v>44000</v>
      </c>
      <c r="F166" t="s">
        <v>4385</v>
      </c>
      <c r="G166" t="b">
        <f>MAX(E166:E166)=MIN(E166:E166)</f>
        <v>1</v>
      </c>
    </row>
    <row r="167" spans="1:7" ht="11.25">
      <c r="B167" s="2"/>
      <c r="C167" s="2" t="str">
        <f>DataNameEmp3</f>
        <v>PM / Analyst</v>
      </c>
      <c r="D167" s="2" t="s">
        <v>173</v>
      </c>
      <c r="E167" s="21">
        <f>decBusAEmp8HrsCurrProj*paramEmp8ProductivityCoef</f>
        <v>110500</v>
      </c>
      <c r="F167" t="s">
        <v>1189</v>
      </c>
      <c r="G167" t="b">
        <f>MAX(E167:E167)=MIN(E167:E167)</f>
        <v>1</v>
      </c>
    </row>
    <row r="168" spans="1:7" ht="11.25">
      <c r="B168" s="2"/>
      <c r="C168" s="2" t="str">
        <f>DataNameEmp2</f>
        <v>Technical</v>
      </c>
      <c r="D168" s="2" t="s">
        <v>173</v>
      </c>
      <c r="E168" s="21">
        <f>decBusAEmp9HrsCurrProj*paramEmp9ProductivityCoef</f>
        <v>177000</v>
      </c>
      <c r="F168" t="s">
        <v>1190</v>
      </c>
      <c r="G168" t="b">
        <f>MAX(E168:E168)=MIN(E168:E168)</f>
        <v>1</v>
      </c>
    </row>
    <row r="169" spans="1:7" ht="11.25">
      <c r="B169" s="2"/>
      <c r="C169" s="2" t="s">
        <v>4512</v>
      </c>
      <c r="D169" s="2"/>
      <c r="E169" s="21">
        <f>decBusAV1HrsBorrowed*paramEmp5ProductivityCoef</f>
        <v>0</v>
      </c>
      <c r="F169" t="s">
        <v>3038</v>
      </c>
      <c r="G169" t="b">
        <f>MAX(E169:E169)=MIN(E169:E169)</f>
        <v>1</v>
      </c>
    </row>
    <row r="170" spans="1:7" ht="11.25">
      <c r="B170" s="2"/>
      <c r="C170" s="2"/>
      <c r="D170" s="2"/>
      <c r="E170" s="21"/>
      <c r="G170" t="b">
        <f>MAX(E170:E170)=MIN(E170:E170)</f>
        <v>1</v>
      </c>
    </row>
    <row r="171" spans="1:7" ht="11.25">
      <c r="A171" s="2" t="s">
        <v>3237</v>
      </c>
      <c r="B171" s="2"/>
      <c r="C171" s="2"/>
      <c r="D171" s="2"/>
      <c r="E171" s="21"/>
      <c r="G171" t="b">
        <f>MAX(E171:E171)=MIN(E171:E171)</f>
        <v>1</v>
      </c>
    </row>
    <row r="172" spans="1:7" ht="11.25">
      <c r="B172" s="2"/>
      <c r="C172" s="2" t="str">
        <f>DataNameEmp1</f>
        <v>Offshore</v>
      </c>
      <c r="D172" s="2"/>
      <c r="E172" s="21">
        <f>capBusAEmp1HrsCurrProjV2*paramEmp1ProductivityCoef</f>
        <v>19880.645411453781</v>
      </c>
      <c r="F172" t="s">
        <v>1120</v>
      </c>
      <c r="G172" t="b">
        <f>MAX(E172:E172)=MIN(E172:E172)</f>
        <v>1</v>
      </c>
    </row>
    <row r="173" spans="1:7" ht="11.25">
      <c r="B173" s="2"/>
      <c r="C173" s="2" t="str">
        <f>DataNameEmp2</f>
        <v>Technical</v>
      </c>
      <c r="D173" s="2"/>
      <c r="E173" s="21">
        <f>decBusAEmp2HrsCurrProjV2*paramEmp2ProductivityCoef</f>
        <v>97825.614383561639</v>
      </c>
      <c r="F173" t="s">
        <v>4034</v>
      </c>
      <c r="G173" t="b">
        <f>MAX(E173:E173)=MIN(E173:E173)</f>
        <v>1</v>
      </c>
    </row>
    <row r="174" spans="1:7" ht="11.25">
      <c r="B174" s="2"/>
      <c r="C174" s="2" t="str">
        <f>DataNameEmp3</f>
        <v>PM / Analyst</v>
      </c>
      <c r="D174" s="2"/>
      <c r="E174" s="21">
        <f>decBusAEmp3HrsCurrProjV2*paramEmp3ProductivityCoef</f>
        <v>71193.420737704902</v>
      </c>
      <c r="F174" t="s">
        <v>285</v>
      </c>
      <c r="G174" t="b">
        <f>MAX(E174:E174)=MIN(E174:E174)</f>
        <v>1</v>
      </c>
    </row>
    <row r="175" spans="1:7" ht="11.25">
      <c r="B175" s="2"/>
      <c r="C175" s="2" t="str">
        <f>DataNameEmp4</f>
        <v>Director / EM</v>
      </c>
      <c r="D175" s="2"/>
      <c r="E175" s="21">
        <f>decBusAEmp4HrsCurrProjV2*paramEmp4ProductivityCoef</f>
        <v>26953.615384615387</v>
      </c>
      <c r="F175" t="s">
        <v>4573</v>
      </c>
      <c r="G175" t="b">
        <f>MAX(E175:E175)=MIN(E175:E175)</f>
        <v>1</v>
      </c>
    </row>
    <row r="176" spans="1:7" ht="11.25">
      <c r="B176" s="2"/>
      <c r="C176" s="2" t="str">
        <f>DataNameEmp4</f>
        <v>Director / EM</v>
      </c>
      <c r="D176" s="2" t="s">
        <v>173</v>
      </c>
      <c r="E176" s="21">
        <f>decBusAEmp7HrsCurrProjV2*paramEmp7ProductivityCoef</f>
        <v>33000</v>
      </c>
      <c r="F176" t="s">
        <v>1191</v>
      </c>
      <c r="G176" t="b">
        <f>MAX(E176:E176)=MIN(E176:E176)</f>
        <v>1</v>
      </c>
    </row>
    <row r="177" spans="1:7" ht="11.25">
      <c r="B177" s="2"/>
      <c r="C177" s="2" t="str">
        <f>DataNameEmp3</f>
        <v>PM / Analyst</v>
      </c>
      <c r="D177" s="2" t="s">
        <v>173</v>
      </c>
      <c r="E177" s="21">
        <f>decBusAEmp8HrsCurrProjV2*paramEmp8ProductivityCoef</f>
        <v>68000</v>
      </c>
      <c r="F177" t="s">
        <v>1192</v>
      </c>
      <c r="G177" t="b">
        <f>MAX(E177:E177)=MIN(E177:E177)</f>
        <v>1</v>
      </c>
    </row>
    <row r="178" spans="1:7" ht="11.25">
      <c r="B178" s="2"/>
      <c r="C178" s="2" t="str">
        <f>DataNameEmp2</f>
        <v>Technical</v>
      </c>
      <c r="D178" s="2" t="s">
        <v>173</v>
      </c>
      <c r="E178" s="21">
        <f>decBusAEmp9HrsCurrProjV2*paramEmp9ProductivityCoef</f>
        <v>12000</v>
      </c>
      <c r="F178" t="s">
        <v>1193</v>
      </c>
      <c r="G178" t="b">
        <f>MAX(E178:E178)=MIN(E178:E178)</f>
        <v>1</v>
      </c>
    </row>
    <row r="179" spans="1:7" ht="11.25">
      <c r="B179" s="2"/>
      <c r="C179" s="2" t="s">
        <v>4512</v>
      </c>
      <c r="D179" s="2"/>
      <c r="E179" s="21">
        <f>decBusAV2HrsBorrowed*paramEmp5ProductivityCoef</f>
        <v>0</v>
      </c>
      <c r="F179" t="s">
        <v>3039</v>
      </c>
      <c r="G179" t="b">
        <f>MAX(E179:E179)=MIN(E179:E179)</f>
        <v>1</v>
      </c>
    </row>
    <row r="180" spans="1:7" ht="11.25">
      <c r="B180" s="2"/>
      <c r="C180" s="2"/>
      <c r="D180" s="2"/>
      <c r="E180" s="21"/>
      <c r="G180" t="b">
        <f>MAX(E180:E180)=MIN(E180:E180)</f>
        <v>1</v>
      </c>
    </row>
    <row r="181" spans="1:7" ht="11.25">
      <c r="A181" s="2" t="s">
        <v>3807</v>
      </c>
      <c r="B181" s="2"/>
      <c r="C181" s="2"/>
      <c r="D181" s="2"/>
      <c r="E181" s="21"/>
      <c r="G181" t="b">
        <f>MAX(E181:E181)=MIN(E181:E181)</f>
        <v>1</v>
      </c>
    </row>
    <row r="182" spans="1:7" ht="11.25">
      <c r="B182" s="2"/>
      <c r="C182" s="2" t="str">
        <f>DataNameEmp1</f>
        <v>Offshore</v>
      </c>
      <c r="D182" s="2"/>
      <c r="E182" s="21">
        <f>capBusAEmp1HrsCurrProjV3*paramEmp1ProductivityCoef</f>
        <v>7854.1086643917597</v>
      </c>
      <c r="F182" t="s">
        <v>2717</v>
      </c>
      <c r="G182" t="b">
        <f>MAX(E182:E182)=MIN(E182:E182)</f>
        <v>1</v>
      </c>
    </row>
    <row r="183" spans="1:7" ht="11.25">
      <c r="B183" s="2"/>
      <c r="C183" s="2" t="str">
        <f>DataNameEmp2</f>
        <v>Technical</v>
      </c>
      <c r="D183" s="2"/>
      <c r="E183" s="21">
        <f>decBusAEmp2HrsCurrProjV3*paramEmp2ProductivityCoef</f>
        <v>29644.125570776254</v>
      </c>
      <c r="F183" t="s">
        <v>3523</v>
      </c>
      <c r="G183" t="b">
        <f>MAX(E183:E183)=MIN(E183:E183)</f>
        <v>1</v>
      </c>
    </row>
    <row r="184" spans="1:7" ht="11.25">
      <c r="B184" s="2"/>
      <c r="C184" s="2" t="str">
        <f>DataNameEmp3</f>
        <v>PM / Analyst</v>
      </c>
      <c r="D184" s="2"/>
      <c r="E184" s="21">
        <f>decBusAEmp3HrsCurrProjV3*paramEmp3ProductivityCoef</f>
        <v>20939.241393442619</v>
      </c>
      <c r="F184" t="s">
        <v>3524</v>
      </c>
      <c r="G184" t="b">
        <f>MAX(E184:E184)=MIN(E184:E184)</f>
        <v>1</v>
      </c>
    </row>
    <row r="185" spans="1:7" ht="11.25">
      <c r="B185" s="2"/>
      <c r="C185" s="2" t="str">
        <f>DataNameEmp4</f>
        <v>Director / EM</v>
      </c>
      <c r="D185" s="2"/>
      <c r="E185" s="21">
        <f>decBusAEmp4HrsCurrProjV3*paramEmp4ProductivityCoef</f>
        <v>6468.8676923076928</v>
      </c>
      <c r="F185" t="s">
        <v>3525</v>
      </c>
      <c r="G185" t="b">
        <f>MAX(E185:E185)=MIN(E185:E185)</f>
        <v>1</v>
      </c>
    </row>
    <row r="186" spans="1:7" ht="11.25">
      <c r="B186" s="2"/>
      <c r="C186" s="2" t="s">
        <v>4512</v>
      </c>
      <c r="D186" s="2"/>
      <c r="E186" s="21">
        <f>decBusAV3HrsBorrowed*paramEmp5ProductivityCoef</f>
        <v>0</v>
      </c>
      <c r="F186" t="s">
        <v>1248</v>
      </c>
      <c r="G186" t="b">
        <f>MAX(E186:E186)=MIN(E186:E186)</f>
        <v>1</v>
      </c>
    </row>
    <row r="187" spans="1:7" ht="11.25">
      <c r="B187" s="2"/>
      <c r="C187" s="2" t="str">
        <f>DataNameEmp4</f>
        <v>Director / EM</v>
      </c>
      <c r="D187" s="2" t="s">
        <v>173</v>
      </c>
      <c r="E187" s="21">
        <f>decBusAEmp7HrsCurrProjV3*paramEmp7ProductivityCoef</f>
        <v>9900</v>
      </c>
      <c r="F187" t="s">
        <v>1194</v>
      </c>
      <c r="G187" t="b">
        <f>MAX(E187:E187)=MIN(E187:E187)</f>
        <v>1</v>
      </c>
    </row>
    <row r="188" spans="1:7" ht="11.25">
      <c r="B188" s="2"/>
      <c r="C188" s="2" t="str">
        <f>DataNameEmp3</f>
        <v>PM / Analyst</v>
      </c>
      <c r="D188" s="2" t="s">
        <v>173</v>
      </c>
      <c r="E188" s="21">
        <f>decBusAEmp8HrsCurrProjV3*paramEmp8ProductivityCoef</f>
        <v>27200</v>
      </c>
      <c r="F188" t="s">
        <v>1195</v>
      </c>
      <c r="G188" t="b">
        <f>MAX(E188:E188)=MIN(E188:E188)</f>
        <v>1</v>
      </c>
    </row>
    <row r="189" spans="1:7" ht="11.25">
      <c r="B189" s="2"/>
      <c r="C189" s="2" t="str">
        <f>DataNameEmp2</f>
        <v>Technical</v>
      </c>
      <c r="D189" s="2" t="s">
        <v>173</v>
      </c>
      <c r="E189" s="21">
        <f>decBusAEmp9HrsCurrProjV3*paramEmp9ProductivityCoef</f>
        <v>12000</v>
      </c>
      <c r="F189" t="s">
        <v>3436</v>
      </c>
      <c r="G189" t="b">
        <f>MAX(E189:E189)=MIN(E189:E189)</f>
        <v>1</v>
      </c>
    </row>
    <row r="190" spans="1:7" ht="11.25">
      <c r="B190" s="2"/>
      <c r="C190" s="2"/>
      <c r="D190" s="2"/>
      <c r="E190" s="13"/>
      <c r="G190" t="b">
        <f>MAX(E190:E190)=MIN(E190:E190)</f>
        <v>1</v>
      </c>
    </row>
    <row r="191" spans="1:7" ht="11.25">
      <c r="B191" s="2"/>
      <c r="C191" s="2" t="s">
        <v>3610</v>
      </c>
      <c r="D191" s="2"/>
      <c r="E191" s="13">
        <f>SUM(E162:E189)</f>
        <v>1048988.9623592412</v>
      </c>
      <c r="F191" t="s">
        <v>2441</v>
      </c>
      <c r="G191" t="b">
        <f>MAX(E191:E191)=MIN(E191:E191)</f>
        <v>1</v>
      </c>
    </row>
    <row r="192" spans="1:7" ht="11.25">
      <c r="B192" s="2"/>
      <c r="C192" s="2"/>
      <c r="D192" s="2"/>
      <c r="E192" s="13"/>
      <c r="G192" t="b">
        <f>MAX(E192:E192)=MIN(E192:E192)</f>
        <v>1</v>
      </c>
    </row>
    <row r="193" spans="1:7" ht="11.25">
      <c r="A193" s="2" t="s">
        <v>4146</v>
      </c>
      <c r="B193" s="2"/>
      <c r="C193" s="2"/>
      <c r="D193" s="2"/>
      <c r="E193" s="13"/>
      <c r="G193" t="b">
        <f>MAX(E193:E193)=MIN(E193:E193)</f>
        <v>1</v>
      </c>
    </row>
    <row r="194" spans="1:7" ht="11.25">
      <c r="B194" s="2"/>
      <c r="C194" s="2" t="s">
        <v>946</v>
      </c>
      <c r="D194" s="2"/>
      <c r="E194" s="13">
        <f>paranBusAWobblerAddedRevV1/obalBusAV1PricePerHr</f>
        <v>5490.1960784313724</v>
      </c>
      <c r="G194" t="b">
        <f>MAX(E194:E194)=MIN(E194:E194)</f>
        <v>1</v>
      </c>
    </row>
    <row r="195" spans="1:7" ht="11.25">
      <c r="B195" s="2"/>
      <c r="C195" s="2" t="s">
        <v>947</v>
      </c>
      <c r="D195" s="2"/>
      <c r="E195" s="13">
        <f>paranBusAWobblerAddedRevV2/obalBusAV2PricePerHr</f>
        <v>0</v>
      </c>
      <c r="G195" t="b">
        <f>MAX(E195:E195)=MIN(E195:E195)</f>
        <v>1</v>
      </c>
    </row>
    <row r="196" spans="1:7" ht="11.25">
      <c r="B196" s="2"/>
      <c r="C196" s="2" t="s">
        <v>948</v>
      </c>
      <c r="D196" s="2"/>
      <c r="E196" s="13">
        <f>paranBusAWobblerAddedRevV3/obalBusAV3PricePerHr</f>
        <v>0</v>
      </c>
      <c r="G196" t="b">
        <f>MAX(E196:E196)=MIN(E196:E196)</f>
        <v>1</v>
      </c>
    </row>
    <row r="197" spans="1:7" ht="11.25">
      <c r="A197" s="2" t="s">
        <v>349</v>
      </c>
      <c r="B197" s="2"/>
      <c r="C197" s="2"/>
      <c r="D197" s="2"/>
      <c r="E197" s="13"/>
      <c r="G197" t="b">
        <f>MAX(E197:E197)=MIN(E197:E197)</f>
        <v>1</v>
      </c>
    </row>
    <row r="198" spans="1:7" ht="11.25">
      <c r="B198" s="2"/>
      <c r="C198" s="2" t="s">
        <v>946</v>
      </c>
      <c r="D198" s="2"/>
      <c r="E198" s="13">
        <f>obalBusAV1HrsSold+E194</f>
        <v>716091.7960784313</v>
      </c>
      <c r="F198" t="s">
        <v>3526</v>
      </c>
      <c r="G198" t="b">
        <f>MAX(E198:E198)=MIN(E198:E198)</f>
        <v>1</v>
      </c>
    </row>
    <row r="199" spans="1:7" ht="11.25">
      <c r="B199" s="2"/>
      <c r="C199" s="2" t="s">
        <v>947</v>
      </c>
      <c r="D199" s="2"/>
      <c r="E199" s="13">
        <f>obalBusAV2HrsSold+E195</f>
        <v>399713.4</v>
      </c>
      <c r="F199" t="s">
        <v>1344</v>
      </c>
      <c r="G199" t="b">
        <f>MAX(E199:E199)=MIN(E199:E199)</f>
        <v>1</v>
      </c>
    </row>
    <row r="200" spans="1:7" ht="11.25">
      <c r="B200" s="2"/>
      <c r="C200" s="2" t="s">
        <v>948</v>
      </c>
      <c r="D200" s="2"/>
      <c r="E200" s="13">
        <f>obalBusAV3HrsSold+E196</f>
        <v>157912</v>
      </c>
      <c r="F200" t="s">
        <v>3124</v>
      </c>
      <c r="G200" t="b">
        <f>MAX(E200:E200)=MIN(E200:E200)</f>
        <v>1</v>
      </c>
    </row>
    <row r="201" spans="1:7" ht="11.25">
      <c r="A201" s="2" t="s">
        <v>4721</v>
      </c>
      <c r="B201" s="2"/>
      <c r="C201" s="2"/>
      <c r="D201" s="2"/>
      <c r="E201" s="13"/>
      <c r="G201" t="b">
        <f>MAX(E201:E201)=MIN(E201:E201)</f>
        <v>1</v>
      </c>
    </row>
    <row r="202" spans="1:7" ht="11.25">
      <c r="B202" s="2"/>
      <c r="C202" s="2" t="s">
        <v>946</v>
      </c>
      <c r="D202" s="2"/>
      <c r="E202" s="13">
        <f>cbalBusAV1HrsSold+E194</f>
        <v>857738.35905319988</v>
      </c>
      <c r="F202" t="s">
        <v>4718</v>
      </c>
      <c r="G202" t="b">
        <f>MAX(E202:E202)=MIN(E202:E202)</f>
        <v>1</v>
      </c>
    </row>
    <row r="203" spans="1:7" ht="11.25">
      <c r="B203" s="2"/>
      <c r="C203" s="2" t="s">
        <v>947</v>
      </c>
      <c r="D203" s="2"/>
      <c r="E203" s="13">
        <f>cbalBusAV2HrsSold+E195</f>
        <v>539313.29063247086</v>
      </c>
      <c r="F203" t="s">
        <v>4719</v>
      </c>
      <c r="G203" t="b">
        <f>MAX(E203:E203)=MIN(E203:E203)</f>
        <v>1</v>
      </c>
    </row>
    <row r="204" spans="1:7" ht="11.25">
      <c r="B204" s="2"/>
      <c r="C204" s="2" t="s">
        <v>948</v>
      </c>
      <c r="D204" s="2"/>
      <c r="E204" s="13">
        <f>cbalBusAV3HrsSold+E196</f>
        <v>251616.12430683646</v>
      </c>
      <c r="F204" t="s">
        <v>4720</v>
      </c>
      <c r="G204" t="b">
        <f>MAX(E204:E204)=MIN(E204:E204)</f>
        <v>1</v>
      </c>
    </row>
    <row r="205" spans="1:7" ht="11.25">
      <c r="B205" s="2"/>
      <c r="C205" s="2"/>
      <c r="D205" s="2"/>
      <c r="E205" s="13"/>
      <c r="G205" t="b">
        <f>MAX(E205:E205)=MIN(E205:E205)</f>
        <v>1</v>
      </c>
    </row>
    <row r="206" spans="1:7" ht="11.25">
      <c r="A206" s="2" t="s">
        <v>3564</v>
      </c>
      <c r="B206" s="2"/>
      <c r="C206" s="2"/>
      <c r="D206" s="2"/>
      <c r="E206" s="13"/>
      <c r="G206" t="b">
        <f>MAX(E206:E206)=MIN(E206:E206)</f>
        <v>1</v>
      </c>
    </row>
    <row r="207" spans="1:7" s="1" customFormat="1" ht="11.25">
      <c r="B207" s="672"/>
      <c r="C207" s="672" t="s">
        <v>946</v>
      </c>
      <c r="D207" s="672"/>
      <c r="E207" s="675">
        <f>(capBusACurrProjV1Emp1Output+capBusACurrProjV1Emp2Output+capBusACurrProjV1Emp3Output+capBusACurrProjV1Emp4Output+capBusACurrProjV1Emp5Output+capBusACurrProjV1Emp9Output)/capBusACurrProjV1HrsReq</f>
        <v>0.63068635277525453</v>
      </c>
      <c r="F207" s="1" t="s">
        <v>3125</v>
      </c>
      <c r="G207" s="1" t="b">
        <f>MAX(E207:E207)=MIN(E207:E207)</f>
        <v>1</v>
      </c>
    </row>
    <row r="208" spans="1:7" s="1" customFormat="1" ht="11.25">
      <c r="B208" s="672"/>
      <c r="C208" s="672" t="s">
        <v>947</v>
      </c>
      <c r="D208" s="672"/>
      <c r="E208" s="675">
        <f>(capBusACurrProjV2Emp1Output+capBusACurrProjV2Emp2Output+capBusACurrProjV2Emp3Output+capBusACurrProjV2Emp4Output+capBusACurrProjV2Emp5Output+capBusACurrProjV2Emp9Output)/capBusACurrProjV2HrsReq</f>
        <v>0.57004167465322819</v>
      </c>
      <c r="F208" s="1" t="s">
        <v>316</v>
      </c>
      <c r="G208" s="1" t="b">
        <f>MAX(E208:E208)=MIN(E208:E208)</f>
        <v>1</v>
      </c>
    </row>
    <row r="209" spans="1:7" s="1" customFormat="1" ht="11.25">
      <c r="B209" s="672"/>
      <c r="C209" s="672" t="s">
        <v>948</v>
      </c>
      <c r="D209" s="672"/>
      <c r="E209" s="675">
        <f>(capBusACurrProjV3Emp1Output+capBusACurrProjV3Emp2Output+capBusACurrProjV3Emp3Output+capBusACurrProjV3Emp4Output+capBusACurrProjV3Emp5Output+capBusACurrProjV3Emp9Output)/capBusACurrProjV3HrsReq</f>
        <v>0.48702026015070626</v>
      </c>
      <c r="F209" s="1" t="s">
        <v>317</v>
      </c>
      <c r="G209" s="1" t="b">
        <f>MAX(E209:E209)=MIN(E209:E209)</f>
        <v>1</v>
      </c>
    </row>
    <row r="210" spans="1:7" ht="11.25">
      <c r="A210" s="128" t="s">
        <v>3476</v>
      </c>
      <c r="B210" s="128"/>
      <c r="C210" s="128"/>
      <c r="D210" s="2"/>
      <c r="E210" s="13"/>
      <c r="G210" t="b">
        <f>MAX(E210:E210)=MIN(E210:E210)</f>
        <v>1</v>
      </c>
    </row>
    <row r="211" spans="1:7" ht="11.25">
      <c r="A211" s="128" t="s">
        <v>2015</v>
      </c>
      <c r="B211" s="2"/>
      <c r="C211" s="2"/>
      <c r="D211" s="2"/>
      <c r="E211" s="13"/>
      <c r="G211" t="b">
        <f>MAX(E211:E211)=MIN(E211:E211)</f>
        <v>1</v>
      </c>
    </row>
    <row r="212" spans="1:7" ht="11.25">
      <c r="A212" s="70"/>
      <c r="B212" s="2"/>
      <c r="C212" s="2" t="str">
        <f>DataNameEmp1</f>
        <v>Offshore</v>
      </c>
      <c r="D212" s="2"/>
      <c r="E212" s="13">
        <f>decEmp1BusADismiss*paramEmp1HoursPYear*paramEmp1ProductivityCoef</f>
        <v>0</v>
      </c>
      <c r="G212" t="b">
        <f>MAX(E212:E212)=MIN(E212:E212)</f>
        <v>1</v>
      </c>
    </row>
    <row r="213" spans="1:7" ht="11.25">
      <c r="A213" s="70"/>
      <c r="B213" s="2"/>
      <c r="C213" s="2" t="str">
        <f>DataNameEmp2</f>
        <v>Technical</v>
      </c>
      <c r="D213" s="2"/>
      <c r="E213" s="13">
        <f>VLOOKUP(decEmp2BusADismiss,dataTableEmpDismiss,2,FALSE)*paramEmp2HoursPYear*paramEmp2ProductivityCoef</f>
        <v>1185.7650228310501</v>
      </c>
      <c r="G213" t="b">
        <f>MAX(E213:E213)=MIN(E213:E213)</f>
        <v>1</v>
      </c>
    </row>
    <row r="214" spans="1:7" ht="11.25">
      <c r="A214" s="70"/>
      <c r="B214" s="2"/>
      <c r="C214" s="2" t="str">
        <f>DataNameEmp3</f>
        <v>PM / Analyst</v>
      </c>
      <c r="D214" s="2"/>
      <c r="E214" s="13">
        <f>VLOOKUP(decEmp3BusADismiss,dataTableEmpDismiss,2,FALSE)*paramEmp3HoursPYear*paramEmp3ProductivityCoef</f>
        <v>1675.1393114754096</v>
      </c>
      <c r="G214" t="b">
        <f>MAX(E214:E214)=MIN(E214:E214)</f>
        <v>1</v>
      </c>
    </row>
    <row r="215" spans="1:7" ht="11.25">
      <c r="A215" s="70"/>
      <c r="B215" s="2"/>
      <c r="C215" s="2" t="str">
        <f>DataNameEmp4</f>
        <v>Director / EM</v>
      </c>
      <c r="D215" s="2"/>
      <c r="E215" s="100">
        <f>VLOOKUP(decEmp4BusADismiss,dataTableEmpDismiss,2,FALSE)*paramEmp4HoursPYear*paramEmp4ProductivityCoef</f>
        <v>2156.2892307692309</v>
      </c>
      <c r="G215" t="b">
        <f>MAX(E215:E215)=MIN(E215:E215)</f>
        <v>1</v>
      </c>
    </row>
    <row r="216" spans="1:7" ht="11.25">
      <c r="A216" s="70"/>
      <c r="B216" s="2"/>
      <c r="C216" s="2" t="str">
        <f>DataNameEmp4</f>
        <v>Director / EM</v>
      </c>
      <c r="D216" s="2" t="s">
        <v>173</v>
      </c>
      <c r="E216" s="100">
        <f>decEmp7BusADismiss*paramEmp7HoursPYear*paramEmp7ProductivityCoef</f>
        <v>0</v>
      </c>
      <c r="G216" t="b">
        <f>MAX(E216:E216)=MIN(E216:E216)</f>
        <v>1</v>
      </c>
    </row>
    <row r="217" spans="1:7" ht="11.25">
      <c r="A217" s="70"/>
      <c r="B217" s="2"/>
      <c r="C217" s="2" t="str">
        <f>DataNameEmp3</f>
        <v>PM / Analyst</v>
      </c>
      <c r="D217" s="2" t="s">
        <v>173</v>
      </c>
      <c r="E217" s="100">
        <f>decEmp8BusADismiss*paramEmp8HoursPYear*paramEmp8ProductivityCoef</f>
        <v>0</v>
      </c>
      <c r="G217" t="b">
        <f>MAX(E217:E217)=MIN(E217:E217)</f>
        <v>1</v>
      </c>
    </row>
    <row r="218" spans="1:7" ht="11.25">
      <c r="A218" s="70"/>
      <c r="B218" s="2"/>
      <c r="C218" s="2" t="str">
        <f>DataNameEmp2</f>
        <v>Technical</v>
      </c>
      <c r="D218" s="2" t="s">
        <v>173</v>
      </c>
      <c r="E218" s="380">
        <f>VLOOKUP(decEmp9BusADismiss,dataTableEmpDismiss,2,FALSE)*paramEmp9HoursPYear*paramEmp9ProductivityCoef</f>
        <v>1200</v>
      </c>
      <c r="G218" t="b">
        <f>MAX(E218:E218)=MIN(E218:E218)</f>
        <v>1</v>
      </c>
    </row>
    <row r="219" spans="1:7" ht="11.25">
      <c r="A219" s="70"/>
      <c r="B219" s="2"/>
      <c r="C219" s="2" t="s">
        <v>1340</v>
      </c>
      <c r="D219" s="2"/>
      <c r="E219" s="13">
        <f>SUM(E212:E218)</f>
        <v>6217.1935650756905</v>
      </c>
      <c r="G219" t="b">
        <f>MAX(E219:E219)=MIN(E219:E219)</f>
        <v>1</v>
      </c>
    </row>
    <row r="220" spans="1:7" ht="11.25">
      <c r="A220" s="128"/>
      <c r="B220" s="2"/>
      <c r="C220" s="2"/>
      <c r="D220" s="2"/>
      <c r="E220" s="13"/>
      <c r="G220" t="b">
        <f>MAX(E220:E220)=MIN(E220:E220)</f>
        <v>1</v>
      </c>
    </row>
    <row r="221" spans="1:7" ht="11.25">
      <c r="A221" s="128" t="s">
        <v>2271</v>
      </c>
      <c r="B221" s="2"/>
      <c r="C221" s="2"/>
      <c r="D221" s="2"/>
      <c r="E221" s="13"/>
      <c r="G221" t="b">
        <f>MAX(E221:E221)=MIN(E221:E221)</f>
        <v>1</v>
      </c>
    </row>
    <row r="222" spans="1:7" ht="11.25">
      <c r="A222" s="70"/>
      <c r="B222" s="2"/>
      <c r="C222" s="2" t="str">
        <f>DataNameEmp1</f>
        <v>Offshore</v>
      </c>
      <c r="D222" s="2"/>
      <c r="E222" s="13">
        <f>cbalBusAEmp1*paramEmp1AttRate*paramEmp1HoursPYear*paramEmp1ProductivityCoef</f>
        <v>78508.922807600247</v>
      </c>
      <c r="G222" t="b">
        <f>MAX(E222:E222)=MIN(E222:E222)</f>
        <v>1</v>
      </c>
    </row>
    <row r="223" spans="1:7" ht="11.25">
      <c r="A223" s="70"/>
      <c r="B223" s="2"/>
      <c r="C223" s="2" t="str">
        <f>DataNameEmp2</f>
        <v>Technical</v>
      </c>
      <c r="D223" s="2"/>
      <c r="E223" s="13">
        <f>cbalBusAEmp2*paramEmp2AttRate*paramEmp2HoursPYear*paramEmp2ProductivityCoef</f>
        <v>86504.582116333331</v>
      </c>
      <c r="G223" t="b">
        <f>MAX(E223:E223)=MIN(E223:E223)</f>
        <v>1</v>
      </c>
    </row>
    <row r="224" spans="1:7" ht="11.25">
      <c r="A224" s="70"/>
      <c r="B224" s="2"/>
      <c r="C224" s="2" t="str">
        <f>DataNameEmp3</f>
        <v>PM / Analyst</v>
      </c>
      <c r="D224" s="2"/>
      <c r="E224" s="13">
        <f>cbalBusAEmp3*paramEmp3AttRate*paramEmp3HoursPYear*paramEmp3ProductivityCoef</f>
        <v>61270.247235779992</v>
      </c>
      <c r="G224" t="b">
        <f>MAX(E224:E224)=MIN(E224:E224)</f>
        <v>1</v>
      </c>
    </row>
    <row r="225" spans="1:7" ht="11.25">
      <c r="A225" s="70"/>
      <c r="B225" s="2"/>
      <c r="C225" s="2" t="str">
        <f>DataNameEmp4</f>
        <v>Director / EM</v>
      </c>
      <c r="D225" s="2"/>
      <c r="E225" s="100">
        <f>cbalBusAEmp4*paramEmp4AttRate*paramEmp4HoursPYear*paramEmp4ProductivityCoef</f>
        <v>15127.311252240001</v>
      </c>
      <c r="G225" t="b">
        <f>MAX(E225:E225)=MIN(E225:E225)</f>
        <v>1</v>
      </c>
    </row>
    <row r="226" spans="1:7" ht="11.25">
      <c r="A226" s="70"/>
      <c r="B226" s="2"/>
      <c r="C226" s="2" t="str">
        <f>DataNameEmp4</f>
        <v>Director / EM</v>
      </c>
      <c r="D226" s="2" t="s">
        <v>173</v>
      </c>
      <c r="E226" s="100">
        <f>cbalBusAEmp7*paramEmp7AttRate*paramEmp7HoursPYear*paramEmp7ProductivityCoef</f>
        <v>12078.000000000002</v>
      </c>
      <c r="G226" t="b">
        <f>MAX(E226:E226)=MIN(E226:E226)</f>
        <v>1</v>
      </c>
    </row>
    <row r="227" spans="1:7" ht="11.25">
      <c r="A227" s="70"/>
      <c r="B227" s="2"/>
      <c r="C227" s="2" t="str">
        <f>DataNameEmp3</f>
        <v>PM / Analyst</v>
      </c>
      <c r="D227" s="2" t="s">
        <v>173</v>
      </c>
      <c r="E227" s="100">
        <f>cbalBusAEmp8*paramEmp8AttRate*paramEmp8HoursPYear*paramEmp8ProductivityCoef</f>
        <v>43605</v>
      </c>
      <c r="G227" t="b">
        <f>MAX(E227:E227)=MIN(E227:E227)</f>
        <v>1</v>
      </c>
    </row>
    <row r="228" spans="1:7" ht="11.25">
      <c r="A228" s="70"/>
      <c r="B228" s="2"/>
      <c r="C228" s="2" t="str">
        <f>DataNameEmp2</f>
        <v>Technical</v>
      </c>
      <c r="D228" s="2" t="s">
        <v>173</v>
      </c>
      <c r="E228" s="380">
        <f>cbalBusAEmp9*paramEmp9AttRate*paramEmp9HoursPYear*paramEmp9ProductivityCoef</f>
        <v>70848</v>
      </c>
      <c r="G228" t="b">
        <f>MAX(E228:E228)=MIN(E228:E228)</f>
        <v>1</v>
      </c>
    </row>
    <row r="229" spans="1:7" ht="11.25">
      <c r="A229" s="70"/>
      <c r="B229" s="2"/>
      <c r="C229" s="2" t="s">
        <v>1340</v>
      </c>
      <c r="D229" s="2"/>
      <c r="E229" s="13">
        <f>SUM(E222:E228)</f>
        <v>367942.06341195363</v>
      </c>
      <c r="G229" t="b">
        <f>MAX(E229:E229)=MIN(E229:E229)</f>
        <v>1</v>
      </c>
    </row>
    <row r="230" spans="1:7" ht="11.25">
      <c r="A230" s="70"/>
      <c r="B230" s="2"/>
      <c r="C230" s="2"/>
      <c r="D230" s="2"/>
      <c r="E230" s="13"/>
      <c r="G230" t="b">
        <f>MAX(E230:E230)=MIN(E230:E230)</f>
        <v>1</v>
      </c>
    </row>
    <row r="231" spans="1:7" ht="11.25">
      <c r="A231" s="128" t="s">
        <v>3609</v>
      </c>
      <c r="B231" s="2"/>
      <c r="C231" s="2"/>
      <c r="D231" s="2"/>
      <c r="E231" s="13"/>
      <c r="G231" t="b">
        <f>MAX(E231:E231)=MIN(E231:E231)</f>
        <v>1</v>
      </c>
    </row>
    <row r="232" spans="1:7" ht="11.25">
      <c r="A232" s="70"/>
      <c r="B232" s="2"/>
      <c r="C232" s="2" t="str">
        <f>DataNameEmp1</f>
        <v>Offshore</v>
      </c>
      <c r="D232" s="2"/>
      <c r="E232" s="13">
        <f>decEmp1BusAHire*paramEmp1HoursPYear*paramEmp1ProductivityCoef</f>
        <v>0</v>
      </c>
      <c r="G232" t="b">
        <f>MAX(E232:E232)=MIN(E232:E232)</f>
        <v>1</v>
      </c>
    </row>
    <row r="233" spans="1:7" ht="11.25">
      <c r="A233" s="70"/>
      <c r="B233" s="2"/>
      <c r="C233" s="2" t="str">
        <f>DataNameEmp2</f>
        <v>Technical</v>
      </c>
      <c r="D233" s="2"/>
      <c r="E233" s="13">
        <f>decEmp2BusAHire*paramEmp2HoursPYear*paramEmp2ProductivityCoef</f>
        <v>241896.06465753421</v>
      </c>
      <c r="G233" t="b">
        <f>MAX(E233:E233)=MIN(E233:E233)</f>
        <v>1</v>
      </c>
    </row>
    <row r="234" spans="1:7" ht="11.25">
      <c r="A234" s="70"/>
      <c r="B234" s="2"/>
      <c r="C234" s="2" t="str">
        <f>DataNameEmp3</f>
        <v>PM / Analyst</v>
      </c>
      <c r="D234" s="2"/>
      <c r="E234" s="13">
        <f>decEmp3BusAHire*paramEmp3HoursPYear*paramEmp3ProductivityCoef</f>
        <v>227818.94636065571</v>
      </c>
      <c r="G234" t="b">
        <f>MAX(E234:E234)=MIN(E234:E234)</f>
        <v>1</v>
      </c>
    </row>
    <row r="235" spans="1:7" ht="11.25">
      <c r="A235" s="70"/>
      <c r="B235" s="2"/>
      <c r="C235" s="2" t="str">
        <f>DataNameEmp4</f>
        <v>Director / EM</v>
      </c>
      <c r="D235" s="2"/>
      <c r="E235" s="100">
        <f>decEmp4BusAHire*paramEmp4HoursPYear*paramEmp4ProductivityCoef</f>
        <v>43125.784615384619</v>
      </c>
      <c r="G235" t="b">
        <f>MAX(E235:E235)=MIN(E235:E235)</f>
        <v>1</v>
      </c>
    </row>
    <row r="236" spans="1:7" ht="11.25">
      <c r="A236" s="70"/>
      <c r="B236" s="2"/>
      <c r="C236" s="2" t="str">
        <f>DataNameEmp4</f>
        <v>Director / EM</v>
      </c>
      <c r="D236" s="2" t="s">
        <v>173</v>
      </c>
      <c r="E236" s="100">
        <f>decEmp7BusAHire*paramEmp7HoursPYear*paramEmp7ProductivityCoef</f>
        <v>0</v>
      </c>
      <c r="G236" t="b">
        <f>MAX(E236:E236)=MIN(E236:E236)</f>
        <v>1</v>
      </c>
    </row>
    <row r="237" spans="1:7" ht="11.25">
      <c r="A237" s="70"/>
      <c r="B237" s="2"/>
      <c r="C237" s="2" t="str">
        <f>DataNameEmp3</f>
        <v>PM / Analyst</v>
      </c>
      <c r="D237" s="2" t="s">
        <v>173</v>
      </c>
      <c r="E237" s="100">
        <f>decEmp8BusAHire*paramEmp8HoursPYear*paramEmp8ProductivityCoef</f>
        <v>0</v>
      </c>
      <c r="G237" t="b">
        <f>MAX(E237:E237)=MIN(E237:E237)</f>
        <v>1</v>
      </c>
    </row>
    <row r="238" spans="1:7" ht="11.25">
      <c r="A238" s="70"/>
      <c r="B238" s="2"/>
      <c r="C238" s="2" t="str">
        <f>DataNameEmp2</f>
        <v>Technical</v>
      </c>
      <c r="D238" s="2" t="s">
        <v>173</v>
      </c>
      <c r="E238" s="380">
        <f>decEmp9BusAHire*paramEmp9HoursPYear*paramEmp9ProductivityCoef</f>
        <v>31200</v>
      </c>
      <c r="G238" t="b">
        <f>MAX(E238:E238)=MIN(E238:E238)</f>
        <v>1</v>
      </c>
    </row>
    <row r="239" spans="1:7" ht="11.25">
      <c r="A239" s="70"/>
      <c r="B239" s="2"/>
      <c r="C239" s="2" t="s">
        <v>1340</v>
      </c>
      <c r="D239" s="2"/>
      <c r="E239" s="13">
        <f>SUM(E232:E238)</f>
        <v>544040.7956335746</v>
      </c>
      <c r="G239" t="b">
        <f>MAX(E239:E239)=MIN(E239:E239)</f>
        <v>1</v>
      </c>
    </row>
    <row r="240" spans="1:7" ht="11.25">
      <c r="A240" s="70"/>
      <c r="B240" s="2"/>
      <c r="C240" s="2"/>
      <c r="D240" s="2"/>
      <c r="E240" s="13"/>
      <c r="G240" t="b">
        <f>MAX(E240:E240)=MIN(E240:E240)</f>
        <v>1</v>
      </c>
    </row>
    <row r="241" spans="1:7" ht="11.25">
      <c r="A241" s="70"/>
      <c r="B241" s="2"/>
      <c r="C241" s="2"/>
      <c r="D241" s="2"/>
      <c r="E241" s="13"/>
      <c r="G241" t="b">
        <f>MAX(E241:E241)=MIN(E241:E241)</f>
        <v>1</v>
      </c>
    </row>
    <row r="242" spans="1:7" ht="11.25">
      <c r="A242" s="128" t="s">
        <v>3565</v>
      </c>
      <c r="B242" s="2"/>
      <c r="C242" s="2"/>
      <c r="D242" s="2"/>
      <c r="E242" s="13"/>
      <c r="G242" t="b">
        <f>MAX(E242:E242)=MIN(E242:E242)</f>
        <v>1</v>
      </c>
    </row>
    <row r="243" spans="1:7" ht="11.25">
      <c r="A243" s="70"/>
      <c r="B243" s="2"/>
      <c r="C243" s="2" t="s">
        <v>946</v>
      </c>
      <c r="D243" s="2"/>
      <c r="E243" s="13">
        <f>decProd1Units*INDEX(xxMMProd1Seg1Units,xxYear+4)</f>
        <v>1022697.7955697222</v>
      </c>
      <c r="G243" t="b">
        <f>MAX(E243:E243)=MIN(E243:E243)</f>
        <v>1</v>
      </c>
    </row>
    <row r="244" spans="1:7" ht="11.25">
      <c r="A244" s="70"/>
      <c r="B244" s="2"/>
      <c r="C244" s="2" t="s">
        <v>947</v>
      </c>
      <c r="D244" s="2"/>
      <c r="E244" s="13">
        <f>decProd1V2Units*INDEX(xxMMProd1Seg2Units,xxYear+4)</f>
        <v>728072.94235383568</v>
      </c>
      <c r="G244" t="b">
        <f>MAX(E244:E244)=MIN(E244:E244)</f>
        <v>1</v>
      </c>
    </row>
    <row r="245" spans="1:7" ht="11.25">
      <c r="A245" s="70"/>
      <c r="B245" s="2"/>
      <c r="C245" s="37" t="s">
        <v>948</v>
      </c>
      <c r="D245" s="37"/>
      <c r="E245" s="380">
        <f>decProd1V3Units*INDEX(xxMMProd1Seg3Units,xxYear+4)</f>
        <v>402585.79889093834</v>
      </c>
      <c r="G245" t="b">
        <f>MAX(E245:E245)=MIN(E245:E245)</f>
        <v>1</v>
      </c>
    </row>
    <row r="246" spans="1:7" ht="11.25">
      <c r="A246" s="70"/>
      <c r="B246" s="2"/>
      <c r="C246" s="2" t="s">
        <v>1340</v>
      </c>
      <c r="D246" s="2"/>
      <c r="E246" s="13">
        <f>SUM(E243:E245)</f>
        <v>2153356.5368144964</v>
      </c>
      <c r="G246" t="b">
        <f>MAX(E246:E246)=MIN(E246:E246)</f>
        <v>1</v>
      </c>
    </row>
    <row r="247" spans="1:7" ht="11.25">
      <c r="A247" s="70"/>
      <c r="B247" s="2"/>
      <c r="C247" s="2"/>
      <c r="D247" s="2"/>
      <c r="E247" s="314"/>
      <c r="G247" t="b">
        <f>MAX(E247:E247)=MIN(E247:E247)</f>
        <v>1</v>
      </c>
    </row>
    <row r="248" spans="1:7" ht="11.25">
      <c r="A248" s="128" t="s">
        <v>3566</v>
      </c>
      <c r="B248" s="2"/>
      <c r="C248" s="2"/>
      <c r="D248" s="2"/>
      <c r="E248" s="314">
        <f>MAX(0,IF(E246=0,0,(E191-E219-E229+E239)/E246))</f>
        <v>0.56603283301096352</v>
      </c>
      <c r="F248" t="s">
        <v>3611</v>
      </c>
      <c r="G248" t="b">
        <f>MAX(E248:E248)=MIN(E248:E248)</f>
        <v>1</v>
      </c>
    </row>
    <row r="249" spans="1:7" ht="11.25">
      <c r="A249" s="128"/>
      <c r="B249" s="2"/>
      <c r="C249" s="2"/>
      <c r="D249" s="2"/>
      <c r="E249" s="314"/>
    </row>
    <row r="250" spans="1:7" ht="11.25">
      <c r="A250" s="128"/>
      <c r="B250" s="2"/>
      <c r="C250" s="2"/>
      <c r="D250" s="2"/>
      <c r="E250" s="314"/>
    </row>
    <row r="251" spans="1:7" ht="11.25">
      <c r="A251" s="128"/>
      <c r="B251" s="2"/>
      <c r="C251" s="2"/>
      <c r="D251" s="2"/>
      <c r="E251" s="314"/>
    </row>
    <row r="252" spans="1:7" ht="11.25">
      <c r="A252" s="128"/>
      <c r="B252" s="2"/>
      <c r="C252" s="2"/>
      <c r="D252" s="2"/>
      <c r="E252" s="314"/>
    </row>
    <row r="253" spans="1:7" ht="11.25">
      <c r="A253" s="128"/>
      <c r="B253" s="2"/>
      <c r="C253" s="2"/>
      <c r="D253" s="2"/>
      <c r="E253" s="314"/>
    </row>
    <row r="254" spans="1:7" ht="11.25">
      <c r="A254" s="128"/>
      <c r="B254" s="2"/>
      <c r="C254" s="2"/>
      <c r="D254" s="2"/>
      <c r="E254" s="314"/>
    </row>
    <row r="255" spans="1:7" ht="11.25">
      <c r="A255" s="128"/>
      <c r="B255" s="2"/>
      <c r="C255" s="2"/>
      <c r="D255" s="2"/>
      <c r="E255" s="314"/>
    </row>
    <row r="256" spans="1:7" ht="11.25">
      <c r="A256" s="128"/>
      <c r="B256" s="2"/>
      <c r="C256" s="2"/>
      <c r="D256" s="2"/>
      <c r="E256" s="314"/>
    </row>
    <row r="257" spans="1:7" ht="11.25">
      <c r="A257" s="128"/>
      <c r="B257" s="2"/>
      <c r="C257" s="2"/>
      <c r="D257" s="2"/>
      <c r="E257" s="314"/>
    </row>
    <row r="258" spans="1:7" ht="11.25">
      <c r="A258" s="128"/>
      <c r="B258" s="2"/>
      <c r="C258" s="2"/>
      <c r="D258" s="2"/>
      <c r="E258" s="314"/>
    </row>
    <row r="259" spans="1:7" ht="11.25">
      <c r="A259" s="2"/>
      <c r="B259" s="2"/>
      <c r="C259" s="2"/>
      <c r="D259" s="2"/>
      <c r="E259" s="314"/>
      <c r="G259" t="b">
        <f>MAX(E259:E259)=MIN(E259:E259)</f>
        <v>1</v>
      </c>
    </row>
    <row r="260" spans="1:7" ht="15.75">
      <c r="A260" s="22" t="s">
        <v>28</v>
      </c>
      <c r="B260" s="23"/>
      <c r="C260" s="23"/>
      <c r="D260" s="23"/>
      <c r="E260" s="23"/>
      <c r="G260" t="b">
        <f>MAX(E260:E260)=MIN(E260:E260)</f>
        <v>1</v>
      </c>
    </row>
    <row r="261" spans="1:7" ht="11.25">
      <c r="A261" s="2" t="s">
        <v>1586</v>
      </c>
      <c r="G261" t="b">
        <f>MAX(E261:E261)=MIN(E261:E261)</f>
        <v>1</v>
      </c>
    </row>
    <row r="262" spans="1:7" ht="11.25">
      <c r="B262" s="3" t="str">
        <f>DataNameEmp1</f>
        <v>Offshore</v>
      </c>
      <c r="G262" t="b">
        <f>MAX(E262:E262)=MIN(E262:E262)</f>
        <v>1</v>
      </c>
    </row>
    <row r="263" spans="1:7" ht="11.25">
      <c r="B263" s="3"/>
      <c r="C263" t="s">
        <v>4253</v>
      </c>
      <c r="E263" s="16">
        <f>decEmp1Training*cbalBusAEmp1</f>
        <v>28080</v>
      </c>
      <c r="F263" t="s">
        <v>1587</v>
      </c>
      <c r="G263" t="b">
        <f>MAX(E263:E263)=MIN(E263:E263)</f>
        <v>1</v>
      </c>
    </row>
    <row r="264" spans="1:7" ht="11.25">
      <c r="B264" s="3"/>
      <c r="C264" t="s">
        <v>1593</v>
      </c>
      <c r="E264" s="16">
        <f>decEmp1Training*cbalBusBEmp1</f>
        <v>1080</v>
      </c>
      <c r="F264" t="s">
        <v>2325</v>
      </c>
      <c r="G264" t="b">
        <f>MAX(E264:E264)=MIN(E264:E264)</f>
        <v>1</v>
      </c>
    </row>
    <row r="265" spans="1:7" ht="11.25">
      <c r="B265" s="3" t="str">
        <f>DataNameEmp2</f>
        <v>Technical</v>
      </c>
      <c r="E265" s="16"/>
      <c r="G265" t="b">
        <f>MAX(E265:E265)=MIN(E265:E265)</f>
        <v>1</v>
      </c>
    </row>
    <row r="266" spans="1:7" ht="11.25">
      <c r="B266" s="3"/>
      <c r="C266" t="s">
        <v>4253</v>
      </c>
      <c r="E266" s="16">
        <f>decEmp2Training*cbalBusAEmp2</f>
        <v>43800</v>
      </c>
      <c r="F266" t="s">
        <v>2326</v>
      </c>
      <c r="G266" t="b">
        <f>MAX(E266:E266)=MIN(E266:E266)</f>
        <v>1</v>
      </c>
    </row>
    <row r="267" spans="1:7" ht="11.25">
      <c r="B267" s="3"/>
      <c r="C267" t="s">
        <v>1593</v>
      </c>
      <c r="E267" s="16">
        <f>decEmp2Training*cbalBusBEmp2</f>
        <v>2160</v>
      </c>
      <c r="F267" t="s">
        <v>2327</v>
      </c>
      <c r="G267" t="b">
        <f>MAX(E267:E267)=MIN(E267:E267)</f>
        <v>1</v>
      </c>
    </row>
    <row r="268" spans="1:7" ht="11.25">
      <c r="B268" s="3"/>
      <c r="C268" t="s">
        <v>2529</v>
      </c>
      <c r="E268" s="16">
        <f>decEmp2Training*cbalBusAEmp9</f>
        <v>39360</v>
      </c>
      <c r="F268" t="s">
        <v>2530</v>
      </c>
      <c r="G268" t="b">
        <f>MAX(E268:E268)=MIN(E268:E268)</f>
        <v>1</v>
      </c>
    </row>
    <row r="269" spans="1:7" ht="11.25">
      <c r="B269" s="3" t="str">
        <f>DataNameEmp3</f>
        <v>PM / Analyst</v>
      </c>
      <c r="E269" s="16"/>
      <c r="G269" t="b">
        <f>MAX(E269:E269)=MIN(E269:E269)</f>
        <v>1</v>
      </c>
    </row>
    <row r="270" spans="1:7" ht="11.25">
      <c r="B270" s="3"/>
      <c r="C270" t="s">
        <v>4253</v>
      </c>
      <c r="E270" s="16">
        <f>decEmp3Training*cbalBusAEmp3</f>
        <v>29280</v>
      </c>
      <c r="F270" t="s">
        <v>2328</v>
      </c>
      <c r="G270" t="b">
        <f>MAX(E270:E270)=MIN(E270:E270)</f>
        <v>1</v>
      </c>
    </row>
    <row r="271" spans="1:7" ht="11.25">
      <c r="B271" s="3"/>
      <c r="C271" t="s">
        <v>1593</v>
      </c>
      <c r="E271" s="16">
        <f>decEmp3Training*cbalBusBEmp3</f>
        <v>2160</v>
      </c>
      <c r="F271" t="s">
        <v>2329</v>
      </c>
      <c r="G271" t="b">
        <f>MAX(E271:E271)=MIN(E271:E271)</f>
        <v>1</v>
      </c>
    </row>
    <row r="272" spans="1:7" ht="11.25">
      <c r="B272" s="3"/>
      <c r="C272" t="s">
        <v>2529</v>
      </c>
      <c r="E272" s="16">
        <f>decEmp3Training*cbalBusAEmp8</f>
        <v>20520</v>
      </c>
      <c r="F272" t="s">
        <v>4244</v>
      </c>
      <c r="G272" t="b">
        <f>MAX(E272:E272)=MIN(E272:E272)</f>
        <v>1</v>
      </c>
    </row>
    <row r="273" spans="1:7" ht="11.25">
      <c r="B273" s="3" t="str">
        <f>DataNameEmp4</f>
        <v>Director / EM</v>
      </c>
      <c r="E273" s="16"/>
      <c r="G273" t="b">
        <f>MAX(E273:E273)=MIN(E273:E273)</f>
        <v>1</v>
      </c>
    </row>
    <row r="274" spans="1:7" ht="11.25">
      <c r="B274" s="3"/>
      <c r="C274" t="s">
        <v>4253</v>
      </c>
      <c r="E274" s="16">
        <f>decEmp4Training*cbalBusAEmp4</f>
        <v>6240</v>
      </c>
      <c r="F274" t="s">
        <v>2330</v>
      </c>
      <c r="G274" t="b">
        <f>MAX(E274:E274)=MIN(E274:E274)</f>
        <v>1</v>
      </c>
    </row>
    <row r="275" spans="1:7" ht="11.25">
      <c r="B275" s="3"/>
      <c r="C275" t="s">
        <v>1593</v>
      </c>
      <c r="E275" s="16">
        <f>decEmp4Training*cbalBusBEmp4</f>
        <v>880</v>
      </c>
      <c r="F275" t="s">
        <v>4063</v>
      </c>
      <c r="G275" t="b">
        <f>MAX(E275:E275)=MIN(E275:E275)</f>
        <v>1</v>
      </c>
    </row>
    <row r="276" spans="1:7" ht="11.25">
      <c r="B276" s="3"/>
      <c r="C276" t="s">
        <v>2529</v>
      </c>
      <c r="E276" s="16">
        <f>decEmp4Training*cbalBusAEmp7</f>
        <v>4880</v>
      </c>
      <c r="F276" t="s">
        <v>4243</v>
      </c>
      <c r="G276" t="b">
        <f>MAX(E276:E276)=MIN(E276:E276)</f>
        <v>1</v>
      </c>
    </row>
    <row r="277" spans="1:7" ht="11.25">
      <c r="B277" t="s">
        <v>4267</v>
      </c>
      <c r="E277" s="101">
        <f>decEntWFTraining*cbalEmp6</f>
        <v>12240</v>
      </c>
      <c r="F277" t="s">
        <v>2281</v>
      </c>
      <c r="G277" t="b">
        <f>MAX(E277:E277)=MIN(E277:E277)</f>
        <v>1</v>
      </c>
    </row>
    <row r="278" spans="1:7" ht="11.25">
      <c r="B278" s="2" t="s">
        <v>1340</v>
      </c>
      <c r="E278" s="16">
        <f>SUM(E263:E277)</f>
        <v>190680</v>
      </c>
      <c r="F278" t="s">
        <v>2282</v>
      </c>
      <c r="G278" t="b">
        <f>MAX(E278:E278)=MIN(E278:E278)</f>
        <v>1</v>
      </c>
    </row>
    <row r="279" spans="1:7" ht="11.25">
      <c r="B279" s="2"/>
      <c r="G279" t="b">
        <f>MAX(E279:E279)=MIN(E279:E279)</f>
        <v>1</v>
      </c>
    </row>
    <row r="280" spans="1:7" ht="11.25">
      <c r="A280" s="2" t="s">
        <v>1981</v>
      </c>
      <c r="B280" s="2"/>
      <c r="G280" t="b">
        <f>MAX(E280:E280)=MIN(E280:E280)</f>
        <v>1</v>
      </c>
    </row>
    <row r="281" spans="1:7" ht="11.25">
      <c r="B281" s="3" t="s">
        <v>13</v>
      </c>
      <c r="G281" t="b">
        <f>MAX(E281:E281)=MIN(E281:E281)</f>
        <v>1</v>
      </c>
    </row>
    <row r="282" spans="1:7" ht="11.25">
      <c r="B282" s="2"/>
      <c r="C282" s="3" t="str">
        <f>DataNameEmp1</f>
        <v>Offshore</v>
      </c>
      <c r="G282" t="b">
        <f>MAX(E282:E282)=MIN(E282:E282)</f>
        <v>1</v>
      </c>
    </row>
    <row r="283" spans="1:7" ht="11.25">
      <c r="B283" s="2"/>
      <c r="C283" s="3" t="str">
        <f>DataNameEmp2</f>
        <v>Technical</v>
      </c>
      <c r="E283">
        <f>decEmp2TrainingBudget*paramEmp2TrainingHrsPerDollar</f>
        <v>120</v>
      </c>
      <c r="F283" t="s">
        <v>3659</v>
      </c>
      <c r="G283" t="b">
        <f>MAX(E283:E283)=MIN(E283:E283)</f>
        <v>1</v>
      </c>
    </row>
    <row r="284" spans="1:7" ht="11.25">
      <c r="B284" s="2"/>
      <c r="C284" s="3" t="str">
        <f>DataNameEmp3</f>
        <v>PM / Analyst</v>
      </c>
      <c r="E284">
        <f>decEmp3TrainingBudget*paramEmp3TrainingHrsPerDollar</f>
        <v>120</v>
      </c>
      <c r="F284" t="s">
        <v>911</v>
      </c>
      <c r="G284" t="b">
        <f>MAX(E284:E284)=MIN(E284:E284)</f>
        <v>1</v>
      </c>
    </row>
    <row r="285" spans="1:7" ht="11.25">
      <c r="B285" s="2"/>
      <c r="C285" s="3" t="str">
        <f>DataNameEmp4</f>
        <v>Director / EM</v>
      </c>
      <c r="E285">
        <f>decEmp4TrainingBudget*paramEmp4TrainingHrsPerDollar</f>
        <v>80</v>
      </c>
      <c r="F285" t="s">
        <v>912</v>
      </c>
      <c r="G285" t="b">
        <f>MAX(E285:E285)=MIN(E285:E285)</f>
        <v>1</v>
      </c>
    </row>
    <row r="286" spans="1:7" ht="11.25">
      <c r="B286" s="2"/>
      <c r="C286" t="s">
        <v>4267</v>
      </c>
      <c r="E286">
        <f>decEntWFTrainingBudget*paramEmp6TrainingHrsPerDollar</f>
        <v>120</v>
      </c>
      <c r="F286" t="s">
        <v>4220</v>
      </c>
      <c r="G286" t="b">
        <f>MAX(E286:E286)=MIN(E286:E286)</f>
        <v>1</v>
      </c>
    </row>
    <row r="287" spans="1:7" ht="11.25">
      <c r="B287" s="2"/>
      <c r="C287" s="3" t="str">
        <f>DataNameEmp7</f>
        <v>SI &amp; T Sr. Exec.</v>
      </c>
      <c r="E287">
        <f>decEmp4TrainingBudget*paramEmp7TrainingHrsPerDollar</f>
        <v>80</v>
      </c>
      <c r="F287" t="s">
        <v>241</v>
      </c>
      <c r="G287" t="b">
        <f>MAX(E287:E287)=MIN(E287:E287)</f>
        <v>1</v>
      </c>
    </row>
    <row r="288" spans="1:7" ht="11.25">
      <c r="B288" s="2"/>
      <c r="C288" s="3" t="str">
        <f>DataNameEmp8</f>
        <v>SI &amp; T Sr. Mgr</v>
      </c>
      <c r="E288">
        <f>decEmp3TrainingBudget*paramEmp8TrainingHrsPerDollar</f>
        <v>120</v>
      </c>
      <c r="F288" t="s">
        <v>4012</v>
      </c>
      <c r="G288" t="b">
        <f>MAX(E288:E288)=MIN(E288:E288)</f>
        <v>1</v>
      </c>
    </row>
    <row r="289" spans="1:7" ht="11.25">
      <c r="B289" s="2"/>
      <c r="C289" s="3" t="str">
        <f>DataNameEmp9</f>
        <v>Global Delivery Centers</v>
      </c>
      <c r="E289">
        <f>decEmp2TrainingBudget*paramEmp9TrainingHrsPerDollar</f>
        <v>120</v>
      </c>
      <c r="F289" t="s">
        <v>4013</v>
      </c>
      <c r="G289" t="b">
        <f>MAX(E289:E289)=MIN(E289:E289)</f>
        <v>1</v>
      </c>
    </row>
    <row r="290" spans="1:7" ht="11.25">
      <c r="B290" s="2"/>
      <c r="G290" t="b">
        <f>MAX(E290:E290)=MIN(E290:E290)</f>
        <v>1</v>
      </c>
    </row>
    <row r="291" spans="1:7" ht="11.25">
      <c r="A291" t="s">
        <v>1105</v>
      </c>
      <c r="B291" s="2"/>
      <c r="G291" t="b">
        <f>MAX(E291:E291)=MIN(E291:E291)</f>
        <v>1</v>
      </c>
    </row>
    <row r="292" spans="1:7" ht="11.25">
      <c r="B292" s="2"/>
      <c r="C292" s="3" t="str">
        <f>DataNameEmp1</f>
        <v>Offshore</v>
      </c>
      <c r="E292" s="324">
        <f>ROUNDUP((capBusAEmp1End+capBusBEmp1End)-(capBusAEmp1End+capBusBEmp1End)*paramEmp1AttRate+(decEmp1BusAHire+decEmp1BusBHire),0)*decEmp1TrainingBudget</f>
        <v>183000</v>
      </c>
      <c r="G292" t="b">
        <f>MAX(E292:E292)=MIN(E292:E292)</f>
        <v>1</v>
      </c>
    </row>
    <row r="293" spans="1:7" ht="11.25">
      <c r="B293" s="2"/>
      <c r="C293" s="3" t="str">
        <f>DataNameEmp2</f>
        <v>Technical</v>
      </c>
      <c r="E293" s="324">
        <f>ROUNDUP((capBusAEmp2End+capBusBEmp2End)-(capBusAEmp2End+capBusBEmp2End)*paramEmp2AttRate+(decEmp2BusAHire+decEmp2BusBHire),0)*decEmp2TrainingBudget</f>
        <v>2171750</v>
      </c>
      <c r="G293" t="b">
        <f>MAX(E293:E293)=MIN(E293:E293)</f>
        <v>1</v>
      </c>
    </row>
    <row r="294" spans="1:7" ht="11.25">
      <c r="B294" s="2"/>
      <c r="C294" s="3" t="str">
        <f>DataNameEmp3</f>
        <v>PM / Analyst</v>
      </c>
      <c r="E294" s="324">
        <f>ROUNDUP((capBusAEmp3End+capBusBEmp3End)-(capBusAEmp3End+capBusBEmp3End)*paramEmp3AttRate+(decEmp3BusAHire+decEmp3BusBHire),0)*decEmp3TrainingBudget</f>
        <v>1525750</v>
      </c>
      <c r="G294" t="b">
        <f>MAX(E294:E294)=MIN(E294:E294)</f>
        <v>1</v>
      </c>
    </row>
    <row r="295" spans="1:7" ht="11.25">
      <c r="B295" s="2"/>
      <c r="C295" s="3" t="str">
        <f>DataNameEmp4</f>
        <v>Director / EM</v>
      </c>
      <c r="E295" s="324">
        <f>ROUNDUP((capBusAEmp4End+capBusBEmp4End)-(capBusAEmp4End+capBusBEmp4End)*paramEmp4AttRate+(decEmp4BusAHire+decEmp4BusBHire),0)*decEmp4TrainingBudget</f>
        <v>429250</v>
      </c>
      <c r="G295" t="b">
        <f>MAX(E295:E295)=MIN(E295:E295)</f>
        <v>1</v>
      </c>
    </row>
    <row r="296" spans="1:7" ht="11.25">
      <c r="B296" s="2"/>
      <c r="C296" t="s">
        <v>4267</v>
      </c>
      <c r="E296" s="331">
        <f>ROUNDUP((capEmp6End)-(capEmp6End)*paramEmp6AttRate+(decEntWFHire),0)*decEntWFTrainingBudget</f>
        <v>426000</v>
      </c>
      <c r="G296" t="b">
        <f>MAX(E296:E296)=MIN(E296:E296)</f>
        <v>1</v>
      </c>
    </row>
    <row r="297" spans="1:7" ht="11.25">
      <c r="B297" s="2"/>
      <c r="C297" s="3" t="str">
        <f>DataNameEmp7</f>
        <v>SI &amp; T Sr. Exec.</v>
      </c>
      <c r="E297" s="324">
        <f>ROUNDUP((capBusAEmp7End)-(capBusAEmp7End)*paramEmp7AttRate+(decEmp7BusAHire),0)*decEmp4TrainingBudget</f>
        <v>238000</v>
      </c>
      <c r="G297" t="b">
        <f>MAX(E297:E297)=MIN(E297:E297)</f>
        <v>1</v>
      </c>
    </row>
    <row r="298" spans="1:7" ht="11.25">
      <c r="B298" s="2"/>
      <c r="C298" s="3" t="str">
        <f>DataNameEmp8</f>
        <v>SI &amp; T Sr. Mgr</v>
      </c>
      <c r="E298" s="324">
        <f>ROUNDUP((capBusAEmp8End)-(capBusAEmp8End)*paramEmp8AttRate+(decEmp8BusAHire),0)*decEmp3TrainingBudget</f>
        <v>620500</v>
      </c>
      <c r="G298" t="b">
        <f>MAX(E298:E298)=MIN(E298:E298)</f>
        <v>1</v>
      </c>
    </row>
    <row r="299" spans="1:7" ht="11.25">
      <c r="B299" s="2"/>
      <c r="C299" s="3" t="str">
        <f>DataNameEmp7</f>
        <v>SI &amp; T Sr. Exec.</v>
      </c>
      <c r="E299" s="401">
        <f>ROUNDUP((capBusAEmp9End)-(capBusAEmp9End)*paramEmp9AttRate+(decEmp9BusAHire),0)*decEmp2TrainingBudget</f>
        <v>1253750</v>
      </c>
      <c r="G299" t="b">
        <f>MAX(E299:E299)=MIN(E299:E299)</f>
        <v>1</v>
      </c>
    </row>
    <row r="300" spans="1:7" ht="11.25">
      <c r="B300" s="2"/>
      <c r="C300" t="s">
        <v>1340</v>
      </c>
      <c r="E300" s="422">
        <f>MAX(SUM(E292:E299),0)</f>
        <v>6848000</v>
      </c>
      <c r="F300" t="s">
        <v>1106</v>
      </c>
      <c r="G300" t="b">
        <f>MAX(E300:E300)=MIN(E300:E300)</f>
        <v>1</v>
      </c>
    </row>
    <row r="301" spans="1:7" ht="11.25">
      <c r="B301" s="2"/>
      <c r="G301" t="b">
        <f>MAX(E301:E301)=MIN(E301:E301)</f>
        <v>1</v>
      </c>
    </row>
    <row r="302" spans="1:7" ht="15.75">
      <c r="A302" s="22" t="s">
        <v>2151</v>
      </c>
      <c r="B302" s="23"/>
      <c r="C302" s="23"/>
      <c r="D302" s="23"/>
      <c r="E302" s="23"/>
      <c r="G302" t="b">
        <f>MAX(E302:E302)=MIN(E302:E302)</f>
        <v>1</v>
      </c>
    </row>
    <row r="303" spans="1:7" ht="11.25">
      <c r="A303" t="s">
        <v>1919</v>
      </c>
      <c r="G303" t="b">
        <f>MAX(E303:E303)=MIN(E303:E303)</f>
        <v>1</v>
      </c>
    </row>
    <row r="304" spans="1:7" ht="11.25">
      <c r="B304" t="s">
        <v>42</v>
      </c>
      <c r="G304" t="b">
        <f>MAX(E304:E304)=MIN(E304:E304)</f>
        <v>1</v>
      </c>
    </row>
    <row r="305" spans="2:7" ht="11.25">
      <c r="C305" t="s">
        <v>2022</v>
      </c>
      <c r="E305" s="361">
        <v>0</v>
      </c>
      <c r="F305" t="s">
        <v>2061</v>
      </c>
      <c r="G305" t="b">
        <f>MAX(E305:E305)=MIN(E305:E305)</f>
        <v>1</v>
      </c>
    </row>
    <row r="306" spans="2:7" ht="11.25">
      <c r="C306" t="s">
        <v>3861</v>
      </c>
      <c r="E306" s="361">
        <v>0</v>
      </c>
      <c r="F306" t="s">
        <v>1064</v>
      </c>
      <c r="G306" t="b">
        <f>MAX(E306:E306)=MIN(E306:E306)</f>
        <v>1</v>
      </c>
    </row>
    <row r="307" spans="2:7" ht="11.25">
      <c r="C307" t="s">
        <v>3860</v>
      </c>
      <c r="E307" s="361">
        <f>decCompDevBusAV1*paramEmp3BusAHrsReqPerCompDevLevel*(1.1^decCompDevBusAV1)</f>
        <v>412.50000000000006</v>
      </c>
      <c r="F307" t="s">
        <v>878</v>
      </c>
      <c r="G307" t="b">
        <f>MAX(E307:E307)=MIN(E307:E307)</f>
        <v>1</v>
      </c>
    </row>
    <row r="308" spans="2:7" ht="11.25">
      <c r="C308" t="s">
        <v>3071</v>
      </c>
      <c r="E308" s="361">
        <f>decCompDevBusAV1*paramEmp4BusAHrsReqPerCompDevLevel*(1.1^decCompDevBusAV1)</f>
        <v>275</v>
      </c>
      <c r="F308" t="s">
        <v>879</v>
      </c>
      <c r="G308" t="b">
        <f>MAX(E308:E308)=MIN(E308:E308)</f>
        <v>1</v>
      </c>
    </row>
    <row r="309" spans="2:7" ht="11.25">
      <c r="C309" t="s">
        <v>3083</v>
      </c>
      <c r="D309" t="s">
        <v>173</v>
      </c>
      <c r="E309" s="361">
        <v>0</v>
      </c>
      <c r="F309" t="s">
        <v>4363</v>
      </c>
      <c r="G309" t="b">
        <f>MAX(E309:E309)=MIN(E309:E309)</f>
        <v>1</v>
      </c>
    </row>
    <row r="310" spans="2:7" ht="11.25">
      <c r="C310" t="s">
        <v>3084</v>
      </c>
      <c r="D310" t="s">
        <v>173</v>
      </c>
      <c r="E310" s="361">
        <v>0</v>
      </c>
      <c r="F310" t="s">
        <v>4364</v>
      </c>
      <c r="G310" t="b">
        <f>MAX(E310:E310)=MIN(E310:E310)</f>
        <v>1</v>
      </c>
    </row>
    <row r="311" spans="2:7" ht="11.25">
      <c r="C311" t="s">
        <v>3085</v>
      </c>
      <c r="D311" t="s">
        <v>173</v>
      </c>
      <c r="E311" s="361">
        <v>0</v>
      </c>
      <c r="F311" t="s">
        <v>1996</v>
      </c>
      <c r="G311" t="b">
        <f>MAX(E311:E311)=MIN(E311:E311)</f>
        <v>1</v>
      </c>
    </row>
    <row r="312" spans="2:7" ht="11.25">
      <c r="B312" t="s">
        <v>43</v>
      </c>
      <c r="E312" s="361"/>
      <c r="G312" t="b">
        <f>MAX(E312:E312)=MIN(E312:E312)</f>
        <v>1</v>
      </c>
    </row>
    <row r="313" spans="2:7" ht="11.25">
      <c r="C313" t="s">
        <v>2022</v>
      </c>
      <c r="E313" s="361">
        <v>0</v>
      </c>
      <c r="F313" t="s">
        <v>880</v>
      </c>
      <c r="G313" t="b">
        <f>MAX(E313:E313)=MIN(E313:E313)</f>
        <v>1</v>
      </c>
    </row>
    <row r="314" spans="2:7" ht="11.25">
      <c r="C314" t="s">
        <v>3861</v>
      </c>
      <c r="E314" s="361">
        <v>0</v>
      </c>
      <c r="F314" t="s">
        <v>881</v>
      </c>
      <c r="G314" t="b">
        <f>MAX(E314:E314)=MIN(E314:E314)</f>
        <v>1</v>
      </c>
    </row>
    <row r="315" spans="2:7" ht="11.25">
      <c r="C315" t="s">
        <v>3860</v>
      </c>
      <c r="E315" s="361">
        <f>decCompDevBusAV2*paramEmp3BusAHrsReqPerCompDevLevel*(1.1^decCompDevBusAV2)</f>
        <v>907.50000000000011</v>
      </c>
      <c r="F315" t="s">
        <v>882</v>
      </c>
      <c r="G315" t="b">
        <f>MAX(E315:E315)=MIN(E315:E315)</f>
        <v>1</v>
      </c>
    </row>
    <row r="316" spans="2:7" ht="11.25">
      <c r="C316" t="s">
        <v>3071</v>
      </c>
      <c r="E316" s="361">
        <f>decCompDevBusAV2*paramEmp4BusAHrsReqPerCompDevLevel*(1.1^decCompDevBusAV2)</f>
        <v>605.00000000000011</v>
      </c>
      <c r="F316" t="s">
        <v>883</v>
      </c>
      <c r="G316" t="b">
        <f>MAX(E316:E316)=MIN(E316:E316)</f>
        <v>1</v>
      </c>
    </row>
    <row r="317" spans="2:7" ht="11.25">
      <c r="C317" t="s">
        <v>3083</v>
      </c>
      <c r="D317" t="s">
        <v>173</v>
      </c>
      <c r="E317" s="361">
        <v>0</v>
      </c>
      <c r="F317" t="s">
        <v>1997</v>
      </c>
      <c r="G317" t="b">
        <f>MAX(E317:E317)=MIN(E317:E317)</f>
        <v>1</v>
      </c>
    </row>
    <row r="318" spans="2:7" ht="11.25">
      <c r="C318" t="s">
        <v>3084</v>
      </c>
      <c r="D318" t="s">
        <v>173</v>
      </c>
      <c r="E318" s="361">
        <v>0</v>
      </c>
      <c r="F318" t="s">
        <v>1998</v>
      </c>
      <c r="G318" t="b">
        <f>MAX(E318:E318)=MIN(E318:E318)</f>
        <v>1</v>
      </c>
    </row>
    <row r="319" spans="2:7" ht="11.25">
      <c r="C319" t="s">
        <v>3085</v>
      </c>
      <c r="D319" t="s">
        <v>173</v>
      </c>
      <c r="E319" s="361">
        <v>0</v>
      </c>
      <c r="F319" t="s">
        <v>1999</v>
      </c>
      <c r="G319" t="b">
        <f>MAX(E319:E319)=MIN(E319:E319)</f>
        <v>1</v>
      </c>
    </row>
    <row r="320" spans="2:7" ht="11.25">
      <c r="B320" t="s">
        <v>44</v>
      </c>
      <c r="E320" s="361"/>
      <c r="G320" t="b">
        <f>MAX(E320:E320)=MIN(E320:E320)</f>
        <v>1</v>
      </c>
    </row>
    <row r="321" spans="2:7" ht="11.25">
      <c r="C321" t="s">
        <v>2022</v>
      </c>
      <c r="E321" s="361">
        <v>0</v>
      </c>
      <c r="F321" t="s">
        <v>907</v>
      </c>
      <c r="G321" t="b">
        <f>MAX(E321:E321)=MIN(E321:E321)</f>
        <v>1</v>
      </c>
    </row>
    <row r="322" spans="2:7" ht="11.25">
      <c r="C322" t="s">
        <v>3861</v>
      </c>
      <c r="E322" s="361">
        <v>0</v>
      </c>
      <c r="F322" t="s">
        <v>908</v>
      </c>
      <c r="G322" t="b">
        <f>MAX(E322:E322)=MIN(E322:E322)</f>
        <v>1</v>
      </c>
    </row>
    <row r="323" spans="2:7" ht="11.25">
      <c r="C323" t="s">
        <v>3860</v>
      </c>
      <c r="E323" s="361">
        <f>decCompDevBusAV3*paramEmp3BusAHrsReqPerCompDevLevel*(1.1^decCompDevBusAV3)</f>
        <v>0</v>
      </c>
      <c r="F323" t="s">
        <v>909</v>
      </c>
      <c r="G323" t="b">
        <f>MAX(E323:E323)=MIN(E323:E323)</f>
        <v>1</v>
      </c>
    </row>
    <row r="324" spans="2:7" ht="11.25">
      <c r="C324" t="s">
        <v>3071</v>
      </c>
      <c r="E324" s="361">
        <f>decCompDevBusAV3*paramEmp4BusAHrsReqPerCompDevLevel*(1.1^decCompDevBusAV3)</f>
        <v>0</v>
      </c>
      <c r="F324" t="s">
        <v>1872</v>
      </c>
      <c r="G324" t="b">
        <f>MAX(E324:E324)=MIN(E324:E324)</f>
        <v>1</v>
      </c>
    </row>
    <row r="325" spans="2:7" ht="11.25">
      <c r="C325" t="s">
        <v>3083</v>
      </c>
      <c r="D325" t="s">
        <v>173</v>
      </c>
      <c r="E325" s="361">
        <v>0</v>
      </c>
      <c r="F325" t="s">
        <v>4563</v>
      </c>
      <c r="G325" t="b">
        <f>MAX(E325:E325)=MIN(E325:E325)</f>
        <v>1</v>
      </c>
    </row>
    <row r="326" spans="2:7" ht="11.25">
      <c r="C326" t="s">
        <v>3084</v>
      </c>
      <c r="D326" t="s">
        <v>173</v>
      </c>
      <c r="E326" s="361">
        <v>0</v>
      </c>
      <c r="F326" t="s">
        <v>4564</v>
      </c>
      <c r="G326" t="b">
        <f>MAX(E326:E326)=MIN(E326:E326)</f>
        <v>1</v>
      </c>
    </row>
    <row r="327" spans="2:7" ht="11.25">
      <c r="C327" t="s">
        <v>3085</v>
      </c>
      <c r="D327" t="s">
        <v>173</v>
      </c>
      <c r="E327" s="361">
        <v>0</v>
      </c>
      <c r="F327" t="s">
        <v>4565</v>
      </c>
      <c r="G327" t="b">
        <f>MAX(E327:E327)=MIN(E327:E327)</f>
        <v>1</v>
      </c>
    </row>
    <row r="328" spans="2:7" ht="11.25">
      <c r="B328" t="s">
        <v>1340</v>
      </c>
      <c r="E328" s="361"/>
      <c r="G328" t="b">
        <f>MAX(E328:E328)=MIN(E328:E328)</f>
        <v>1</v>
      </c>
    </row>
    <row r="329" spans="2:7" ht="11.25">
      <c r="C329" t="s">
        <v>2022</v>
      </c>
      <c r="E329" s="361">
        <v>0</v>
      </c>
      <c r="F329" t="s">
        <v>1920</v>
      </c>
      <c r="G329" t="b">
        <f>MAX(E329:E329)=MIN(E329:E329)</f>
        <v>1</v>
      </c>
    </row>
    <row r="330" spans="2:7" ht="11.25">
      <c r="C330" t="s">
        <v>3861</v>
      </c>
      <c r="E330" s="361">
        <v>0</v>
      </c>
      <c r="F330" t="s">
        <v>1921</v>
      </c>
      <c r="G330" t="b">
        <f>MAX(E330:E330)=MIN(E330:E330)</f>
        <v>1</v>
      </c>
    </row>
    <row r="331" spans="2:7" ht="11.25">
      <c r="C331" t="s">
        <v>3860</v>
      </c>
      <c r="E331" s="361">
        <f t="shared" ref="E331:E332" si="7">E307+E315+E323</f>
        <v>1320.0000000000002</v>
      </c>
      <c r="F331" t="s">
        <v>1922</v>
      </c>
      <c r="G331" t="b">
        <f>MAX(E331:E331)=MIN(E331:E331)</f>
        <v>1</v>
      </c>
    </row>
    <row r="332" spans="2:7" ht="11.25">
      <c r="C332" t="s">
        <v>3071</v>
      </c>
      <c r="E332" s="361">
        <f t="shared" si="7"/>
        <v>880.00000000000011</v>
      </c>
      <c r="F332" t="s">
        <v>1923</v>
      </c>
      <c r="G332" t="b">
        <f>MAX(E332:E332)=MIN(E332:E332)</f>
        <v>1</v>
      </c>
    </row>
    <row r="333" spans="2:7" ht="11.25">
      <c r="C333" t="s">
        <v>3083</v>
      </c>
      <c r="D333" t="s">
        <v>173</v>
      </c>
      <c r="E333" s="361">
        <v>0</v>
      </c>
      <c r="F333" t="s">
        <v>3121</v>
      </c>
      <c r="G333" t="b">
        <f>MAX(E333:E333)=MIN(E333:E333)</f>
        <v>1</v>
      </c>
    </row>
    <row r="334" spans="2:7" ht="11.25">
      <c r="C334" t="s">
        <v>3084</v>
      </c>
      <c r="D334" t="s">
        <v>173</v>
      </c>
      <c r="E334" s="361">
        <v>0</v>
      </c>
      <c r="F334" t="s">
        <v>3122</v>
      </c>
      <c r="G334" t="b">
        <f>MAX(E334:E334)=MIN(E334:E334)</f>
        <v>1</v>
      </c>
    </row>
    <row r="335" spans="2:7" ht="11.25">
      <c r="C335" t="s">
        <v>3085</v>
      </c>
      <c r="D335" t="s">
        <v>173</v>
      </c>
      <c r="E335" s="361">
        <v>0</v>
      </c>
      <c r="F335" t="s">
        <v>2528</v>
      </c>
      <c r="G335" t="b">
        <f>MAX(E335:E335)=MIN(E335:E335)</f>
        <v>1</v>
      </c>
    </row>
    <row r="336" spans="2:7" ht="11.25">
      <c r="G336" t="b">
        <f>MAX(E336:E336)=MIN(E336:E336)</f>
        <v>1</v>
      </c>
    </row>
    <row r="337" spans="1:7" ht="11.25">
      <c r="A337" t="s">
        <v>1924</v>
      </c>
      <c r="G337" t="b">
        <f>MAX(E337:E337)=MIN(E337:E337)</f>
        <v>1</v>
      </c>
    </row>
    <row r="338" spans="1:7" ht="11.25">
      <c r="C338" t="s">
        <v>946</v>
      </c>
      <c r="E338">
        <f>decV1H1Dev+decV1H2Dev+decV1H3Dev</f>
        <v>0</v>
      </c>
      <c r="G338" t="b">
        <f>MAX(E338:E338)=MIN(E338:E338)</f>
        <v>1</v>
      </c>
    </row>
    <row r="339" spans="1:7" ht="11.25">
      <c r="C339" t="s">
        <v>947</v>
      </c>
      <c r="E339">
        <f>decV2H1Dev+decV2H2Dev+decV2H3Dev</f>
        <v>0</v>
      </c>
      <c r="G339" t="b">
        <f>MAX(E339:E339)=MIN(E339:E339)</f>
        <v>1</v>
      </c>
    </row>
    <row r="340" spans="1:7" ht="11.25">
      <c r="C340" t="s">
        <v>948</v>
      </c>
      <c r="E340">
        <f>decV3H1Dev+decV3H2Dev+decV3H3Dev</f>
        <v>0</v>
      </c>
      <c r="G340" t="b">
        <f>MAX(E340:E340)=MIN(E340:E340)</f>
        <v>1</v>
      </c>
    </row>
    <row r="341" spans="1:7" ht="11.25">
      <c r="A341" t="s">
        <v>2716</v>
      </c>
      <c r="G341" t="b">
        <f>MAX(E341:E341)=MIN(E341:E341)</f>
        <v>1</v>
      </c>
    </row>
    <row r="342" spans="1:7" ht="11.25">
      <c r="C342" t="s">
        <v>946</v>
      </c>
      <c r="E342" s="271">
        <f t="shared" ref="E342:E344" si="8">IF(SUM(E$338:E$340)=0,0,E338/SUM(E$338:E$340))</f>
        <v>0</v>
      </c>
      <c r="F342" t="s">
        <v>1829</v>
      </c>
      <c r="G342" t="b">
        <f>MAX(E342:E342)=MIN(E342:E342)</f>
        <v>1</v>
      </c>
    </row>
    <row r="343" spans="1:7" ht="11.25">
      <c r="C343" t="s">
        <v>947</v>
      </c>
      <c r="E343" s="271">
        <f t="shared" si="8"/>
        <v>0</v>
      </c>
      <c r="F343" t="s">
        <v>1830</v>
      </c>
      <c r="G343" t="b">
        <f>MAX(E343:E343)=MIN(E343:E343)</f>
        <v>1</v>
      </c>
    </row>
    <row r="344" spans="1:7" ht="11.25">
      <c r="C344" t="s">
        <v>948</v>
      </c>
      <c r="E344" s="271">
        <f t="shared" si="8"/>
        <v>0</v>
      </c>
      <c r="F344" t="s">
        <v>1831</v>
      </c>
      <c r="G344" t="b">
        <f>MAX(E344:E344)=MIN(E344:E344)</f>
        <v>1</v>
      </c>
    </row>
    <row r="345" spans="1:7" ht="11.25">
      <c r="A345" t="s">
        <v>2361</v>
      </c>
      <c r="G345" t="b">
        <f>MAX(E345:E345)=MIN(E345:E345)</f>
        <v>1</v>
      </c>
    </row>
    <row r="346" spans="1:7" ht="11.25">
      <c r="C346" t="s">
        <v>2022</v>
      </c>
      <c r="E346" s="16">
        <f>E$338*paramEmp1BusBHrsReqPerCompDevLevel*(1.05^E$338)</f>
        <v>0</v>
      </c>
      <c r="F346" t="s">
        <v>2307</v>
      </c>
      <c r="G346" t="b">
        <f>MAX(E346:E346)=MIN(E346:E346)</f>
        <v>1</v>
      </c>
    </row>
    <row r="347" spans="1:7" ht="11.25">
      <c r="C347" t="s">
        <v>3861</v>
      </c>
      <c r="E347" s="16">
        <f>E$338*paramEmp2BusBHrsReqPerCompDevLevel*(1.05^E$338)</f>
        <v>0</v>
      </c>
      <c r="F347" t="s">
        <v>2308</v>
      </c>
      <c r="G347" t="b">
        <f>MAX(E347:E347)=MIN(E347:E347)</f>
        <v>1</v>
      </c>
    </row>
    <row r="348" spans="1:7" ht="11.25">
      <c r="C348" t="s">
        <v>3860</v>
      </c>
      <c r="E348" s="16">
        <f>E$338*paramEmp3BusBHrsReqPerCompDevLevel*(1.05^E$338)</f>
        <v>0</v>
      </c>
      <c r="F348" t="s">
        <v>3501</v>
      </c>
      <c r="G348" t="b">
        <f>MAX(E348:E348)=MIN(E348:E348)</f>
        <v>1</v>
      </c>
    </row>
    <row r="349" spans="1:7" ht="11.25">
      <c r="C349" t="s">
        <v>3071</v>
      </c>
      <c r="E349" s="16">
        <f>E$338*paramEmp4BusBHrsReqPerCompDevLevel*(1.05^E$338)</f>
        <v>0</v>
      </c>
      <c r="F349" t="s">
        <v>3502</v>
      </c>
      <c r="G349" t="b">
        <f>MAX(E349:E349)=MIN(E349:E349)</f>
        <v>1</v>
      </c>
    </row>
    <row r="350" spans="1:7" ht="11.25">
      <c r="E350" s="16"/>
      <c r="G350" t="b">
        <f>MAX(E350:E350)=MIN(E350:E350)</f>
        <v>1</v>
      </c>
    </row>
    <row r="351" spans="1:7" ht="11.25">
      <c r="A351" t="s">
        <v>2306</v>
      </c>
      <c r="G351" t="b">
        <f>MAX(E351:E351)=MIN(E351:E351)</f>
        <v>1</v>
      </c>
    </row>
    <row r="352" spans="1:7" ht="11.25">
      <c r="C352" t="s">
        <v>2022</v>
      </c>
      <c r="E352" s="16">
        <f>E$339*paramEmp1BusBHrsReqPerCompDevLevel*(1.05^E$339)</f>
        <v>0</v>
      </c>
      <c r="F352" t="s">
        <v>3503</v>
      </c>
      <c r="G352" t="b">
        <f>MAX(E352:E352)=MIN(E352:E352)</f>
        <v>1</v>
      </c>
    </row>
    <row r="353" spans="1:7" ht="11.25">
      <c r="C353" t="s">
        <v>3861</v>
      </c>
      <c r="E353" s="16">
        <f>E$339*paramEmp2BusBHrsReqPerCompDevLevel*(1.05^E$339)</f>
        <v>0</v>
      </c>
      <c r="F353" t="s">
        <v>3504</v>
      </c>
      <c r="G353" t="b">
        <f>MAX(E353:E353)=MIN(E353:E353)</f>
        <v>1</v>
      </c>
    </row>
    <row r="354" spans="1:7" ht="11.25">
      <c r="C354" t="s">
        <v>3860</v>
      </c>
      <c r="E354" s="16">
        <f>E$339*paramEmp3BusBHrsReqPerCompDevLevel*(1.05^E$339)</f>
        <v>0</v>
      </c>
      <c r="F354" t="s">
        <v>3505</v>
      </c>
      <c r="G354" t="b">
        <f>MAX(E354:E354)=MIN(E354:E354)</f>
        <v>1</v>
      </c>
    </row>
    <row r="355" spans="1:7" ht="11.25">
      <c r="C355" t="s">
        <v>3071</v>
      </c>
      <c r="E355" s="16">
        <f>E$339*paramEmp4BusBHrsReqPerCompDevLevel*(1.05^E$339)</f>
        <v>0</v>
      </c>
      <c r="F355" t="s">
        <v>3506</v>
      </c>
      <c r="G355" t="b">
        <f>MAX(E355:E355)=MIN(E355:E355)</f>
        <v>1</v>
      </c>
    </row>
    <row r="356" spans="1:7" ht="11.25">
      <c r="E356" s="16"/>
      <c r="G356" t="b">
        <f>MAX(E356:E356)=MIN(E356:E356)</f>
        <v>1</v>
      </c>
    </row>
    <row r="357" spans="1:7" ht="11.25">
      <c r="A357" t="s">
        <v>3765</v>
      </c>
      <c r="G357" t="b">
        <f>MAX(E357:E357)=MIN(E357:E357)</f>
        <v>1</v>
      </c>
    </row>
    <row r="358" spans="1:7" ht="11.25">
      <c r="C358" t="s">
        <v>2022</v>
      </c>
      <c r="E358" s="16">
        <f>E$340*paramEmp1BusBHrsReqPerCompDevLevel*(1.05^E$340)</f>
        <v>0</v>
      </c>
      <c r="F358" t="s">
        <v>3766</v>
      </c>
      <c r="G358" t="b">
        <f>MAX(E358:E358)=MIN(E358:E358)</f>
        <v>1</v>
      </c>
    </row>
    <row r="359" spans="1:7" ht="11.25">
      <c r="C359" t="s">
        <v>3861</v>
      </c>
      <c r="E359" s="16">
        <f>E$340*paramEmp2BusBHrsReqPerCompDevLevel*(1.05^E$340)</f>
        <v>0</v>
      </c>
      <c r="F359" t="s">
        <v>2654</v>
      </c>
      <c r="G359" t="b">
        <f>MAX(E359:E359)=MIN(E359:E359)</f>
        <v>1</v>
      </c>
    </row>
    <row r="360" spans="1:7" ht="11.25">
      <c r="C360" t="s">
        <v>3860</v>
      </c>
      <c r="E360" s="16">
        <f>E$340*paramEmp3BusBHrsReqPerCompDevLevel*(1.05^E$340)</f>
        <v>0</v>
      </c>
      <c r="F360" t="s">
        <v>307</v>
      </c>
      <c r="G360" t="b">
        <f>MAX(E360:E360)=MIN(E360:E360)</f>
        <v>1</v>
      </c>
    </row>
    <row r="361" spans="1:7" ht="11.25">
      <c r="C361" t="s">
        <v>3071</v>
      </c>
      <c r="E361" s="16">
        <f>E$340*paramEmp4BusBHrsReqPerCompDevLevel*(1.05^E$340)</f>
        <v>0</v>
      </c>
      <c r="F361" t="s">
        <v>3274</v>
      </c>
      <c r="G361" t="b">
        <f>MAX(E361:E361)=MIN(E361:E361)</f>
        <v>1</v>
      </c>
    </row>
    <row r="362" spans="1:7" ht="11.25">
      <c r="E362" s="16"/>
      <c r="G362" t="b">
        <f>MAX(E362:E362)=MIN(E362:E362)</f>
        <v>1</v>
      </c>
    </row>
    <row r="363" spans="1:7" s="3" customFormat="1" ht="11.25">
      <c r="G363" t="b">
        <f>MAX(E363:E363)=MIN(E363:E363)</f>
        <v>1</v>
      </c>
    </row>
    <row r="364" spans="1:7" ht="11.25">
      <c r="A364" t="s">
        <v>2305</v>
      </c>
      <c r="G364" t="b">
        <f>MAX(E364:E364)=MIN(E364:E364)</f>
        <v>1</v>
      </c>
    </row>
    <row r="365" spans="1:7" ht="11.25">
      <c r="C365" t="s">
        <v>2022</v>
      </c>
      <c r="E365" s="16">
        <f>capBusBV1Emp1CompDevTtlHrReq+capBusBV2Emp1CompDevTtlHrReq+capBusBV3Emp1CompDevTtlHrReq</f>
        <v>0</v>
      </c>
      <c r="F365" t="s">
        <v>1925</v>
      </c>
      <c r="G365" t="b">
        <f>MAX(E365:E365)=MIN(E365:E365)</f>
        <v>1</v>
      </c>
    </row>
    <row r="366" spans="1:7" ht="11.25">
      <c r="C366" t="s">
        <v>3861</v>
      </c>
      <c r="E366" s="16">
        <f>capBusBV1Emp2CompDevTtlHrReq+capBusBV2Emp2CompDevTtlHrReq+capBusBV3Emp2CompDevTtlHrReq</f>
        <v>0</v>
      </c>
      <c r="F366" t="s">
        <v>850</v>
      </c>
      <c r="G366" t="b">
        <f>MAX(E366:E366)=MIN(E366:E366)</f>
        <v>1</v>
      </c>
    </row>
    <row r="367" spans="1:7" ht="11.25">
      <c r="C367" t="s">
        <v>3860</v>
      </c>
      <c r="E367" s="16">
        <f>capBusBV1Emp3CompDevTtlHrReq+capBusBV2Emp3CompDevTtlHrReq+capBusBV3Emp3CompDevTtlHrReq</f>
        <v>0</v>
      </c>
      <c r="F367" t="s">
        <v>196</v>
      </c>
      <c r="G367" t="b">
        <f>MAX(E367:E367)=MIN(E367:E367)</f>
        <v>1</v>
      </c>
    </row>
    <row r="368" spans="1:7" ht="11.25">
      <c r="C368" t="s">
        <v>3071</v>
      </c>
      <c r="E368" s="16">
        <f>capBusBV1Emp4CompDevTtlHrReq+capBusBV2Emp4CompDevTtlHrReq+capBusBV3Emp4CompDevTtlHrReq</f>
        <v>0</v>
      </c>
      <c r="F368" t="s">
        <v>197</v>
      </c>
      <c r="G368" t="b">
        <f>MAX(E368:E368)=MIN(E368:E368)</f>
        <v>1</v>
      </c>
    </row>
    <row r="369" spans="1:10" ht="11.25">
      <c r="E369" s="16"/>
      <c r="G369" t="b">
        <f>MAX(E369:E369)=MIN(E369:E369)</f>
        <v>1</v>
      </c>
    </row>
    <row r="370" spans="1:10" ht="11.25">
      <c r="E370" s="16"/>
      <c r="G370" t="b">
        <f>MAX(E370:E370)=MIN(E370:E370)</f>
        <v>1</v>
      </c>
    </row>
    <row r="371" spans="1:10" ht="11.25">
      <c r="E371" s="16"/>
      <c r="G371" t="b">
        <f>MAX(E371:E371)=MIN(E371:E371)</f>
        <v>1</v>
      </c>
    </row>
    <row r="372" spans="1:10" ht="11.25">
      <c r="E372" s="16"/>
      <c r="G372" t="b">
        <f>MAX(E372:E372)=MIN(E372:E372)</f>
        <v>1</v>
      </c>
    </row>
    <row r="373" spans="1:10" ht="11.25">
      <c r="E373" s="16"/>
      <c r="G373" t="b">
        <f>MAX(E373:E373)=MIN(E373:E373)</f>
        <v>1</v>
      </c>
    </row>
    <row r="374" spans="1:10" ht="11.25">
      <c r="E374" s="16"/>
      <c r="G374" t="b">
        <f>MAX(E374:E374)=MIN(E374:E374)</f>
        <v>1</v>
      </c>
    </row>
    <row r="375" spans="1:10" ht="11.25">
      <c r="E375" s="16"/>
      <c r="G375" t="b">
        <f>MAX(E375:E375)=MIN(E375:E375)</f>
        <v>1</v>
      </c>
    </row>
    <row r="376" spans="1:10" ht="11.25">
      <c r="E376" s="16"/>
      <c r="G376" t="b">
        <f>MAX(E376:E376)=MIN(E376:E376)</f>
        <v>1</v>
      </c>
    </row>
    <row r="377" spans="1:10" ht="11.25">
      <c r="E377" s="16"/>
      <c r="G377" t="b">
        <f>MAX(E377:E377)=MIN(E377:E377)</f>
        <v>1</v>
      </c>
    </row>
    <row r="378" spans="1:10" ht="11.25">
      <c r="E378" s="16"/>
      <c r="G378" t="b">
        <f>MAX(E378:E378)=MIN(E378:E378)</f>
        <v>1</v>
      </c>
    </row>
    <row r="379" spans="1:10" ht="11.25">
      <c r="E379" s="16"/>
      <c r="G379" t="b">
        <f>MAX(E379:E379)=MIN(E379:E379)</f>
        <v>1</v>
      </c>
    </row>
    <row r="380" spans="1:10" ht="11.25">
      <c r="G380" t="b">
        <f>MAX(E380:E380)=MIN(E380:E380)</f>
        <v>1</v>
      </c>
    </row>
    <row r="381" spans="1:10" ht="15.75">
      <c r="A381" s="22" t="s">
        <v>293</v>
      </c>
      <c r="B381" s="23"/>
      <c r="C381" s="23"/>
      <c r="D381" s="23"/>
      <c r="E381" s="23"/>
      <c r="G381" t="b">
        <f>MAX(E381:E381)=MIN(E381:E381)</f>
        <v>1</v>
      </c>
    </row>
    <row r="382" spans="1:10" ht="11.25">
      <c r="G382" t="b">
        <f>MAX(E382:E382)=MIN(E382:E382)</f>
        <v>1</v>
      </c>
    </row>
    <row r="383" spans="1:10" ht="11.25">
      <c r="B383" s="2" t="s">
        <v>4641</v>
      </c>
      <c r="G383" t="b">
        <f>MAX(E383:E383)=MIN(E383:E383)</f>
        <v>1</v>
      </c>
    </row>
    <row r="384" spans="1:10" ht="11.25">
      <c r="C384" s="134" t="s">
        <v>2720</v>
      </c>
      <c r="E384" s="15">
        <f>obalESAT</f>
        <v>0.65</v>
      </c>
      <c r="G384" t="b">
        <f>MAX(E384:E384)=MIN(E384:E384)</f>
        <v>1</v>
      </c>
      <c r="H384" s="313" t="s">
        <v>2280</v>
      </c>
      <c r="I384" s="313" t="s">
        <v>4052</v>
      </c>
      <c r="J384" s="313" t="s">
        <v>4739</v>
      </c>
    </row>
    <row r="385" spans="3:10" ht="11.25">
      <c r="C385" s="134" t="s">
        <v>3407</v>
      </c>
      <c r="E385" s="419">
        <f ca="1">(MAX(MIN(((cbalTotalRevenue)/(IF(xxSim0Tool1=0,AVERAGE(OFFSET(cbalTotalRevenue,0,0,1,xxNumOfTeams)),obalTotalRevenue)))^$H385,$I385),$J385))</f>
        <v>1</v>
      </c>
      <c r="G385" t="b">
        <f ca="1">MAX(E385:E385)=MIN(E385:E385)</f>
        <v>1</v>
      </c>
      <c r="H385" s="1010">
        <v>0.05</v>
      </c>
      <c r="I385" s="1010">
        <v>1.05</v>
      </c>
      <c r="J385" s="1010">
        <v>1</v>
      </c>
    </row>
    <row r="386" spans="3:10" ht="11.25">
      <c r="C386" s="134" t="s">
        <v>4753</v>
      </c>
      <c r="E386" s="419">
        <f ca="1">MAX(MIN(IFERROR(((IF(cbalTotalCI&gt;0,cbalTotalCI,0))/(IF(xxSim0Tool1=0,AVERAGE(OFFSET(IF(cbalTotalCI&gt;0,cbalTotalCI,0),0,0,1,xxNumOfTeams)),obalTotalCI)))^$H386, 1),$I386),$J386)</f>
        <v>0.97</v>
      </c>
      <c r="F386">
        <f ca="1">IFERROR(MAX(MIN(((IF(cbalTotalCI&gt;0,cbalTotalCI,0))/(IF(xxSim0Tool1=0,AVERAGE(OFFSET(IF(cbalTotalCI&gt;0,cbalTotalCI,0),0,0,1,xxNumOfTeams)),obalTotalCI)))^$H386,$I386),$J386),100%)</f>
        <v>0.97</v>
      </c>
      <c r="G386" t="b">
        <f ca="1">MAX(E386:E386)=MIN(E386:E386)</f>
        <v>1</v>
      </c>
      <c r="H386" s="1010">
        <v>0.04</v>
      </c>
      <c r="I386" s="1010">
        <v>1.04</v>
      </c>
      <c r="J386" s="1010">
        <v>0.97</v>
      </c>
    </row>
    <row r="387" spans="3:10" ht="11.25">
      <c r="C387" s="134" t="s">
        <v>4701</v>
      </c>
      <c r="E387" s="271">
        <f ca="1">MAX(MIN(((cbalBusACompDevCurrYrTotal+1)/(IF(xxSim0Tool1=0,AVERAGE(OFFSET(cbalBusACompDevCurrYrTotal,0,0,1,xxNumOfTeams)),obalBusACompDevCurrYrTotal)+1))^$H387,$I387),$J387)</f>
        <v>1</v>
      </c>
      <c r="G387" t="b">
        <f ca="1">MAX(E387:E387)=MIN(E387:E387)</f>
        <v>1</v>
      </c>
      <c r="H387" s="1010">
        <v>0</v>
      </c>
      <c r="I387" s="1010">
        <v>1.02</v>
      </c>
      <c r="J387" s="1010">
        <v>0.93</v>
      </c>
    </row>
    <row r="388" spans="3:10" ht="11.25">
      <c r="C388" s="134" t="s">
        <v>2718</v>
      </c>
      <c r="E388" s="271">
        <f ca="1">MIN(MAX(100%+AVERAGE(DataPageEmp1TrainEffectOnProductivity+0,DataPageEmp2TrainEffectOnProductivity+0,DataPageEmp3TrainEffectOnProductivity+0,DataPageEmp4TrainEffectOnProductivity+0,DataPageEmp6TrainEffectOnProductivity+0)*0.5+(MAX(MIN(((cbalTotalGeneralTrainingHrsCompleted+1)/(IF(xxSim0Tool1=0,AVERAGE(OFFSET(cbalTotalGeneralTrainingHrsCompleted,0,0,1,xxNumOfTeams)),obalTotalGeneralTrainingHrsCompleted)+1))^$H388,$I388),$J388)-1)*12,0.9),$I388)</f>
        <v>1.00867</v>
      </c>
      <c r="G388" t="b">
        <f ca="1">MAX(E388:E388)=MIN(E388:E388)</f>
        <v>1</v>
      </c>
      <c r="H388" s="1010">
        <v>0.05</v>
      </c>
      <c r="I388" s="1010">
        <v>1.1000000000000001</v>
      </c>
      <c r="J388" s="1010">
        <v>0.9</v>
      </c>
    </row>
    <row r="389" spans="3:10" ht="11.25">
      <c r="C389" s="134" t="s">
        <v>2440</v>
      </c>
      <c r="E389" s="271">
        <f ca="1">MAX(MIN(((cbalGeneralTrainingHrsPullOut+10)/(IF(xxSim0Tool1=0,AVERAGE(OFFSET(cbalGeneralTrainingHrsPullOut,0,0,1,xxNumOfTeams)),obalGeneralTrainingHrsPullOut)+10))^$H389,$I389),$J389)</f>
        <v>1</v>
      </c>
      <c r="G389" t="b">
        <f ca="1">MAX(E389:E389)=MIN(E389:E389)</f>
        <v>1</v>
      </c>
      <c r="H389" s="1010">
        <v>-0.03</v>
      </c>
      <c r="I389" s="1010">
        <v>1.01</v>
      </c>
      <c r="J389" s="1010">
        <v>0.98</v>
      </c>
    </row>
    <row r="390" spans="3:10" ht="11.25">
      <c r="C390" s="134" t="s">
        <v>582</v>
      </c>
      <c r="E390" s="271">
        <f>(1+(MAX(0.0001,0+cbalAvgTrainingBudgetDelta)))^$H390</f>
        <v>1.0000019999020064</v>
      </c>
      <c r="F390" s="271"/>
      <c r="G390" t="b">
        <f>MAX(E390:E390)=MIN(E390:E390)</f>
        <v>1</v>
      </c>
      <c r="H390" s="1010">
        <v>0.02</v>
      </c>
    </row>
    <row r="391" spans="3:10" ht="11.25">
      <c r="C391" s="134" t="str">
        <f>"Utilization - "&amp;DataNameEmp2</f>
        <v>Utilization - Technical</v>
      </c>
      <c r="E391" s="87">
        <f>100%-IF(AND(74%&lt;=cbalBusAEmp2Utiliz,cbalBusAEmp2Utiliz&lt;=82%),-2%,IF(cbalBusAEmp2Utiliz&lt;74%,$H391*(0.65-cbalBusAEmp2Utiliz),IF(cbalBusAEmp2Utiliz&gt;82%,2*$H391*(cbalBusAEmp2Utiliz-0.82))))</f>
        <v>0.9930547945205479</v>
      </c>
      <c r="G391" t="b">
        <f>MAX(E391:E391)=MIN(E391:E391)</f>
        <v>1</v>
      </c>
      <c r="H391" s="1010">
        <v>0.06</v>
      </c>
    </row>
    <row r="392" spans="3:10" ht="11.25">
      <c r="C392" s="134" t="str">
        <f>"Utilization - "&amp;DataNameEmp9</f>
        <v>Utilization - Global Delivery Centers</v>
      </c>
      <c r="E392" s="87">
        <f>100%-IF(AND(74%&lt;=cbalBusAEmp9Utiliz,cbalBusAEmp9Utiliz&lt;=82%),-2%,IF(cbalBusAEmp9Utiliz&lt;74%,$H392*(0.65-cbalBusAEmp9Utiliz),IF(cbalBusAEmp9Utiliz&gt;82%,2*$H392*(cbalBusAEmp9Utiliz-0.82))))</f>
        <v>0.99575609756097561</v>
      </c>
      <c r="G392" t="b">
        <f>MAX(E392:E392)=MIN(E392:E392)</f>
        <v>1</v>
      </c>
      <c r="H392" s="1010">
        <v>0.06</v>
      </c>
    </row>
    <row r="393" spans="3:10" ht="11.25">
      <c r="C393" s="134" t="str">
        <f>"Utilization - "&amp;DataNameEmp3</f>
        <v>Utilization - PM / Analyst</v>
      </c>
      <c r="E393" s="87">
        <f>100%-IF(AND(74%&lt;=cbalBusAEmp3Utiliz,cbalBusAEmp3Utiliz&lt;=82%),-2%,IF(cbalBusAEmp3Utiliz&lt;74%,$H393*(0.65-cbalBusAEmp3Utiliz),IF(cbalBusAEmp3Utiliz&gt;82%,2*$H393*(cbalBusAEmp3Utiliz-0.82))))</f>
        <v>0.99348754098360659</v>
      </c>
      <c r="G393" t="b">
        <f>MAX(E393:E393)=MIN(E393:E393)</f>
        <v>1</v>
      </c>
      <c r="H393" s="1010">
        <v>0.06</v>
      </c>
    </row>
    <row r="394" spans="3:10" ht="11.25">
      <c r="C394" s="134" t="str">
        <f>"Utilization - "&amp;DataNameEmp4</f>
        <v>Utilization - Director / EM</v>
      </c>
      <c r="E394" s="87">
        <f>100%-IF(AND(61%&lt;=cbalBusAEmp4Utiliz,cbalBusAEmp4Utiliz&lt;=69%),-2%,IF(cbalBusAEmp4Utiliz&lt;61%,$H394*(0.55-cbalBusAEmp4Utiliz),IF(cbalBusAEmp4Utiliz&gt;69%,3*$H394*(cbalBusAEmp4Utiliz-0.69))))</f>
        <v>0.99910769230769225</v>
      </c>
      <c r="G394" t="b">
        <f>MAX(E394:E394)=MIN(E394:E394)</f>
        <v>1</v>
      </c>
      <c r="H394" s="1010">
        <v>0.01</v>
      </c>
    </row>
    <row r="395" spans="3:10" ht="11.25">
      <c r="C395" s="1062" t="str">
        <f>"Utilization - "&amp;DataNameEmp6</f>
        <v>Utilization - Sales</v>
      </c>
      <c r="D395" s="773"/>
      <c r="E395" s="775">
        <f>100%-IF(AND(74%&lt;=cbalEmp6Utiliz,cbalEmp6Utiliz&lt;=82%),-2%,IF(cbalEmp6Utiliz&lt;74%,$H395*(0.8-cbalEmp6Utiliz),IF(cbalEmp6Utiliz&gt;82%,2*$H395*(cbalEmp6Utiliz-0.82))))</f>
        <v>0.9821467235392547</v>
      </c>
      <c r="G395" t="b">
        <f>MAX(E395:E395)=MIN(E395:E395)</f>
        <v>1</v>
      </c>
      <c r="H395" s="1010">
        <v>0.06</v>
      </c>
    </row>
    <row r="396" spans="3:10" ht="11.25">
      <c r="C396" s="134" t="str">
        <f>"Dismissal - "&amp;DataNameEmp4</f>
        <v>Dismissal - Director / EM</v>
      </c>
      <c r="E396" s="271">
        <f>IF(OR(decEmp4BusADismiss="Very Low",decEmp4BusADismiss="Very High"),95%,100%)</f>
        <v>1</v>
      </c>
      <c r="G396" t="b">
        <f>MAX(E396:E396)=MIN(E396:E396)</f>
        <v>1</v>
      </c>
    </row>
    <row r="397" spans="3:10" ht="11.25">
      <c r="C397" s="134" t="str">
        <f>"Dismissal - "&amp;DataNameEmp3</f>
        <v>Dismissal - PM / Analyst</v>
      </c>
      <c r="E397" s="271">
        <f>IF(OR(decEmp3BusADismiss="Very Low",decEmp3BusADismiss="Very High"),97%,100%)</f>
        <v>1</v>
      </c>
      <c r="G397" t="b">
        <f>MAX(E397:E397)=MIN(E397:E397)</f>
        <v>1</v>
      </c>
    </row>
    <row r="398" spans="3:10" ht="11.25">
      <c r="C398" s="134" t="str">
        <f>"Dismissal - "&amp;DataNameEmp2</f>
        <v>Dismissal - Technical</v>
      </c>
      <c r="E398" s="271">
        <f>IF(OR(decEmp2BusADismiss="Very Low",decEmp2BusADismiss="Very High"),98.5%,100%)</f>
        <v>1</v>
      </c>
      <c r="G398" t="b">
        <f>MAX(E398:E398)=MIN(E398:E398)</f>
        <v>1</v>
      </c>
    </row>
    <row r="399" spans="3:10" ht="11.25">
      <c r="C399" s="134" t="str">
        <f>"Dismissal - "&amp;DataNameEmp9</f>
        <v>Dismissal - Global Delivery Centers</v>
      </c>
      <c r="E399" s="271">
        <f>IF(OR(decEmp9BusADismiss="Very Low",decEmp9BusADismiss="Very High"),98.5%,100%)</f>
        <v>1</v>
      </c>
      <c r="G399" t="b">
        <f>MAX(E399:E399)=MIN(E399:E399)</f>
        <v>1</v>
      </c>
    </row>
    <row r="400" spans="3:10" ht="11.25">
      <c r="C400" s="134" t="str">
        <f>"Dismissal - "&amp;DataNameEmp6</f>
        <v>Dismissal - Sales</v>
      </c>
      <c r="E400" s="271">
        <f>IF(OR(decEntWFDismiss="Very Low",decEntWFDismiss="Very High"),98.5%,100%)</f>
        <v>1</v>
      </c>
      <c r="G400" t="b">
        <f>MAX(E400:E400)=MIN(E400:E400)</f>
        <v>1</v>
      </c>
    </row>
    <row r="401" spans="1:10" ht="11.25">
      <c r="C401" s="134" t="str">
        <f>"Salary - "&amp;DataNameEmp2</f>
        <v>Salary - Technical</v>
      </c>
      <c r="E401" s="419">
        <f ca="1">(MAX(MIN(((cbalEmp2Salary)/(IF(xxSim0Tool1=0,AVERAGE(OFFSET(cbalEmp2Salary,0,0,1,xxNumOfTeams)),obalEmp2Salary)))^$H401,$I401),$J401))</f>
        <v>1.0020712582549052</v>
      </c>
      <c r="G401" t="b">
        <f ca="1">MAX(E401:E401)=MIN(E401:E401)</f>
        <v>1</v>
      </c>
      <c r="H401" s="1010">
        <v>7.0000000000000007E-2</v>
      </c>
      <c r="I401" s="1010">
        <v>1.02</v>
      </c>
      <c r="J401" s="1010">
        <v>0.98</v>
      </c>
    </row>
    <row r="402" spans="1:10" ht="11.25">
      <c r="C402" s="134" t="str">
        <f>"Salary - "&amp;DataNameEmp3</f>
        <v>Salary - PM / Analyst</v>
      </c>
      <c r="E402" s="419">
        <f ca="1">(MAX(MIN(((cbalEmp3Salary)/(IF(xxSim0Tool1=0,AVERAGE(OFFSET(cbalEmp3Salary,0,0,1,xxNumOfTeams)),obalEmp3Salary)))^$H402,$I402),$J402))</f>
        <v>1.0023675022973906</v>
      </c>
      <c r="G402" t="b">
        <f ca="1">MAX(E402:E402)=MIN(E402:E402)</f>
        <v>1</v>
      </c>
      <c r="H402" s="1010">
        <v>0.08</v>
      </c>
      <c r="I402" s="1010">
        <v>1.02</v>
      </c>
      <c r="J402" s="1010">
        <v>0.98</v>
      </c>
    </row>
    <row r="403" spans="1:10" ht="11.25">
      <c r="C403" s="134" t="str">
        <f>"Salary - "&amp;DataNameEmp4</f>
        <v>Salary - Director / EM</v>
      </c>
      <c r="E403" s="419">
        <f ca="1">(MAX(MIN(((cbalEmp4Salary)/(IF(xxSim0Tool1=0,AVERAGE(OFFSET(cbalEmp4Salary,0,0,1,xxNumOfTeams)),obalEmp4Salary)))^$H403,$I403),$J403))</f>
        <v>1.0026638339190095</v>
      </c>
      <c r="G403" t="b">
        <f ca="1">MAX(E403:E403)=MIN(E403:E403)</f>
        <v>1</v>
      </c>
      <c r="H403" s="1010">
        <v>0.09</v>
      </c>
      <c r="I403" s="1010">
        <v>1.02</v>
      </c>
      <c r="J403" s="1010">
        <v>0.98</v>
      </c>
    </row>
    <row r="404" spans="1:10" ht="11.25">
      <c r="C404" s="134" t="s">
        <v>4522</v>
      </c>
      <c r="E404" s="271">
        <f>paramSpecProgESAT</f>
        <v>1</v>
      </c>
      <c r="G404" t="b">
        <f>MAX(E404:E404)=MIN(E404:E404)</f>
        <v>1</v>
      </c>
      <c r="H404" s="271"/>
    </row>
    <row r="405" spans="1:10" ht="11.25">
      <c r="C405" s="134" t="s">
        <v>3040</v>
      </c>
      <c r="E405" s="590">
        <v>0</v>
      </c>
      <c r="G405" t="b">
        <f>MAX(E405:E405)=MIN(E405:E405)</f>
        <v>1</v>
      </c>
    </row>
    <row r="406" spans="1:10" ht="11.25">
      <c r="C406" s="86" t="s">
        <v>2721</v>
      </c>
      <c r="E406" s="1027">
        <f ca="1">MIN(PRODUCT(E384:E404)+E405,1)</f>
        <v>0.6174379006842422</v>
      </c>
      <c r="F406" t="s">
        <v>4752</v>
      </c>
      <c r="G406" t="b">
        <f ca="1">MAX(E406:E406)=MIN(E406:E406)</f>
        <v>1</v>
      </c>
      <c r="H406" s="519"/>
    </row>
    <row r="407" spans="1:10" ht="11.25">
      <c r="G407" t="b">
        <f>MAX(E407:E407)=MIN(E407:E407)</f>
        <v>1</v>
      </c>
      <c r="H407" s="15"/>
    </row>
    <row r="408" spans="1:10" ht="11.25">
      <c r="G408" t="b">
        <f>MAX(E408:E408)=MIN(E408:E408)</f>
        <v>1</v>
      </c>
    </row>
    <row r="409" spans="1:10" ht="15.75">
      <c r="A409" s="22" t="s">
        <v>4754</v>
      </c>
      <c r="B409" s="23"/>
      <c r="C409" s="23"/>
      <c r="D409" s="23"/>
      <c r="E409" s="23"/>
      <c r="G409" t="b">
        <f>MAX(E409:E409)=MIN(E409:E409)</f>
        <v>1</v>
      </c>
    </row>
    <row r="410" spans="1:10" ht="11.25">
      <c r="G410" t="b">
        <f>MAX(E410:E410)=MIN(E410:E410)</f>
        <v>1</v>
      </c>
    </row>
    <row r="411" spans="1:10" ht="11.25">
      <c r="B411" s="2" t="s">
        <v>364</v>
      </c>
      <c r="G411" t="b">
        <f>MAX(E411:E411)=MIN(E411:E411)</f>
        <v>1</v>
      </c>
    </row>
    <row r="412" spans="1:10" ht="11.25">
      <c r="C412" t="s">
        <v>4755</v>
      </c>
      <c r="E412" s="15">
        <v>0.75</v>
      </c>
      <c r="G412" t="b">
        <f>MAX(E412:E412)=MIN(E412:E412)</f>
        <v>1</v>
      </c>
      <c r="H412" s="313" t="s">
        <v>2280</v>
      </c>
      <c r="I412" s="313" t="s">
        <v>4052</v>
      </c>
      <c r="J412" s="313" t="s">
        <v>4739</v>
      </c>
    </row>
    <row r="413" spans="1:10" ht="11.25">
      <c r="C413" s="700" t="s">
        <v>5177</v>
      </c>
      <c r="E413" s="271">
        <f ca="1">MAX(MIN(((capBusARiskUtiliz)/(IF(xxSim0Tool1=0,AVERAGE(OFFSET(capBusARiskUtiliz,0,0,1,xxNumOfTeams)),capBusARiskUtiliz)))^$H413,$I413),$J413)</f>
        <v>1</v>
      </c>
      <c r="G413" t="b">
        <f ca="1">MAX(E413:E413)=MIN(E413:E413)</f>
        <v>1</v>
      </c>
      <c r="H413" s="1010">
        <v>-0.15</v>
      </c>
      <c r="I413" s="1010">
        <v>1.1000000000000001</v>
      </c>
      <c r="J413" s="1010">
        <v>0.9</v>
      </c>
    </row>
    <row r="414" spans="1:10" ht="11.25">
      <c r="C414" s="700" t="s">
        <v>4855</v>
      </c>
      <c r="E414" s="15">
        <f ca="1">MAX(MIN(((capBusAV1RelationshipScore)/(IF(xxSim0Tool1=0,AVERAGE(OFFSET(capBusAV1RelationshipScore,0,0,1,xxNumOfTeams)),capBusAV1RelationshipScore)))^$H414,$I414),$J414)</f>
        <v>1</v>
      </c>
      <c r="G414" t="b">
        <f ca="1">MAX(E414:E414)=MIN(E414:E414)</f>
        <v>1</v>
      </c>
      <c r="H414" s="1010">
        <v>0.2</v>
      </c>
      <c r="I414" s="1010">
        <v>1.1000000000000001</v>
      </c>
      <c r="J414" s="1010">
        <v>0.9</v>
      </c>
    </row>
    <row r="415" spans="1:10" ht="11.25">
      <c r="C415" s="700" t="s">
        <v>4856</v>
      </c>
      <c r="E415" s="15">
        <f ca="1">MAX(MIN(((capBusAV2RelationshipScore)/(IF(xxSim0Tool1=0,AVERAGE(OFFSET(capBusAV2RelationshipScore,0,0,1,xxNumOfTeams)),capBusAV2RelationshipScore)))^$H415,$I415),$J415)</f>
        <v>1</v>
      </c>
      <c r="G415" t="b">
        <f ca="1">MAX(E415:E415)=MIN(E415:E415)</f>
        <v>1</v>
      </c>
      <c r="H415" s="1010">
        <v>0.2</v>
      </c>
      <c r="I415" s="1010">
        <v>1.1000000000000001</v>
      </c>
      <c r="J415" s="1010">
        <v>0.9</v>
      </c>
    </row>
    <row r="416" spans="1:10" ht="11.25">
      <c r="C416" s="700" t="s">
        <v>4857</v>
      </c>
      <c r="E416" s="15">
        <f ca="1">MAX(MIN(((capBusAV3RelationshipScore)/(IF(xxSim0Tool1=0,AVERAGE(OFFSET(capBusAV3RelationshipScore,0,0,1,xxNumOfTeams)),capBusAV3RelationshipScore)))^$H416,$I416),$J416)</f>
        <v>1</v>
      </c>
      <c r="G416" t="b">
        <f ca="1">MAX(E416:E416)=MIN(E416:E416)</f>
        <v>1</v>
      </c>
      <c r="H416" s="1010">
        <v>0.2</v>
      </c>
      <c r="I416" s="1010">
        <v>1.1000000000000001</v>
      </c>
      <c r="J416" s="1010">
        <v>0.9</v>
      </c>
    </row>
    <row r="417" spans="1:10" ht="11.25">
      <c r="C417" s="700" t="s">
        <v>4869</v>
      </c>
      <c r="E417" s="15">
        <f ca="1">MAX(MIN(((cbalBusATLV1)/(IF(xxSim0Tool1=0,AVERAGE(OFFSET(cbalBusATLV1,0,0,1,xxNumOfTeams)),obalBusATLV1)))^$H417,$I417),$J417)</f>
        <v>1.0081422716124293</v>
      </c>
      <c r="G417" t="b">
        <f ca="1">MAX(E417:E417)=MIN(E417:E417)</f>
        <v>1</v>
      </c>
      <c r="H417" s="1010">
        <v>0.2</v>
      </c>
      <c r="I417" s="1010">
        <v>1.1000000000000001</v>
      </c>
      <c r="J417" s="1010">
        <v>0.9</v>
      </c>
    </row>
    <row r="418" spans="1:10" ht="11.25">
      <c r="C418" s="700" t="s">
        <v>4870</v>
      </c>
      <c r="E418" s="15">
        <f ca="1">MAX(MIN(((cbalBusATLV2)/(IF(xxSim0Tool1=0,AVERAGE(OFFSET(cbalBusATLV2,0,0,1,xxNumOfTeams)),obalBusATLV2)))^$H418,$I418),$J418)</f>
        <v>1.0102688792221395</v>
      </c>
      <c r="G418" t="b">
        <f ca="1">MAX(E418:E418)=MIN(E418:E418)</f>
        <v>1</v>
      </c>
      <c r="H418" s="1010">
        <v>0.2</v>
      </c>
      <c r="I418" s="1010">
        <v>1.1000000000000001</v>
      </c>
      <c r="J418" s="1010">
        <v>0.9</v>
      </c>
    </row>
    <row r="419" spans="1:10" ht="11.25">
      <c r="C419" s="700" t="s">
        <v>4871</v>
      </c>
      <c r="E419" s="15">
        <f ca="1">MAX(MIN(((cbalBusATLV3)/(IF(xxSim0Tool1=0,AVERAGE(OFFSET(cbalBusATLV3,0,0,1,xxNumOfTeams)),obalBusATLV3)))^$H419,$I419),$J419)</f>
        <v>1</v>
      </c>
      <c r="G419" t="b">
        <f ca="1">MAX(E419:E419)=MIN(E419:E419)</f>
        <v>1</v>
      </c>
      <c r="H419" s="1010">
        <v>0.2</v>
      </c>
      <c r="I419" s="1010">
        <v>1.1000000000000001</v>
      </c>
      <c r="J419" s="1010">
        <v>0.9</v>
      </c>
    </row>
    <row r="420" spans="1:10" ht="11.25">
      <c r="C420" t="s">
        <v>4641</v>
      </c>
      <c r="E420" s="15">
        <f ca="1">MAX(MIN(((cbalESAT)/(IF(xxSim0Tool1=0,AVERAGE(OFFSET(cbalESAT,0,0,1,xxNumOfTeams)),obalESAT)))^$H420,$I420),$J420)</f>
        <v>0.99487379753740557</v>
      </c>
      <c r="G420" t="b">
        <f ca="1">MAX(E420:E420)=MIN(E420:E420)</f>
        <v>1</v>
      </c>
      <c r="H420" s="1010">
        <v>0.1</v>
      </c>
      <c r="I420" s="1010">
        <v>1.1000000000000001</v>
      </c>
      <c r="J420" s="1010">
        <v>0.9</v>
      </c>
    </row>
    <row r="421" spans="1:10" ht="11.25">
      <c r="C421" t="s">
        <v>4774</v>
      </c>
      <c r="E421" s="15">
        <f ca="1">MAX(MIN(((cbalInternalAssets)/(IF(xxSim0Tool1=0,AVERAGE(OFFSET(cbalInternalAssets,0,0,1,xxNumOfTeams)),obalInternalAssets)))^$H421,$I421),$J421)</f>
        <v>1.0283759285097314</v>
      </c>
      <c r="G421" t="b">
        <f ca="1">MAX(E421:E421)=MIN(E421:E421)</f>
        <v>1</v>
      </c>
      <c r="H421" s="1010">
        <v>0.05</v>
      </c>
      <c r="I421" s="1010">
        <v>1.1000000000000001</v>
      </c>
      <c r="J421" s="1010">
        <v>0.9</v>
      </c>
    </row>
    <row r="422" spans="1:10" ht="11.25">
      <c r="C422" t="s">
        <v>4759</v>
      </c>
      <c r="E422" s="15">
        <f>IF(capBusACurrProjV1PctStaffed&lt;100%,95%,100%)</f>
        <v>0.95</v>
      </c>
      <c r="G422" t="b">
        <f>MAX(E422:E422)=MIN(E422:E422)</f>
        <v>1</v>
      </c>
    </row>
    <row r="423" spans="1:10" ht="11.25">
      <c r="C423" t="s">
        <v>4760</v>
      </c>
      <c r="E423" s="15">
        <f>IF(capBusACurrProjV2PctStaffed&lt;100%,95%,100%)</f>
        <v>0.95</v>
      </c>
      <c r="G423" t="b">
        <f>MAX(E423:E423)=MIN(E423:E423)</f>
        <v>1</v>
      </c>
      <c r="H423" s="1017" t="s">
        <v>4762</v>
      </c>
    </row>
    <row r="424" spans="1:10" ht="11.25">
      <c r="C424" t="s">
        <v>4761</v>
      </c>
      <c r="E424" s="15">
        <f>IF(capBusACurrProjV3PctStaffed&lt;100%,95%,100%)</f>
        <v>0.95</v>
      </c>
      <c r="G424" t="b">
        <f>MAX(E424:E424)=MIN(E424:E424)</f>
        <v>1</v>
      </c>
    </row>
    <row r="425" spans="1:10" ht="11.25">
      <c r="C425" t="s">
        <v>4522</v>
      </c>
      <c r="E425" s="15">
        <f>paramSpecProgramCSAT</f>
        <v>1</v>
      </c>
      <c r="G425" t="b">
        <f>MAX(E425:E425)=MIN(E425:E425)</f>
        <v>1</v>
      </c>
    </row>
    <row r="426" spans="1:10" ht="11.25">
      <c r="A426" s="1012"/>
      <c r="C426" s="134" t="s">
        <v>3040</v>
      </c>
      <c r="E426" s="590">
        <f>ManualAdjustments!E78</f>
        <v>0</v>
      </c>
      <c r="G426" t="b">
        <f>MAX(E426:E426)=MIN(E426:E426)</f>
        <v>1</v>
      </c>
    </row>
    <row r="427" spans="1:10" ht="11.25">
      <c r="C427" s="2" t="s">
        <v>4756</v>
      </c>
      <c r="E427" s="1027">
        <f ca="1">PRODUCT(E412:E425)+E426</f>
        <v>0.67005549739544945</v>
      </c>
      <c r="F427" t="s">
        <v>294</v>
      </c>
      <c r="G427" t="b">
        <f ca="1">MAX(E427:E427)=MIN(E427:E427)</f>
        <v>1</v>
      </c>
    </row>
    <row r="428" spans="1:10" ht="11.25">
      <c r="G428" t="b">
        <f>MAX(E428:E428)=MIN(E428:E428)</f>
        <v>1</v>
      </c>
    </row>
    <row r="429" spans="1:10" ht="15.75">
      <c r="A429" s="22" t="s">
        <v>835</v>
      </c>
      <c r="B429" s="23"/>
      <c r="C429" s="23"/>
      <c r="D429" s="23"/>
      <c r="E429" s="23"/>
      <c r="G429" t="b">
        <f>MAX(E429:E429)=MIN(E429:E429)</f>
        <v>1</v>
      </c>
    </row>
    <row r="430" spans="1:10" ht="11.25">
      <c r="G430" t="b">
        <f>MAX(E430:E430)=MIN(E430:E430)</f>
        <v>1</v>
      </c>
    </row>
    <row r="431" spans="1:10" ht="11.25">
      <c r="A431" s="140" t="str">
        <f>DataNameEmp1 &amp; " Required"</f>
        <v>Offshore Required</v>
      </c>
      <c r="B431" s="140"/>
      <c r="C431" s="140"/>
      <c r="D431" s="140"/>
      <c r="E431" s="140"/>
      <c r="G431" t="b">
        <f>MAX(E431:E431)=MIN(E431:E431)</f>
        <v>1</v>
      </c>
    </row>
    <row r="432" spans="1:10" ht="11.25">
      <c r="G432" t="b">
        <f>MAX(E432:E432)=MIN(E432:E432)</f>
        <v>1</v>
      </c>
    </row>
    <row r="433" spans="2:7" ht="11.25">
      <c r="B433" s="2" t="str">
        <f>DataNameEmp1 &amp; " Recruited"</f>
        <v>Offshore Recruited</v>
      </c>
      <c r="C433" s="2"/>
      <c r="D433" s="2"/>
      <c r="E433" s="2"/>
      <c r="G433" t="b">
        <f>MAX(E433:E433)=MIN(E433:E433)</f>
        <v>1</v>
      </c>
    </row>
    <row r="434" spans="2:7" ht="11.25">
      <c r="C434" t="s">
        <v>4253</v>
      </c>
      <c r="E434" s="11">
        <f>obalBusAEmp1Recruited</f>
        <v>0</v>
      </c>
      <c r="G434" t="b">
        <f>MAX(E434:E434)=MIN(E434:E434)</f>
        <v>1</v>
      </c>
    </row>
    <row r="435" spans="2:7" ht="11.25">
      <c r="C435" t="s">
        <v>1593</v>
      </c>
      <c r="E435" s="11">
        <f>obalBusBEmp1Recruited</f>
        <v>0</v>
      </c>
      <c r="G435" t="b">
        <f>MAX(E435:E435)=MIN(E435:E435)</f>
        <v>1</v>
      </c>
    </row>
    <row r="436" spans="2:7" ht="11.25">
      <c r="B436" s="2" t="str">
        <f>DataNameEmp1&amp;" Dismissed"</f>
        <v>Offshore Dismissed</v>
      </c>
      <c r="C436" s="2"/>
      <c r="D436" s="2"/>
      <c r="E436" s="13">
        <f>-MIN(0,capEmp1Change+0)</f>
        <v>0</v>
      </c>
      <c r="G436" t="b">
        <f>MAX(E436:E436)=MIN(E436:E436)</f>
        <v>1</v>
      </c>
    </row>
    <row r="437" spans="2:7" ht="11.25">
      <c r="C437" t="s">
        <v>4253</v>
      </c>
      <c r="E437" s="13">
        <f>decEmp1BusADismiss</f>
        <v>0</v>
      </c>
      <c r="G437" t="b">
        <f>MAX(E437:E437)=MIN(E437:E437)</f>
        <v>1</v>
      </c>
    </row>
    <row r="438" spans="2:7" ht="11.25">
      <c r="C438" t="s">
        <v>1593</v>
      </c>
      <c r="E438" s="13">
        <f>ABS(decEmp1BusBDismiss)</f>
        <v>0</v>
      </c>
      <c r="G438" t="b">
        <f>MAX(E438:E438)=MIN(E438:E438)</f>
        <v>1</v>
      </c>
    </row>
    <row r="439" spans="2:7" ht="11.25">
      <c r="B439" s="2" t="str">
        <f>DataNameEmp1&amp;" Attrition"</f>
        <v>Offshore Attrition</v>
      </c>
      <c r="C439" s="2"/>
      <c r="D439" s="2"/>
      <c r="E439" s="2"/>
      <c r="F439" t="s">
        <v>2135</v>
      </c>
      <c r="G439" t="b">
        <f>MAX(E439:E439)=MIN(E439:E439)</f>
        <v>1</v>
      </c>
    </row>
    <row r="440" spans="2:7" ht="11.25">
      <c r="C440" t="s">
        <v>4253</v>
      </c>
      <c r="E440" s="687">
        <f>ROUNDUP(obalBusAEmp1*paramEmp1AttRate,0)</f>
        <v>79</v>
      </c>
      <c r="F440" t="s">
        <v>2824</v>
      </c>
      <c r="G440" t="b">
        <f>MAX(E440:E440)=MIN(E440:E440)</f>
        <v>1</v>
      </c>
    </row>
    <row r="441" spans="2:7" ht="11.25">
      <c r="C441" t="s">
        <v>1593</v>
      </c>
      <c r="E441" s="687">
        <f>ROUNDUP(obalBusBEmp1*paramEmp1AttRate,0)</f>
        <v>4</v>
      </c>
      <c r="F441" t="s">
        <v>2825</v>
      </c>
      <c r="G441" t="b">
        <f>MAX(E441:E441)=MIN(E441:E441)</f>
        <v>1</v>
      </c>
    </row>
    <row r="442" spans="2:7" ht="11.25">
      <c r="B442" s="2" t="str">
        <f>DataNameEmp1 &amp; " Ending"</f>
        <v>Offshore Ending</v>
      </c>
      <c r="C442" s="2"/>
      <c r="D442" s="2"/>
      <c r="E442" s="2"/>
      <c r="F442" s="2"/>
      <c r="G442" t="b">
        <f>MAX(E442:E442)=MIN(E442:E442)</f>
        <v>1</v>
      </c>
    </row>
    <row r="443" spans="2:7" ht="11.25">
      <c r="B443" s="2"/>
      <c r="C443" t="s">
        <v>4253</v>
      </c>
      <c r="D443" s="2"/>
      <c r="E443" s="21">
        <f>ROUNDUP(MAX(obalBusAEmp1+E434-E437-E440,0),0)</f>
        <v>234</v>
      </c>
      <c r="F443" t="s">
        <v>3392</v>
      </c>
      <c r="G443" t="b">
        <f>MAX(E443:E443)=MIN(E443:E443)</f>
        <v>1</v>
      </c>
    </row>
    <row r="444" spans="2:7" ht="11.25">
      <c r="B444" s="2"/>
      <c r="C444" s="4" t="s">
        <v>4231</v>
      </c>
      <c r="D444" s="2"/>
      <c r="E444" s="21">
        <f>capBusAEmp1End*paramEmp1HoursPYear</f>
        <v>315900</v>
      </c>
      <c r="F444" t="s">
        <v>453</v>
      </c>
      <c r="G444" t="b">
        <f>MAX(E444:E444)=MIN(E444:E444)</f>
        <v>1</v>
      </c>
    </row>
    <row r="445" spans="2:7" ht="11.25">
      <c r="B445" s="2"/>
      <c r="C445" t="s">
        <v>1593</v>
      </c>
      <c r="D445" s="2"/>
      <c r="E445" s="21">
        <f>ROUNDUP(MAX(obalBusBEmp1+E435-E438-E441,0),0)</f>
        <v>9</v>
      </c>
      <c r="F445" t="s">
        <v>3393</v>
      </c>
      <c r="G445" t="b">
        <f>MAX(E445:E445)=MIN(E445:E445)</f>
        <v>1</v>
      </c>
    </row>
    <row r="446" spans="2:7" ht="11.25">
      <c r="B446" s="2"/>
      <c r="C446" s="4" t="s">
        <v>4231</v>
      </c>
      <c r="D446" s="2"/>
      <c r="E446" s="21">
        <f>capBusBEmp1End*paramEmp1HoursPYear</f>
        <v>12150</v>
      </c>
      <c r="F446" t="s">
        <v>454</v>
      </c>
      <c r="G446" t="b">
        <f>MAX(E446:E446)=MIN(E446:E446)</f>
        <v>1</v>
      </c>
    </row>
    <row r="447" spans="2:7" ht="11.25">
      <c r="B447" s="2" t="str">
        <f>DataNameEmp1 &amp; " Required"</f>
        <v>Offshore Required</v>
      </c>
      <c r="C447" s="2"/>
      <c r="D447" s="2"/>
      <c r="E447" s="2"/>
      <c r="F447" t="s">
        <v>836</v>
      </c>
      <c r="G447" t="b">
        <f>MAX(E447:E447)=MIN(E447:E447)</f>
        <v>1</v>
      </c>
    </row>
    <row r="448" spans="2:7" ht="11.25">
      <c r="B448" s="2"/>
      <c r="C448" t="s">
        <v>4253</v>
      </c>
      <c r="D448" s="2"/>
      <c r="E448" s="270"/>
      <c r="F448" t="s">
        <v>2826</v>
      </c>
      <c r="G448" t="b">
        <f>MAX(E448:E448)=MIN(E448:E448)</f>
        <v>1</v>
      </c>
    </row>
    <row r="449" spans="2:7" ht="11.25">
      <c r="B449" s="2"/>
      <c r="C449" t="s">
        <v>1593</v>
      </c>
      <c r="D449" s="2"/>
      <c r="E449" s="17"/>
      <c r="F449" t="s">
        <v>2827</v>
      </c>
      <c r="G449" t="b">
        <f>MAX(E449:E449)=MIN(E449:E449)</f>
        <v>1</v>
      </c>
    </row>
    <row r="450" spans="2:7" ht="11.25">
      <c r="B450" s="2" t="str">
        <f>DataNameEmp1&amp;" Utilization - Project Risk"</f>
        <v>Offshore Utilization - Project Risk</v>
      </c>
      <c r="C450" s="2"/>
      <c r="D450" s="2"/>
      <c r="E450" s="271"/>
      <c r="F450" t="s">
        <v>2136</v>
      </c>
      <c r="G450" t="b">
        <f>MAX(E450:E450)=MIN(E450:E450)</f>
        <v>1</v>
      </c>
    </row>
    <row r="451" spans="2:7" ht="11.25">
      <c r="C451" t="s">
        <v>4253</v>
      </c>
      <c r="E451" s="271">
        <f>(capBusAEmp1HrsCurrProj+capBusAEmp1HrsCurrProjV2+capBusAEmp1HrsCurrProjV3+decBusAEmp1HrsSales+decBusAEmp1HrsSalesV2+decBusAEmp1HrsSalesV3+capBusAEmp1CompDevTtlHrReq+capEmp1BusAGeneralTrainingHrs+paramSpecProgramEmp1BusAInitHrsReq)/(paramEmp1HoursPYear*cbalBusAEmp1)</f>
        <v>0.31644779931599104</v>
      </c>
      <c r="F451" s="700" t="s">
        <v>2828</v>
      </c>
      <c r="G451" t="b">
        <f>MAX(E451:E451)=MIN(E451:E451)</f>
        <v>1</v>
      </c>
    </row>
    <row r="452" spans="2:7" ht="11.25">
      <c r="C452" t="s">
        <v>1593</v>
      </c>
      <c r="E452" s="271">
        <f>(capBusBEmp1CompDevTtlHrReq+capEmp1BusBGeneralTrainingHrs+paramSpecProgramEmp1BusBInitHrsReq+decEmp1BusBOpsImprove)/(paramEmp1HoursPYear*cbalBusBEmp1)</f>
        <v>0.33580246913580247</v>
      </c>
      <c r="F452" t="s">
        <v>2724</v>
      </c>
      <c r="G452" t="b">
        <f>MAX(E452:E452)=MIN(E452:E452)</f>
        <v>1</v>
      </c>
    </row>
    <row r="453" spans="2:7" ht="11.25">
      <c r="B453" t="s">
        <v>1443</v>
      </c>
      <c r="E453" s="11">
        <f>E443*obalEmp1Salary</f>
        <v>9360000</v>
      </c>
      <c r="F453" t="s">
        <v>3179</v>
      </c>
      <c r="G453" t="b">
        <f>MAX(E453:E453)=MIN(E453:E453)</f>
        <v>1</v>
      </c>
    </row>
    <row r="454" spans="2:7" ht="11.25">
      <c r="B454" t="s">
        <v>3178</v>
      </c>
      <c r="E454" s="11">
        <f>E445*obalEmp1Salary</f>
        <v>360000</v>
      </c>
      <c r="F454" t="s">
        <v>3180</v>
      </c>
      <c r="G454" t="b">
        <f>MAX(E454:E454)=MIN(E454:E454)</f>
        <v>1</v>
      </c>
    </row>
    <row r="455" spans="2:7" ht="11.25">
      <c r="E455" s="11"/>
      <c r="G455" t="b">
        <f>MAX(E455:E455)=MIN(E455:E455)</f>
        <v>1</v>
      </c>
    </row>
    <row r="456" spans="2:7" ht="11.25">
      <c r="B456" s="2" t="str">
        <f>DataNameEmp1 &amp; " Total Expense"</f>
        <v>Offshore Total Expense</v>
      </c>
      <c r="C456" s="2"/>
      <c r="D456" s="2"/>
      <c r="E456" s="13">
        <f>SUM(E453:E455)</f>
        <v>9720000</v>
      </c>
      <c r="F456" t="s">
        <v>3541</v>
      </c>
      <c r="G456" t="b">
        <f>MAX(E456:E456)=MIN(E456:E456)</f>
        <v>1</v>
      </c>
    </row>
    <row r="457" spans="2:7" ht="11.25">
      <c r="B457" s="2"/>
      <c r="G457" t="b">
        <f>MAX(E457:E457)=MIN(E457:E457)</f>
        <v>1</v>
      </c>
    </row>
    <row r="458" spans="2:7" ht="11.25">
      <c r="B458" t="str">
        <f>DataNameEmp1&amp;" Recruitment/Dismissal Costs"</f>
        <v>Offshore Recruitment/Dismissal Costs</v>
      </c>
      <c r="G458" t="b">
        <f>MAX(E458:E458)=MIN(E458:E458)</f>
        <v>1</v>
      </c>
    </row>
    <row r="459" spans="2:7" ht="11.25">
      <c r="D459" t="s">
        <v>3293</v>
      </c>
      <c r="E459" s="88">
        <f>ABS(paramEmp1RecDismCost*obalEmp1Salary*(decEmp1BusADismiss+decEmp1BusAHire))</f>
        <v>0</v>
      </c>
      <c r="F459" t="s">
        <v>4518</v>
      </c>
      <c r="G459" t="b">
        <f>MAX(E459:E459)=MIN(E459:E459)</f>
        <v>1</v>
      </c>
    </row>
    <row r="460" spans="2:7" ht="11.25">
      <c r="D460" t="s">
        <v>635</v>
      </c>
      <c r="E460" s="383">
        <f>ABS(paramEmp1RecDismCost*obalEmp1Salary*(ABS(decEmp1BusBDismiss)+decEmp1BusBHire))</f>
        <v>0</v>
      </c>
      <c r="F460" t="s">
        <v>4519</v>
      </c>
      <c r="G460" t="b">
        <f>MAX(E460:E460)=MIN(E460:E460)</f>
        <v>1</v>
      </c>
    </row>
    <row r="461" spans="2:7" ht="11.25">
      <c r="E461" s="14">
        <f>SUM(E459:E460)</f>
        <v>0</v>
      </c>
      <c r="F461" t="s">
        <v>2069</v>
      </c>
      <c r="G461" t="b">
        <f>MAX(E461:E461)=MIN(E461:E461)</f>
        <v>1</v>
      </c>
    </row>
    <row r="462" spans="2:7" ht="11.25">
      <c r="B462" t="str">
        <f>DataNameEmp1&amp;" Admin Cost"</f>
        <v>Offshore Admin Cost</v>
      </c>
      <c r="E462" s="14"/>
      <c r="G462" t="b">
        <f>MAX(E462:E462)=MIN(E462:E462)</f>
        <v>1</v>
      </c>
    </row>
    <row r="463" spans="2:7" ht="11.25">
      <c r="D463" t="s">
        <v>3293</v>
      </c>
      <c r="E463" s="124">
        <f>capBusAEmp1BaseExp*paramEmp2AdminCostPct</f>
        <v>468000</v>
      </c>
      <c r="F463" t="s">
        <v>4520</v>
      </c>
      <c r="G463" t="b">
        <f>MAX(E463:E463)=MIN(E463:E463)</f>
        <v>1</v>
      </c>
    </row>
    <row r="464" spans="2:7" ht="11.25">
      <c r="D464" t="s">
        <v>635</v>
      </c>
      <c r="E464" s="384">
        <f>capBusBEmp1BaseExp*paramEmp2AdminCostPct</f>
        <v>18000</v>
      </c>
      <c r="F464" t="s">
        <v>4521</v>
      </c>
      <c r="G464" t="b">
        <f>MAX(E464:E464)=MIN(E464:E464)</f>
        <v>1</v>
      </c>
    </row>
    <row r="465" spans="2:7" ht="11.25">
      <c r="E465" s="14">
        <f>SUM(E463:E464)</f>
        <v>486000</v>
      </c>
      <c r="F465" t="s">
        <v>3540</v>
      </c>
      <c r="G465" t="b">
        <f>MAX(E465:E465)=MIN(E465:E465)</f>
        <v>1</v>
      </c>
    </row>
    <row r="466" spans="2:7" ht="11.25">
      <c r="B466" s="2" t="s">
        <v>682</v>
      </c>
      <c r="G466" t="b">
        <f>MAX(E466:E466)=MIN(E466:E466)</f>
        <v>1</v>
      </c>
    </row>
    <row r="467" spans="2:7" ht="11.25">
      <c r="B467" t="s">
        <v>3784</v>
      </c>
      <c r="E467" s="271">
        <f>capBusAEmp1HrsCurrProj/capBusAEmp1EndHrsAvailable</f>
        <v>0.11334153150972323</v>
      </c>
      <c r="F467" t="s">
        <v>2968</v>
      </c>
      <c r="G467" t="b">
        <f>MAX(E467:E467)=MIN(E467:E467)</f>
        <v>1</v>
      </c>
    </row>
    <row r="468" spans="2:7" ht="11.25">
      <c r="B468" t="s">
        <v>3785</v>
      </c>
      <c r="E468" s="271">
        <f>capBusAEmp1HrsCurrProjV2/capBusAEmp1EndHrsAvailable</f>
        <v>6.3265811965811977E-2</v>
      </c>
      <c r="F468" t="s">
        <v>2969</v>
      </c>
      <c r="G468" t="b">
        <f>MAX(E468:E468)=MIN(E468:E468)</f>
        <v>1</v>
      </c>
    </row>
    <row r="469" spans="2:7" ht="11.25">
      <c r="B469" t="s">
        <v>3786</v>
      </c>
      <c r="E469" s="271">
        <f>capBusAEmp1HrsCurrProjV3/capBusAEmp1EndHrsAvailable</f>
        <v>2.4993985438429882E-2</v>
      </c>
      <c r="F469" t="s">
        <v>2970</v>
      </c>
      <c r="G469" t="b">
        <f>MAX(E469:E469)=MIN(E469:E469)</f>
        <v>1</v>
      </c>
    </row>
    <row r="470" spans="2:7" ht="11.25">
      <c r="B470" t="s">
        <v>3787</v>
      </c>
      <c r="E470" s="271">
        <f>decBusAEmp1HrsSales/capBusAEmp1EndHrsAvailable</f>
        <v>7.9138968027856922E-3</v>
      </c>
      <c r="F470" t="s">
        <v>102</v>
      </c>
      <c r="G470" t="b">
        <f>MAX(E470:E470)=MIN(E470:E470)</f>
        <v>1</v>
      </c>
    </row>
    <row r="471" spans="2:7" ht="11.25">
      <c r="B471" t="s">
        <v>100</v>
      </c>
      <c r="E471" s="271">
        <f>decBusAEmp1HrsSalesV2/capBusAEmp1EndHrsAvailable</f>
        <v>6.9642291864514087E-3</v>
      </c>
      <c r="F471" t="s">
        <v>103</v>
      </c>
      <c r="G471" t="b">
        <f>MAX(E471:E471)=MIN(E471:E471)</f>
        <v>1</v>
      </c>
    </row>
    <row r="472" spans="2:7" ht="11.25">
      <c r="B472" t="s">
        <v>101</v>
      </c>
      <c r="E472" s="271">
        <f>decBusAEmp1HrsSalesV3/capBusAEmp1EndHrsAvailable</f>
        <v>1.1079455523899969E-2</v>
      </c>
      <c r="F472" t="s">
        <v>4562</v>
      </c>
      <c r="G472" t="b">
        <f>MAX(E472:E472)=MIN(E472:E472)</f>
        <v>1</v>
      </c>
    </row>
    <row r="473" spans="2:7" ht="11.25">
      <c r="B473" t="s">
        <v>1799</v>
      </c>
      <c r="E473" s="271">
        <f>capBusAEmp1CompDevTtlHrReq/capBusAEmp1EndHrsAvailable</f>
        <v>0</v>
      </c>
      <c r="F473" t="s">
        <v>4007</v>
      </c>
      <c r="G473" t="b">
        <f>MAX(E473:E473)=MIN(E473:E473)</f>
        <v>1</v>
      </c>
    </row>
    <row r="474" spans="2:7" ht="11.25">
      <c r="B474" t="s">
        <v>2284</v>
      </c>
      <c r="E474" s="271">
        <f>capEmp1BusAGeneralTrainingHrs/capBusAEmp1EndHrsAvailable</f>
        <v>8.8888888888888892E-2</v>
      </c>
      <c r="F474" t="s">
        <v>2283</v>
      </c>
      <c r="G474" t="b">
        <f>MAX(E474:E474)=MIN(E474:E474)</f>
        <v>1</v>
      </c>
    </row>
    <row r="475" spans="2:7" ht="11.25">
      <c r="B475" t="s">
        <v>4522</v>
      </c>
      <c r="E475" s="271">
        <f>paramSpecProgramEmp1BusAInitHrsReq/capBusAEmp1EndHrsAvailable</f>
        <v>0</v>
      </c>
      <c r="F475" t="s">
        <v>139</v>
      </c>
      <c r="G475" t="b">
        <f>MAX(E475:E475)=MIN(E475:E475)</f>
        <v>1</v>
      </c>
    </row>
    <row r="476" spans="2:7" ht="11.25">
      <c r="B476" t="s">
        <v>4550</v>
      </c>
      <c r="E476" s="271">
        <f>1-capBusAEmp1Utiliz</f>
        <v>0.6835522006840089</v>
      </c>
      <c r="F476" t="s">
        <v>4551</v>
      </c>
      <c r="G476" t="b">
        <f>MAX(E476:E476)=MIN(E476:E476)</f>
        <v>1</v>
      </c>
    </row>
    <row r="477" spans="2:7" ht="11.25">
      <c r="B477" s="2" t="s">
        <v>683</v>
      </c>
      <c r="G477" t="b">
        <f>MAX(E477:E477)=MIN(E477:E477)</f>
        <v>1</v>
      </c>
    </row>
    <row r="478" spans="2:7" ht="11.25">
      <c r="B478" t="s">
        <v>4268</v>
      </c>
      <c r="E478" s="271">
        <f>(decEmp1BusBOpsImprove)/capBusBEmp1EndHrsAvailable</f>
        <v>0.24691358024691357</v>
      </c>
      <c r="F478" t="s">
        <v>4269</v>
      </c>
      <c r="G478" t="b">
        <f>MAX(E478:E478)=MIN(E478:E478)</f>
        <v>1</v>
      </c>
    </row>
    <row r="479" spans="2:7" ht="11.25">
      <c r="B479" t="s">
        <v>3585</v>
      </c>
      <c r="E479" s="271">
        <f>(capBusBEmp1CompDevTtlHrReq)/capBusBEmp1EndHrsAvailable</f>
        <v>0</v>
      </c>
      <c r="F479" t="s">
        <v>2285</v>
      </c>
      <c r="G479" t="b">
        <f>MAX(E479:E479)=MIN(E479:E479)</f>
        <v>1</v>
      </c>
    </row>
    <row r="480" spans="2:7" ht="11.25">
      <c r="B480" t="s">
        <v>2284</v>
      </c>
      <c r="E480" s="271">
        <f>(capEmp1BusBGeneralTrainingHrs)/capBusBEmp1EndHrsAvailable</f>
        <v>8.8888888888888892E-2</v>
      </c>
      <c r="F480" t="s">
        <v>2286</v>
      </c>
      <c r="G480" t="b">
        <f>MAX(E480:E480)=MIN(E480:E480)</f>
        <v>1</v>
      </c>
    </row>
    <row r="481" spans="2:7" ht="11.25">
      <c r="B481" t="s">
        <v>4522</v>
      </c>
      <c r="E481" s="271">
        <f>paramSpecProgramEmp1BusBInitHrsReq/capBusBEmp1EndHrsAvailable</f>
        <v>0</v>
      </c>
      <c r="F481" t="s">
        <v>140</v>
      </c>
      <c r="G481" t="b">
        <f>MAX(E481:E481)=MIN(E481:E481)</f>
        <v>1</v>
      </c>
    </row>
    <row r="482" spans="2:7" ht="11.25">
      <c r="B482" t="s">
        <v>110</v>
      </c>
      <c r="E482" s="271">
        <f>1-capBusBEmp1Utiliz</f>
        <v>0.66419753086419753</v>
      </c>
      <c r="F482" t="s">
        <v>111</v>
      </c>
      <c r="G482" t="b">
        <f>MAX(E482:E482)=MIN(E482:E482)</f>
        <v>1</v>
      </c>
    </row>
    <row r="483" spans="2:7" ht="11.25">
      <c r="E483" s="271"/>
      <c r="G483" t="b">
        <f>MAX(E483:E483)=MIN(E483:E483)</f>
        <v>1</v>
      </c>
    </row>
    <row r="484" spans="2:7" ht="3" customHeight="1">
      <c r="B484" s="70"/>
      <c r="C484" s="70"/>
      <c r="D484" s="70"/>
      <c r="E484" s="70"/>
      <c r="G484" t="b">
        <f>MAX(E484:E484)=MIN(E484:E484)</f>
        <v>1</v>
      </c>
    </row>
    <row r="485" spans="2:7" ht="11.25">
      <c r="G485" t="b">
        <f>MAX(E485:E485)=MIN(E485:E485)</f>
        <v>1</v>
      </c>
    </row>
    <row r="486" spans="2:7" ht="11.25">
      <c r="B486" s="2" t="s">
        <v>3181</v>
      </c>
      <c r="G486" t="b">
        <f>MAX(E486:E486)=MIN(E486:E486)</f>
        <v>1</v>
      </c>
    </row>
    <row r="487" spans="2:7" ht="11.25">
      <c r="B487" t="s">
        <v>2971</v>
      </c>
      <c r="E487" s="88">
        <f t="shared" ref="E487:E492" si="9">E467*capBusAEmp1BaseExp</f>
        <v>1060876.7349310094</v>
      </c>
      <c r="F487" t="s">
        <v>2725</v>
      </c>
      <c r="G487" t="b">
        <f>MAX(E487:E487)=MIN(E487:E487)</f>
        <v>1</v>
      </c>
    </row>
    <row r="488" spans="2:7" ht="11.25">
      <c r="B488" t="s">
        <v>2972</v>
      </c>
      <c r="E488" s="88">
        <f t="shared" si="9"/>
        <v>592168.00000000012</v>
      </c>
      <c r="F488" t="s">
        <v>4241</v>
      </c>
      <c r="G488" t="b">
        <f>MAX(E488:E488)=MIN(E488:E488)</f>
        <v>1</v>
      </c>
    </row>
    <row r="489" spans="2:7" ht="11.25">
      <c r="B489" t="s">
        <v>1871</v>
      </c>
      <c r="E489" s="88">
        <f t="shared" si="9"/>
        <v>233943.70370370371</v>
      </c>
      <c r="F489" t="s">
        <v>4242</v>
      </c>
      <c r="G489" t="b">
        <f>MAX(E489:E489)=MIN(E489:E489)</f>
        <v>1</v>
      </c>
    </row>
    <row r="490" spans="2:7" ht="11.25">
      <c r="B490" t="s">
        <v>1816</v>
      </c>
      <c r="E490" s="11">
        <f t="shared" si="9"/>
        <v>74074.074074074073</v>
      </c>
      <c r="F490" t="s">
        <v>726</v>
      </c>
      <c r="G490" t="b">
        <f>MAX(E490:E490)=MIN(E490:E490)</f>
        <v>1</v>
      </c>
    </row>
    <row r="491" spans="2:7" ht="11.25">
      <c r="B491" t="s">
        <v>2197</v>
      </c>
      <c r="E491" s="11">
        <f t="shared" si="9"/>
        <v>65185.185185185182</v>
      </c>
      <c r="F491" t="s">
        <v>727</v>
      </c>
      <c r="G491" t="b">
        <f>MAX(E491:E491)=MIN(E491:E491)</f>
        <v>1</v>
      </c>
    </row>
    <row r="492" spans="2:7" ht="11.25">
      <c r="B492" t="s">
        <v>1583</v>
      </c>
      <c r="E492" s="11">
        <f t="shared" si="9"/>
        <v>103703.70370370371</v>
      </c>
      <c r="F492" t="s">
        <v>728</v>
      </c>
      <c r="G492" t="b">
        <f>MAX(E492:E492)=MIN(E492:E492)</f>
        <v>1</v>
      </c>
    </row>
    <row r="493" spans="2:7" ht="11.25">
      <c r="B493" t="s">
        <v>1584</v>
      </c>
      <c r="E493" s="11">
        <f t="shared" ref="E493:E495" si="10">E473*capBusAEmp1BaseExp</f>
        <v>0</v>
      </c>
      <c r="F493" t="s">
        <v>2483</v>
      </c>
      <c r="G493" t="b">
        <f>MAX(E493:E493)=MIN(E493:E493)</f>
        <v>1</v>
      </c>
    </row>
    <row r="494" spans="2:7" ht="11.25">
      <c r="B494" t="s">
        <v>1585</v>
      </c>
      <c r="E494" s="11">
        <f t="shared" si="10"/>
        <v>832000</v>
      </c>
      <c r="F494" t="s">
        <v>2484</v>
      </c>
      <c r="G494" t="b">
        <f>MAX(E494:E494)=MIN(E494:E494)</f>
        <v>1</v>
      </c>
    </row>
    <row r="495" spans="2:7" ht="11.25">
      <c r="B495" t="s">
        <v>4522</v>
      </c>
      <c r="E495" s="11">
        <f t="shared" si="10"/>
        <v>0</v>
      </c>
      <c r="F495" t="s">
        <v>972</v>
      </c>
      <c r="G495" t="b">
        <f>MAX(E495:E495)=MIN(E495:E495)</f>
        <v>1</v>
      </c>
    </row>
    <row r="496" spans="2:7" ht="11.25">
      <c r="B496" t="s">
        <v>4235</v>
      </c>
      <c r="E496" s="11">
        <f>MAX(0,E476*capBusAEmp1BaseExp)</f>
        <v>6398048.5984023232</v>
      </c>
      <c r="F496" t="s">
        <v>2588</v>
      </c>
      <c r="G496" t="b">
        <f>MAX(E496:E496)=MIN(E496:E496)</f>
        <v>1</v>
      </c>
    </row>
    <row r="497" spans="1:7" ht="11.25">
      <c r="B497" s="2" t="s">
        <v>2536</v>
      </c>
      <c r="E497" s="11"/>
      <c r="G497" t="b">
        <f>MAX(E497:E497)=MIN(E497:E497)</f>
        <v>1</v>
      </c>
    </row>
    <row r="498" spans="1:7" ht="11.25">
      <c r="B498" t="s">
        <v>4268</v>
      </c>
      <c r="E498" s="11">
        <f t="shared" ref="E498:E501" si="11">E478*capBusBEmp1BaseExp</f>
        <v>88888.888888888891</v>
      </c>
      <c r="F498" t="s">
        <v>455</v>
      </c>
      <c r="G498" t="b">
        <f>MAX(E498:E498)=MIN(E498:E498)</f>
        <v>1</v>
      </c>
    </row>
    <row r="499" spans="1:7" ht="11.25">
      <c r="B499" t="s">
        <v>3585</v>
      </c>
      <c r="E499" s="11">
        <f t="shared" si="11"/>
        <v>0</v>
      </c>
      <c r="F499" t="s">
        <v>456</v>
      </c>
      <c r="G499" t="b">
        <f>MAX(E499:E499)=MIN(E499:E499)</f>
        <v>1</v>
      </c>
    </row>
    <row r="500" spans="1:7" ht="11.25">
      <c r="B500" t="s">
        <v>2284</v>
      </c>
      <c r="E500" s="11">
        <f t="shared" si="11"/>
        <v>32000</v>
      </c>
      <c r="F500" t="s">
        <v>1012</v>
      </c>
      <c r="G500" t="b">
        <f>MAX(E500:E500)=MIN(E500:E500)</f>
        <v>1</v>
      </c>
    </row>
    <row r="501" spans="1:7" ht="11.25">
      <c r="B501" t="s">
        <v>4522</v>
      </c>
      <c r="E501" s="11">
        <f t="shared" si="11"/>
        <v>0</v>
      </c>
      <c r="F501" t="s">
        <v>973</v>
      </c>
      <c r="G501" t="b">
        <f>MAX(E501:E501)=MIN(E501:E501)</f>
        <v>1</v>
      </c>
    </row>
    <row r="502" spans="1:7" ht="11.25">
      <c r="B502" t="s">
        <v>4514</v>
      </c>
      <c r="E502" s="11">
        <f>MAX(0,E482*capBusBEmp1BaseExp)</f>
        <v>239111.11111111112</v>
      </c>
      <c r="F502" t="s">
        <v>2589</v>
      </c>
      <c r="G502" t="b">
        <f>MAX(E502:E502)=MIN(E502:E502)</f>
        <v>1</v>
      </c>
    </row>
    <row r="503" spans="1:7" ht="11.25">
      <c r="G503" t="b">
        <f>MAX(E503:E503)=MIN(E503:E503)</f>
        <v>1</v>
      </c>
    </row>
    <row r="504" spans="1:7" ht="11.25">
      <c r="A504" s="140" t="str">
        <f>DataNameEmp2 &amp; " Required"</f>
        <v>Technical Required</v>
      </c>
      <c r="B504" s="140"/>
      <c r="C504" s="140"/>
      <c r="D504" s="140"/>
      <c r="E504" s="140"/>
      <c r="G504" t="b">
        <f>MAX(E504:E504)=MIN(E504:E504)</f>
        <v>1</v>
      </c>
    </row>
    <row r="505" spans="1:7" ht="11.25">
      <c r="G505" t="b">
        <f>MAX(E505:E505)=MIN(E505:E505)</f>
        <v>1</v>
      </c>
    </row>
    <row r="506" spans="1:7" ht="11.25">
      <c r="B506" s="2" t="str">
        <f>DataNameEmp2 &amp; " Recruited"</f>
        <v>Technical Recruited</v>
      </c>
      <c r="C506" s="2"/>
      <c r="D506" s="2"/>
      <c r="E506" s="2"/>
      <c r="G506" t="b">
        <f>MAX(E506:E506)=MIN(E506:E506)</f>
        <v>1</v>
      </c>
    </row>
    <row r="507" spans="1:7" ht="11.25">
      <c r="C507" t="s">
        <v>4253</v>
      </c>
      <c r="E507" s="11">
        <f>obalBusAEmp2Recruited</f>
        <v>0</v>
      </c>
      <c r="G507" t="b">
        <f>MAX(E507:E507)=MIN(E507:E507)</f>
        <v>1</v>
      </c>
    </row>
    <row r="508" spans="1:7" ht="11.25">
      <c r="C508" t="s">
        <v>1593</v>
      </c>
      <c r="E508" s="11">
        <f>obalBusBEmp2Recruited</f>
        <v>0</v>
      </c>
      <c r="G508" t="b">
        <f>MAX(E508:E508)=MIN(E508:E508)</f>
        <v>1</v>
      </c>
    </row>
    <row r="509" spans="1:7" ht="11.25">
      <c r="B509" s="2" t="str">
        <f>DataNameEmp2&amp;" Dismissed"</f>
        <v>Technical Dismissed</v>
      </c>
      <c r="C509" s="2"/>
      <c r="D509" s="2"/>
      <c r="E509" s="13">
        <f>-MIN(0,capEmp2Change+0)</f>
        <v>0</v>
      </c>
      <c r="G509" t="b">
        <f>MAX(E509:E509)=MIN(E509:E509)</f>
        <v>1</v>
      </c>
    </row>
    <row r="510" spans="1:7" ht="11.25">
      <c r="C510" t="s">
        <v>4253</v>
      </c>
      <c r="E510" s="1075">
        <f>ROUNDUP(IF(decEmp2BusADismiss="Very Low",2%,IF(decEmp2BusADismiss="Low",5%,IF(decEmp2BusADismiss="Average",7%,IF(decEmp2BusADismiss="High",10%,IF(decEmp2BusADismiss="Very High",13%,0)))))*obalBusAEmp2,0)</f>
        <v>35</v>
      </c>
      <c r="G510" t="b">
        <f>MAX(E510:E510)=MIN(E510:E510)</f>
        <v>1</v>
      </c>
    </row>
    <row r="511" spans="1:7" ht="11.25">
      <c r="C511" t="s">
        <v>1593</v>
      </c>
      <c r="E511" s="13">
        <f>ABS(decEmp2BusBDismiss)</f>
        <v>0</v>
      </c>
      <c r="G511" t="b">
        <f>MAX(E511:E511)=MIN(E511:E511)</f>
        <v>1</v>
      </c>
    </row>
    <row r="512" spans="1:7" ht="11.25">
      <c r="B512" s="2" t="str">
        <f>DataNameEmp2&amp;" Attrition"</f>
        <v>Technical Attrition</v>
      </c>
      <c r="C512" s="2"/>
      <c r="D512" s="2"/>
      <c r="E512" s="2"/>
      <c r="F512" t="s">
        <v>4285</v>
      </c>
      <c r="G512" t="b">
        <f>MAX(E512:E512)=MIN(E512:E512)</f>
        <v>1</v>
      </c>
    </row>
    <row r="513" spans="2:10" ht="11.25">
      <c r="C513" t="s">
        <v>4253</v>
      </c>
      <c r="E513" s="687">
        <f>ROUNDUP(obalBusAEmp2*paramEmp2AttRate,0)</f>
        <v>100</v>
      </c>
      <c r="F513" t="s">
        <v>2569</v>
      </c>
      <c r="G513" t="b">
        <f>MAX(E513:E513)=MIN(E513:E513)</f>
        <v>1</v>
      </c>
    </row>
    <row r="514" spans="2:10" ht="11.25">
      <c r="C514" t="s">
        <v>1593</v>
      </c>
      <c r="E514" s="687">
        <f>ROUNDUP(obalBusBEmp2*paramEmp2AttRate,0)</f>
        <v>5</v>
      </c>
      <c r="F514" t="s">
        <v>2570</v>
      </c>
      <c r="G514" t="b">
        <f>MAX(E514:E514)=MIN(E514:E514)</f>
        <v>1</v>
      </c>
    </row>
    <row r="515" spans="2:10" ht="11.25">
      <c r="B515" s="2" t="str">
        <f>DataNameEmp2 &amp; " Ending"</f>
        <v>Technical Ending</v>
      </c>
      <c r="C515" s="2"/>
      <c r="D515" s="2"/>
      <c r="E515" s="2"/>
      <c r="F515" s="2"/>
      <c r="G515" t="b">
        <f>MAX(E515:E515)=MIN(E515:E515)</f>
        <v>1</v>
      </c>
    </row>
    <row r="516" spans="2:10" ht="11.25">
      <c r="B516" s="2"/>
      <c r="C516" t="s">
        <v>4253</v>
      </c>
      <c r="D516" s="2"/>
      <c r="E516" s="21">
        <f>ROUNDUP(MAX(obalBusAEmp2+E507-E513-E510,0),0)</f>
        <v>365</v>
      </c>
      <c r="F516" t="s">
        <v>2888</v>
      </c>
      <c r="G516" t="b">
        <f>MAX(E516:E516)=MIN(E516:E516)</f>
        <v>1</v>
      </c>
    </row>
    <row r="517" spans="2:10" ht="11.25">
      <c r="B517" s="2"/>
      <c r="C517" s="4" t="s">
        <v>4231</v>
      </c>
      <c r="D517" s="2"/>
      <c r="E517" s="21">
        <f>capBusAEmp2End*paramEmp2HoursPYear</f>
        <v>730000</v>
      </c>
      <c r="F517" t="s">
        <v>3771</v>
      </c>
      <c r="G517" t="b">
        <f>MAX(E517:E517)=MIN(E517:E517)</f>
        <v>1</v>
      </c>
    </row>
    <row r="518" spans="2:10" ht="11.25">
      <c r="B518" s="2"/>
      <c r="C518" t="s">
        <v>1593</v>
      </c>
      <c r="D518" s="2"/>
      <c r="E518" s="21">
        <f>ROUNDUP(MAX(obalBusBEmp2+E508-E511-E514,0),0)</f>
        <v>18</v>
      </c>
      <c r="F518" t="s">
        <v>2889</v>
      </c>
      <c r="G518" t="b">
        <f>MAX(E518:E518)=MIN(E518:E518)</f>
        <v>1</v>
      </c>
    </row>
    <row r="519" spans="2:10" ht="11.25">
      <c r="B519" s="2"/>
      <c r="C519" s="4" t="s">
        <v>4231</v>
      </c>
      <c r="D519" s="2"/>
      <c r="E519" s="21">
        <f>capBusBEmp2End*paramEmp2HoursPYear</f>
        <v>36000</v>
      </c>
      <c r="F519" t="s">
        <v>3772</v>
      </c>
      <c r="G519" t="b">
        <f>MAX(E519:E519)=MIN(E519:E519)</f>
        <v>1</v>
      </c>
    </row>
    <row r="520" spans="2:10" ht="11.25">
      <c r="B520" s="2" t="str">
        <f>DataNameEmp2 &amp; " Required"</f>
        <v>Technical Required</v>
      </c>
      <c r="C520" s="2"/>
      <c r="D520" s="2"/>
      <c r="E520" s="2"/>
      <c r="F520" t="s">
        <v>3272</v>
      </c>
      <c r="G520" t="b">
        <f>MAX(E520:E520)=MIN(E520:E520)</f>
        <v>1</v>
      </c>
    </row>
    <row r="521" spans="2:10" ht="11.25">
      <c r="B521" s="2"/>
      <c r="C521" t="s">
        <v>4253</v>
      </c>
      <c r="D521" s="2"/>
      <c r="E521" s="270"/>
      <c r="F521" t="s">
        <v>2890</v>
      </c>
      <c r="G521" t="b">
        <f>MAX(E521:E521)=MIN(E521:E521)</f>
        <v>1</v>
      </c>
    </row>
    <row r="522" spans="2:10" ht="11.25">
      <c r="B522" s="2"/>
      <c r="C522" t="s">
        <v>1593</v>
      </c>
      <c r="D522" s="2"/>
      <c r="E522" s="17"/>
      <c r="F522" t="s">
        <v>2891</v>
      </c>
      <c r="G522" t="b">
        <f>MAX(E522:E522)=MIN(E522:E522)</f>
        <v>1</v>
      </c>
    </row>
    <row r="523" spans="2:10" ht="11.25">
      <c r="B523" s="2" t="str">
        <f>DataNameEmp2&amp;" Utilization"</f>
        <v>Technical Utilization</v>
      </c>
      <c r="C523" s="2"/>
      <c r="D523" s="2"/>
      <c r="E523" s="2"/>
      <c r="F523" t="s">
        <v>4286</v>
      </c>
      <c r="G523" t="b">
        <f>MAX(E523:E523)=MIN(E523:E523)</f>
        <v>1</v>
      </c>
    </row>
    <row r="524" spans="2:10" ht="11.25">
      <c r="C524" t="s">
        <v>4253</v>
      </c>
      <c r="E524" s="271">
        <f>(decBusAEmp2HrsCurrProj+decBusAEmp2HrsCurrProjV2+decBusAEmp2HrsCurrProjV3+decBusAEmp2HrsSales+decBusAEmp2HrsSalesV2+decBusAEmp2HrsSalesV3+capBusAEmp2CompDevTtlHrReq+paramSpecProgramEmp2BusAInitHrsReq)/(paramEmp2HoursPYear*cbalBusAEmp2)</f>
        <v>0.53424657534246578</v>
      </c>
      <c r="F524" t="s">
        <v>2892</v>
      </c>
      <c r="G524" t="b">
        <f>MAX(E524:E524)=MIN(E524:E524)</f>
        <v>1</v>
      </c>
    </row>
    <row r="525" spans="2:10" ht="11.25">
      <c r="C525" t="s">
        <v>1593</v>
      </c>
      <c r="E525" s="271">
        <f>(capBid1Emp2HrsRFQ+capBid2Emp2HrsRFQ+capBid3Emp2HrsRFQ+capBid4Emp2HrsRFQ+capBid5Emp2HrsRFQ+capBid6Emp2HrsRFQ+capBid7Emp2HrsRFQ+capBid8Emp2HrsRFQ+capBid9Emp2HrsRFQ+capBusBEmp2CompDevTtlHrReq+capEmp2BusBGeneralTrainingHrs+paramSpecProgramEmp2BusBInitHrsReq+decEmp2BusBOpsImprove)/(paramEmp2HoursPYear*cbalBusBEmp2)</f>
        <v>0.32111111111111112</v>
      </c>
      <c r="F525" t="s">
        <v>2543</v>
      </c>
      <c r="G525" t="b">
        <f>MAX(E525:E525)=MIN(E525:E525)</f>
        <v>1</v>
      </c>
    </row>
    <row r="526" spans="2:10" ht="11.25">
      <c r="E526" s="271"/>
      <c r="G526" t="b">
        <f>MAX(E526:E526)=MIN(E526:E526)</f>
        <v>1</v>
      </c>
      <c r="I526" t="s">
        <v>1474</v>
      </c>
      <c r="J526" t="s">
        <v>2280</v>
      </c>
    </row>
    <row r="527" spans="2:10" ht="11.25">
      <c r="C527" t="s">
        <v>5160</v>
      </c>
      <c r="E527" s="271">
        <f>(1+capEmp2BusAV3Alloc-$I527)^$J527</f>
        <v>1</v>
      </c>
      <c r="G527" t="b">
        <f>MAX(E527:E527)=MIN(E527:E527)</f>
        <v>1</v>
      </c>
      <c r="I527" s="846">
        <v>6.8493150684931503E-2</v>
      </c>
      <c r="J527" s="1082">
        <v>1</v>
      </c>
    </row>
    <row r="528" spans="2:10" ht="11.25">
      <c r="B528" t="s">
        <v>2010</v>
      </c>
      <c r="E528" s="11">
        <f>(E516*obalEmp2Salary)*E527</f>
        <v>36500000</v>
      </c>
      <c r="F528" t="s">
        <v>3273</v>
      </c>
      <c r="G528" t="b">
        <f>MAX(E528:E528)=MIN(E528:E528)</f>
        <v>1</v>
      </c>
    </row>
    <row r="529" spans="2:7" ht="11.25">
      <c r="B529" t="s">
        <v>1451</v>
      </c>
      <c r="E529" s="11">
        <f>E518*obalEmp2Salary</f>
        <v>1800000</v>
      </c>
      <c r="F529" t="s">
        <v>1375</v>
      </c>
      <c r="G529" t="b">
        <f>MAX(E529:E529)=MIN(E529:E529)</f>
        <v>1</v>
      </c>
    </row>
    <row r="530" spans="2:7" ht="11.25">
      <c r="E530" s="11"/>
      <c r="G530" t="b">
        <f>MAX(E530:E530)=MIN(E530:E530)</f>
        <v>1</v>
      </c>
    </row>
    <row r="531" spans="2:7" ht="11.25">
      <c r="B531" s="2" t="str">
        <f>DataNameEmp2 &amp; " Total Expense"</f>
        <v>Technical Total Expense</v>
      </c>
      <c r="C531" s="2"/>
      <c r="D531" s="2"/>
      <c r="E531" s="13">
        <f>SUM(E528:E530)</f>
        <v>38300000</v>
      </c>
      <c r="F531" t="s">
        <v>2070</v>
      </c>
      <c r="G531" t="b">
        <f>MAX(E531:E531)=MIN(E531:E531)</f>
        <v>1</v>
      </c>
    </row>
    <row r="532" spans="2:7" ht="11.25">
      <c r="B532" s="2"/>
      <c r="G532" t="b">
        <f>MAX(E532:E532)=MIN(E532:E532)</f>
        <v>1</v>
      </c>
    </row>
    <row r="533" spans="2:7" ht="11.25">
      <c r="B533" t="str">
        <f>DataNameEmp2&amp;" Recruitment/Dismissal Costs"</f>
        <v>Technical Recruitment/Dismissal Costs</v>
      </c>
      <c r="G533" t="b">
        <f>MAX(E533:E533)=MIN(E533:E533)</f>
        <v>1</v>
      </c>
    </row>
    <row r="534" spans="2:7" ht="11.25">
      <c r="D534" t="s">
        <v>3293</v>
      </c>
      <c r="E534" s="88">
        <f>ABS(paramEmp2RecDismCost*obalEmp2Salary*(E510+decEmp2BusAHire))</f>
        <v>11950000</v>
      </c>
      <c r="F534" t="s">
        <v>4345</v>
      </c>
      <c r="G534" t="b">
        <f>MAX(E534:E534)=MIN(E534:E534)</f>
        <v>1</v>
      </c>
    </row>
    <row r="535" spans="2:7" ht="11.25">
      <c r="D535" t="s">
        <v>635</v>
      </c>
      <c r="E535" s="383">
        <f>ABS(paramEmp2RecDismCost*obalEmp2Salary*(ABS(decEmp2BusBDismiss)+decEmp2BusBHire))</f>
        <v>0</v>
      </c>
      <c r="F535" t="s">
        <v>4346</v>
      </c>
      <c r="G535" t="b">
        <f>MAX(E535:E535)=MIN(E535:E535)</f>
        <v>1</v>
      </c>
    </row>
    <row r="536" spans="2:7" ht="11.25">
      <c r="E536" s="14">
        <f>SUM(E534:E535)</f>
        <v>11950000</v>
      </c>
      <c r="F536" t="s">
        <v>4398</v>
      </c>
      <c r="G536" t="b">
        <f>MAX(E536:E536)=MIN(E536:E536)</f>
        <v>1</v>
      </c>
    </row>
    <row r="537" spans="2:7" ht="11.25">
      <c r="B537" t="str">
        <f>DataNameEmp2&amp;" Admin Cost"</f>
        <v>Technical Admin Cost</v>
      </c>
      <c r="E537" s="14"/>
      <c r="G537" t="b">
        <f>MAX(E537:E537)=MIN(E537:E537)</f>
        <v>1</v>
      </c>
    </row>
    <row r="538" spans="2:7" ht="11.25">
      <c r="D538" t="s">
        <v>3293</v>
      </c>
      <c r="E538" s="124">
        <f>capBusAEmp2BaseExp*paramEmp2AdminCostPct</f>
        <v>1825000</v>
      </c>
      <c r="F538" t="s">
        <v>4347</v>
      </c>
      <c r="G538" t="b">
        <f>MAX(E538:E538)=MIN(E538:E538)</f>
        <v>1</v>
      </c>
    </row>
    <row r="539" spans="2:7" ht="11.25">
      <c r="D539" t="s">
        <v>635</v>
      </c>
      <c r="E539" s="384">
        <f>capBusBEmp2BaseExp*paramEmp2AdminCostPct</f>
        <v>90000</v>
      </c>
      <c r="F539" t="s">
        <v>4348</v>
      </c>
      <c r="G539" t="b">
        <f>MAX(E539:E539)=MIN(E539:E539)</f>
        <v>1</v>
      </c>
    </row>
    <row r="540" spans="2:7" ht="11.25">
      <c r="E540" s="14">
        <f>SUM(E538:E539)</f>
        <v>1915000</v>
      </c>
      <c r="F540" t="s">
        <v>4397</v>
      </c>
      <c r="G540" t="b">
        <f>MAX(E540:E540)=MIN(E540:E540)</f>
        <v>1</v>
      </c>
    </row>
    <row r="541" spans="2:7" ht="11.25">
      <c r="G541" t="b">
        <f>MAX(E541:E541)=MIN(E541:E541)</f>
        <v>1</v>
      </c>
    </row>
    <row r="542" spans="2:7" ht="11.25">
      <c r="B542" s="2" t="s">
        <v>4554</v>
      </c>
      <c r="E542" s="539"/>
      <c r="G542" t="b">
        <f>MAX(E542:E542)=MIN(E542:E542)</f>
        <v>1</v>
      </c>
    </row>
    <row r="543" spans="2:7" ht="11.25">
      <c r="B543" t="s">
        <v>817</v>
      </c>
      <c r="E543" s="271">
        <f>decBusAEmp2HrsCurrProj/capBusAEmp2EndHrsAvailable</f>
        <v>0.23972602739726026</v>
      </c>
      <c r="F543" t="s">
        <v>688</v>
      </c>
      <c r="G543" t="b">
        <f>MAX(E543:E543)=MIN(E543:E543)</f>
        <v>1</v>
      </c>
    </row>
    <row r="544" spans="2:7" ht="11.25">
      <c r="B544" t="s">
        <v>818</v>
      </c>
      <c r="E544" s="271">
        <f>decBusAEmp2HrsCurrProjV2/capBusAEmp2EndHrsAvailable</f>
        <v>0.22602739726027396</v>
      </c>
      <c r="F544" t="s">
        <v>689</v>
      </c>
      <c r="G544" t="b">
        <f>MAX(E544:E544)=MIN(E544:E544)</f>
        <v>1</v>
      </c>
    </row>
    <row r="545" spans="2:7" ht="11.25">
      <c r="B545" t="s">
        <v>819</v>
      </c>
      <c r="E545" s="271">
        <f>decBusAEmp2HrsCurrProjV3/capBusAEmp2EndHrsAvailable</f>
        <v>6.8493150684931503E-2</v>
      </c>
      <c r="F545" t="s">
        <v>3465</v>
      </c>
      <c r="G545" t="b">
        <f>MAX(E545:E545)=MIN(E545:E545)</f>
        <v>1</v>
      </c>
    </row>
    <row r="546" spans="2:7" ht="11.25">
      <c r="B546" t="s">
        <v>527</v>
      </c>
      <c r="E546" s="271">
        <f>decBusAEmp2HrsSales/capBusAEmp2EndHrsAvailable</f>
        <v>0</v>
      </c>
      <c r="F546" t="s">
        <v>3773</v>
      </c>
      <c r="G546" t="b">
        <f>MAX(E546:E546)=MIN(E546:E546)</f>
        <v>1</v>
      </c>
    </row>
    <row r="547" spans="2:7" ht="11.25">
      <c r="B547" t="s">
        <v>528</v>
      </c>
      <c r="E547" s="271">
        <f>decBusAEmp2HrsSalesV2/capBusAEmp2EndHrsAvailable</f>
        <v>0</v>
      </c>
      <c r="F547" t="s">
        <v>3774</v>
      </c>
      <c r="G547" t="b">
        <f>MAX(E547:E547)=MIN(E547:E547)</f>
        <v>1</v>
      </c>
    </row>
    <row r="548" spans="2:7" ht="11.25">
      <c r="B548" t="s">
        <v>529</v>
      </c>
      <c r="E548" s="271">
        <f>decBusAEmp2HrsSalesV3/capBusAEmp2EndHrsAvailable</f>
        <v>0</v>
      </c>
      <c r="F548" t="s">
        <v>3775</v>
      </c>
      <c r="G548" t="b">
        <f>MAX(E548:E548)=MIN(E548:E548)</f>
        <v>1</v>
      </c>
    </row>
    <row r="549" spans="2:7" ht="11.25">
      <c r="B549" t="s">
        <v>1799</v>
      </c>
      <c r="E549" s="271">
        <f>capBusAEmp2CompDevTtlHrReq/capBusAEmp2EndHrsAvailable</f>
        <v>0</v>
      </c>
      <c r="F549" t="s">
        <v>3955</v>
      </c>
      <c r="G549" t="b">
        <f>MAX(E549:E549)=MIN(E549:E549)</f>
        <v>1</v>
      </c>
    </row>
    <row r="550" spans="2:7" ht="11.25">
      <c r="B550" t="s">
        <v>2284</v>
      </c>
      <c r="E550" s="271">
        <f>capEmp2BusAGeneralTrainingHrs/capBusAEmp2EndHrsAvailable</f>
        <v>0.06</v>
      </c>
      <c r="F550" t="s">
        <v>3956</v>
      </c>
      <c r="G550" t="b">
        <f>MAX(E550:E550)=MIN(E550:E550)</f>
        <v>1</v>
      </c>
    </row>
    <row r="551" spans="2:7" ht="11.25">
      <c r="B551" t="s">
        <v>4522</v>
      </c>
      <c r="E551" s="271">
        <f>paramSpecProgramEmp2BusAInitHrsReq/capBusAEmp2EndHrsAvailable</f>
        <v>0</v>
      </c>
      <c r="F551" t="s">
        <v>141</v>
      </c>
      <c r="G551" t="b">
        <f>MAX(E551:E551)=MIN(E551:E551)</f>
        <v>1</v>
      </c>
    </row>
    <row r="552" spans="2:7" ht="11.25">
      <c r="B552" t="s">
        <v>4550</v>
      </c>
      <c r="E552" s="271">
        <f>1-capBusAEmp2Utiliz</f>
        <v>0.46575342465753422</v>
      </c>
      <c r="F552" t="s">
        <v>1957</v>
      </c>
      <c r="G552" t="b">
        <f>MAX(E552:E552)=MIN(E552:E552)</f>
        <v>1</v>
      </c>
    </row>
    <row r="553" spans="2:7" ht="11.25">
      <c r="B553" s="2" t="s">
        <v>4030</v>
      </c>
      <c r="G553" t="b">
        <f>MAX(E553:E553)=MIN(E553:E553)</f>
        <v>1</v>
      </c>
    </row>
    <row r="554" spans="2:7" ht="11.25">
      <c r="B554" t="s">
        <v>4265</v>
      </c>
      <c r="E554" s="271">
        <f>(capBid1Emp2HrsRFQ+capBid2Emp2HrsRFQ+capBid3Emp2HrsRFQ)/capBusBEmp2EndHrsAvailable</f>
        <v>6.1111111111111109E-2</v>
      </c>
      <c r="F554" t="s">
        <v>3254</v>
      </c>
      <c r="G554" t="b">
        <f>MAX(E554:E554)=MIN(E554:E554)</f>
        <v>1</v>
      </c>
    </row>
    <row r="555" spans="2:7" ht="11.25">
      <c r="B555" t="s">
        <v>1594</v>
      </c>
      <c r="E555" s="271">
        <f>(capBid4Emp2HrsRFQ+capBid5Emp2HrsRFQ+capBid6Emp2HrsRFQ)/capBusBEmp2EndHrsAvailable</f>
        <v>0</v>
      </c>
      <c r="F555" t="s">
        <v>3255</v>
      </c>
      <c r="G555" t="b">
        <f>MAX(E555:E555)=MIN(E555:E555)</f>
        <v>1</v>
      </c>
    </row>
    <row r="556" spans="2:7" ht="11.25">
      <c r="B556" t="s">
        <v>1595</v>
      </c>
      <c r="E556" s="271">
        <f>(capBid7Emp2HrsRFQ+capBid8Emp2HrsRFQ+capBid9Emp2HrsRFQ)/capBusBEmp2EndHrsAvailable</f>
        <v>0</v>
      </c>
      <c r="F556" t="s">
        <v>3256</v>
      </c>
      <c r="G556" t="b">
        <f>MAX(E556:E556)=MIN(E556:E556)</f>
        <v>1</v>
      </c>
    </row>
    <row r="557" spans="2:7" ht="11.25">
      <c r="B557" t="s">
        <v>4268</v>
      </c>
      <c r="E557" s="271">
        <f>(decEmp2BusBOpsImprove)/capBusBEmp2EndHrsAvailable</f>
        <v>0.2</v>
      </c>
      <c r="F557" t="s">
        <v>3957</v>
      </c>
      <c r="G557" t="b">
        <f>MAX(E557:E557)=MIN(E557:E557)</f>
        <v>1</v>
      </c>
    </row>
    <row r="558" spans="2:7" ht="11.25">
      <c r="B558" t="s">
        <v>3585</v>
      </c>
      <c r="E558" s="271">
        <f>(capBusBEmp2CompDevTtlHrReq)/capBusBEmp2EndHrsAvailable</f>
        <v>0</v>
      </c>
      <c r="F558" t="s">
        <v>2391</v>
      </c>
      <c r="G558" t="b">
        <f>MAX(E558:E558)=MIN(E558:E558)</f>
        <v>1</v>
      </c>
    </row>
    <row r="559" spans="2:7" ht="11.25">
      <c r="B559" t="s">
        <v>2284</v>
      </c>
      <c r="E559" s="271">
        <f>(capEmp2BusBGeneralTrainingHrs)/capBusBEmp2EndHrsAvailable</f>
        <v>0.06</v>
      </c>
      <c r="F559" t="s">
        <v>3507</v>
      </c>
      <c r="G559" t="b">
        <f>MAX(E559:E559)=MIN(E559:E559)</f>
        <v>1</v>
      </c>
    </row>
    <row r="560" spans="2:7" ht="11.25">
      <c r="B560" t="s">
        <v>4522</v>
      </c>
      <c r="E560" s="271">
        <f>paramSpecProgramEmp2BusBInitHrsReq/capBusBEmp2EndHrsAvailable</f>
        <v>0</v>
      </c>
      <c r="F560" t="s">
        <v>144</v>
      </c>
      <c r="G560" t="b">
        <f>MAX(E560:E560)=MIN(E560:E560)</f>
        <v>1</v>
      </c>
    </row>
    <row r="561" spans="1:7" ht="11.25">
      <c r="B561" t="s">
        <v>110</v>
      </c>
      <c r="E561" s="271">
        <f>1-capBusBEmp2Utiliz</f>
        <v>0.67888888888888888</v>
      </c>
      <c r="F561" t="s">
        <v>1960</v>
      </c>
      <c r="G561" t="b">
        <f>MAX(E561:E561)=MIN(E561:E561)</f>
        <v>1</v>
      </c>
    </row>
    <row r="562" spans="1:7" ht="11.25">
      <c r="E562" s="271"/>
      <c r="G562" t="b">
        <f>MAX(E562:E562)=MIN(E562:E562)</f>
        <v>1</v>
      </c>
    </row>
    <row r="563" spans="1:7" ht="3" customHeight="1">
      <c r="B563" s="70"/>
      <c r="C563" s="70"/>
      <c r="D563" s="70"/>
      <c r="E563" s="70"/>
      <c r="G563" t="b">
        <f>MAX(E563:E563)=MIN(E563:E563)</f>
        <v>1</v>
      </c>
    </row>
    <row r="564" spans="1:7" ht="11.25">
      <c r="F564">
        <f>0.15+0.24+0.095</f>
        <v>0.48499999999999999</v>
      </c>
      <c r="G564" t="b">
        <f>MAX(E564:E564)=MIN(E564:E564)</f>
        <v>1</v>
      </c>
    </row>
    <row r="565" spans="1:7" ht="11.25">
      <c r="B565" s="2" t="s">
        <v>3315</v>
      </c>
      <c r="G565" t="b">
        <f>MAX(E565:E565)=MIN(E565:E565)</f>
        <v>1</v>
      </c>
    </row>
    <row r="566" spans="1:7" ht="11.25">
      <c r="B566" t="s">
        <v>1069</v>
      </c>
      <c r="E566" s="88">
        <f t="shared" ref="E566:E571" si="12">E543*capBusAEmp2BaseExp</f>
        <v>8750000</v>
      </c>
      <c r="F566" t="s">
        <v>2726</v>
      </c>
      <c r="G566" t="b">
        <f>MAX(E566:E566)=MIN(E566:E566)</f>
        <v>1</v>
      </c>
    </row>
    <row r="567" spans="1:7" ht="11.25">
      <c r="B567" t="s">
        <v>1070</v>
      </c>
      <c r="E567" s="88">
        <f t="shared" si="12"/>
        <v>8250000</v>
      </c>
      <c r="F567" t="s">
        <v>2537</v>
      </c>
      <c r="G567" t="b">
        <f>MAX(E567:E567)=MIN(E567:E567)</f>
        <v>1</v>
      </c>
    </row>
    <row r="568" spans="1:7" ht="11.25">
      <c r="A568" t="s">
        <v>3797</v>
      </c>
      <c r="B568" t="s">
        <v>1071</v>
      </c>
      <c r="E568" s="88">
        <f>E545*capBusAEmp2BaseExp</f>
        <v>2500000</v>
      </c>
      <c r="F568" t="s">
        <v>3257</v>
      </c>
      <c r="G568" t="b">
        <f>MAX(E568:E568)=MIN(E568:E568)</f>
        <v>1</v>
      </c>
    </row>
    <row r="569" spans="1:7" ht="11.25">
      <c r="B569" t="s">
        <v>530</v>
      </c>
      <c r="E569" s="11">
        <f t="shared" si="12"/>
        <v>0</v>
      </c>
      <c r="F569" t="s">
        <v>2485</v>
      </c>
      <c r="G569" t="b">
        <f>MAX(E569:E569)=MIN(E569:E569)</f>
        <v>1</v>
      </c>
    </row>
    <row r="570" spans="1:7" ht="11.25">
      <c r="B570" t="s">
        <v>531</v>
      </c>
      <c r="E570" s="11">
        <f t="shared" si="12"/>
        <v>0</v>
      </c>
      <c r="F570" t="s">
        <v>2486</v>
      </c>
      <c r="G570" t="b">
        <f>MAX(E570:E570)=MIN(E570:E570)</f>
        <v>1</v>
      </c>
    </row>
    <row r="571" spans="1:7" ht="11.25">
      <c r="B571" t="s">
        <v>532</v>
      </c>
      <c r="E571" s="11">
        <f t="shared" si="12"/>
        <v>0</v>
      </c>
      <c r="F571" t="s">
        <v>2487</v>
      </c>
      <c r="G571" t="b">
        <f>MAX(E571:E571)=MIN(E571:E571)</f>
        <v>1</v>
      </c>
    </row>
    <row r="572" spans="1:7" ht="11.25">
      <c r="B572" t="s">
        <v>533</v>
      </c>
      <c r="E572" s="11">
        <f t="shared" ref="E572:E575" si="13">E549*capBusAEmp2BaseExp</f>
        <v>0</v>
      </c>
      <c r="F572" t="s">
        <v>3284</v>
      </c>
      <c r="G572" t="b">
        <f>MAX(E572:E572)=MIN(E572:E572)</f>
        <v>1</v>
      </c>
    </row>
    <row r="573" spans="1:7" ht="11.25">
      <c r="B573" t="s">
        <v>1585</v>
      </c>
      <c r="E573" s="11">
        <f t="shared" si="13"/>
        <v>2190000</v>
      </c>
      <c r="F573" t="s">
        <v>2277</v>
      </c>
      <c r="G573" t="b">
        <f>MAX(E573:E573)=MIN(E573:E573)</f>
        <v>1</v>
      </c>
    </row>
    <row r="574" spans="1:7" ht="11.25">
      <c r="B574" t="s">
        <v>4522</v>
      </c>
      <c r="E574" s="11">
        <f t="shared" si="13"/>
        <v>0</v>
      </c>
      <c r="F574" t="s">
        <v>974</v>
      </c>
      <c r="G574" t="b">
        <f>MAX(E574:E574)=MIN(E574:E574)</f>
        <v>1</v>
      </c>
    </row>
    <row r="575" spans="1:7" ht="11.25">
      <c r="B575" t="s">
        <v>4235</v>
      </c>
      <c r="E575" s="11">
        <f t="shared" si="13"/>
        <v>17000000</v>
      </c>
      <c r="F575" t="s">
        <v>3258</v>
      </c>
      <c r="G575" t="b">
        <f>MAX(E575:E575)=MIN(E575:E575)</f>
        <v>1</v>
      </c>
    </row>
    <row r="576" spans="1:7" ht="11.25">
      <c r="B576" s="2" t="s">
        <v>1072</v>
      </c>
      <c r="E576" s="11"/>
      <c r="G576" t="b">
        <f>MAX(E576:E576)=MIN(E576:E576)</f>
        <v>1</v>
      </c>
    </row>
    <row r="577" spans="1:7" ht="11.25">
      <c r="B577" t="s">
        <v>1073</v>
      </c>
      <c r="E577" s="11">
        <f t="shared" ref="E577:E583" si="14">E554*capBusBEmp2BaseExp</f>
        <v>110000</v>
      </c>
      <c r="F577" t="s">
        <v>3259</v>
      </c>
      <c r="G577" t="b">
        <f>MAX(E577:E577)=MIN(E577:E577)</f>
        <v>1</v>
      </c>
    </row>
    <row r="578" spans="1:7" ht="11.25">
      <c r="B578" t="s">
        <v>1074</v>
      </c>
      <c r="E578" s="11">
        <f t="shared" si="14"/>
        <v>0</v>
      </c>
      <c r="F578" t="s">
        <v>4233</v>
      </c>
      <c r="G578" t="b">
        <f>MAX(E578:E578)=MIN(E578:E578)</f>
        <v>1</v>
      </c>
    </row>
    <row r="579" spans="1:7" ht="11.25">
      <c r="B579" t="s">
        <v>1109</v>
      </c>
      <c r="E579" s="11">
        <f t="shared" si="14"/>
        <v>0</v>
      </c>
      <c r="F579" t="s">
        <v>4338</v>
      </c>
      <c r="G579" t="b">
        <f>MAX(E579:E579)=MIN(E579:E579)</f>
        <v>1</v>
      </c>
    </row>
    <row r="580" spans="1:7" ht="11.25">
      <c r="B580" t="s">
        <v>4268</v>
      </c>
      <c r="E580" s="11">
        <f t="shared" si="14"/>
        <v>360000</v>
      </c>
      <c r="F580" t="s">
        <v>851</v>
      </c>
      <c r="G580" t="b">
        <f>MAX(E580:E580)=MIN(E580:E580)</f>
        <v>1</v>
      </c>
    </row>
    <row r="581" spans="1:7" ht="11.25">
      <c r="B581" t="s">
        <v>3585</v>
      </c>
      <c r="E581" s="11">
        <f t="shared" si="14"/>
        <v>0</v>
      </c>
      <c r="F581" t="s">
        <v>852</v>
      </c>
      <c r="G581" t="b">
        <f>MAX(E581:E581)=MIN(E581:E581)</f>
        <v>1</v>
      </c>
    </row>
    <row r="582" spans="1:7" ht="11.25">
      <c r="B582" t="s">
        <v>2284</v>
      </c>
      <c r="E582" s="11">
        <f t="shared" si="14"/>
        <v>108000</v>
      </c>
      <c r="F582" t="s">
        <v>816</v>
      </c>
      <c r="G582" t="b">
        <f>MAX(E582:E582)=MIN(E582:E582)</f>
        <v>1</v>
      </c>
    </row>
    <row r="583" spans="1:7" ht="11.25">
      <c r="B583" t="s">
        <v>4522</v>
      </c>
      <c r="E583" s="11">
        <f t="shared" si="14"/>
        <v>0</v>
      </c>
      <c r="F583" t="s">
        <v>975</v>
      </c>
      <c r="G583" t="b">
        <f>MAX(E583:E583)=MIN(E583:E583)</f>
        <v>1</v>
      </c>
    </row>
    <row r="584" spans="1:7" ht="11.25">
      <c r="B584" t="s">
        <v>4517</v>
      </c>
      <c r="E584" s="11">
        <f>MAX(0,E561*capBusBEmp2BaseExp)</f>
        <v>1222000</v>
      </c>
      <c r="F584" t="s">
        <v>2009</v>
      </c>
      <c r="G584" t="b">
        <f>MAX(E584:E584)=MIN(E584:E584)</f>
        <v>1</v>
      </c>
    </row>
    <row r="585" spans="1:7" ht="11.25">
      <c r="G585" t="b">
        <f>MAX(E585:E585)=MIN(E585:E585)</f>
        <v>1</v>
      </c>
    </row>
    <row r="586" spans="1:7" ht="11.25">
      <c r="A586" s="140" t="str">
        <f>DataNameEmp3 &amp; " Required"</f>
        <v>PM / Analyst Required</v>
      </c>
      <c r="B586" s="140"/>
      <c r="C586" s="140"/>
      <c r="D586" s="140"/>
      <c r="E586" s="140"/>
      <c r="G586" t="b">
        <f>MAX(E586:E586)=MIN(E586:E586)</f>
        <v>1</v>
      </c>
    </row>
    <row r="587" spans="1:7" ht="11.25">
      <c r="G587" t="b">
        <f>MAX(E587:E587)=MIN(E587:E587)</f>
        <v>1</v>
      </c>
    </row>
    <row r="588" spans="1:7" ht="11.25">
      <c r="B588" s="2" t="str">
        <f>DataNameEmp3 &amp; " Recruited"</f>
        <v>PM / Analyst Recruited</v>
      </c>
      <c r="C588" s="2"/>
      <c r="D588" s="2"/>
      <c r="E588" s="2"/>
      <c r="G588" t="b">
        <f>MAX(E588:E588)=MIN(E588:E588)</f>
        <v>1</v>
      </c>
    </row>
    <row r="589" spans="1:7" ht="11.25">
      <c r="C589" t="s">
        <v>4253</v>
      </c>
      <c r="E589" s="11">
        <f>obalBusAEmp3Recruited</f>
        <v>0</v>
      </c>
      <c r="G589" t="b">
        <f>MAX(E589:E589)=MIN(E589:E589)</f>
        <v>1</v>
      </c>
    </row>
    <row r="590" spans="1:7" ht="11.25">
      <c r="C590" t="s">
        <v>1593</v>
      </c>
      <c r="E590" s="11">
        <f>obalBusBEmp3Recruited</f>
        <v>0</v>
      </c>
      <c r="G590" t="b">
        <f>MAX(E590:E590)=MIN(E590:E590)</f>
        <v>1</v>
      </c>
    </row>
    <row r="591" spans="1:7" ht="11.25">
      <c r="B591" s="2" t="str">
        <f>DataNameEmp3&amp;" Dismissed"</f>
        <v>PM / Analyst Dismissed</v>
      </c>
      <c r="C591" s="2"/>
      <c r="D591" s="2"/>
      <c r="E591" s="13">
        <f>-MIN(0,capEmp3Change+0)</f>
        <v>0</v>
      </c>
      <c r="G591" t="b">
        <f>MAX(E591:E591)=MIN(E591:E591)</f>
        <v>1</v>
      </c>
    </row>
    <row r="592" spans="1:7" ht="11.25">
      <c r="C592" t="s">
        <v>4253</v>
      </c>
      <c r="E592" s="1076">
        <f>ROUNDUP(IF(decEmp3BusADismiss="Very Low",2%,IF(decEmp3BusADismiss="Low",5%,IF(decEmp3BusADismiss="Average",7%,IF(decEmp3BusADismiss="High",10%,IF(decEmp3BusADismiss="Very High",13%,0)))))*obalBusAEmp3,0)</f>
        <v>22</v>
      </c>
      <c r="G592" t="b">
        <f>MAX(E592:E592)=MIN(E592:E592)</f>
        <v>1</v>
      </c>
    </row>
    <row r="593" spans="2:7" ht="11.25">
      <c r="C593" t="s">
        <v>1593</v>
      </c>
      <c r="E593" s="13">
        <f>ABS(decEmp3BusBDismiss)</f>
        <v>0</v>
      </c>
      <c r="G593" t="b">
        <f>MAX(E593:E593)=MIN(E593:E593)</f>
        <v>1</v>
      </c>
    </row>
    <row r="594" spans="2:7" ht="11.25">
      <c r="B594" s="2" t="str">
        <f>DataNameEmp3&amp;" Attrition"</f>
        <v>PM / Analyst Attrition</v>
      </c>
      <c r="C594" s="2"/>
      <c r="D594" s="2"/>
      <c r="E594" s="2"/>
      <c r="F594" t="s">
        <v>4287</v>
      </c>
      <c r="G594" t="b">
        <f>MAX(E594:E594)=MIN(E594:E594)</f>
        <v>1</v>
      </c>
    </row>
    <row r="595" spans="2:7" ht="11.25">
      <c r="C595" t="s">
        <v>4253</v>
      </c>
      <c r="E595" s="687">
        <f>ROUNDUP(obalBusAEmp3*paramEmp3AttRate,0)</f>
        <v>47</v>
      </c>
      <c r="F595" t="s">
        <v>194</v>
      </c>
      <c r="G595" t="b">
        <f>MAX(E595:E595)=MIN(E595:E595)</f>
        <v>1</v>
      </c>
    </row>
    <row r="596" spans="2:7" ht="11.25">
      <c r="C596" t="s">
        <v>1593</v>
      </c>
      <c r="E596" s="687">
        <f>ROUNDUP(obalBusBEmp3*paramEmp3AttRate,0)</f>
        <v>4</v>
      </c>
      <c r="F596" t="s">
        <v>195</v>
      </c>
      <c r="G596" t="b">
        <f>MAX(E596:E596)=MIN(E596:E596)</f>
        <v>1</v>
      </c>
    </row>
    <row r="597" spans="2:7" ht="11.25">
      <c r="B597" s="2" t="str">
        <f>DataNameEmp3 &amp; " Ending"</f>
        <v>PM / Analyst Ending</v>
      </c>
      <c r="C597" s="2"/>
      <c r="D597" s="2"/>
      <c r="E597" s="2"/>
      <c r="F597" s="2"/>
      <c r="G597" t="b">
        <f>MAX(E597:E597)=MIN(E597:E597)</f>
        <v>1</v>
      </c>
    </row>
    <row r="598" spans="2:7" ht="11.25">
      <c r="B598" s="2"/>
      <c r="C598" t="s">
        <v>4253</v>
      </c>
      <c r="D598" s="2"/>
      <c r="E598" s="21">
        <f>ROUNDUP(MAX(obalBusAEmp3+E589-E595-E592,0),0)</f>
        <v>244</v>
      </c>
      <c r="F598" t="s">
        <v>2571</v>
      </c>
      <c r="G598" t="b">
        <f>MAX(E598:E598)=MIN(E598:E598)</f>
        <v>1</v>
      </c>
    </row>
    <row r="599" spans="2:7" ht="11.25">
      <c r="B599" s="2"/>
      <c r="C599" s="4" t="s">
        <v>4231</v>
      </c>
      <c r="D599" s="2"/>
      <c r="E599" s="21">
        <f>capBusAEmp3End*paramEmp3HoursPYear</f>
        <v>488000</v>
      </c>
      <c r="F599" t="s">
        <v>483</v>
      </c>
      <c r="G599" t="b">
        <f>MAX(E599:E599)=MIN(E599:E599)</f>
        <v>1</v>
      </c>
    </row>
    <row r="600" spans="2:7" ht="11.25">
      <c r="B600" s="2"/>
      <c r="C600" t="s">
        <v>1593</v>
      </c>
      <c r="D600" s="2"/>
      <c r="E600" s="21">
        <f>ROUNDUP(MAX(obalBusBEmp3+E590-E593-E596,0),0)</f>
        <v>18</v>
      </c>
      <c r="F600" t="s">
        <v>3815</v>
      </c>
      <c r="G600" t="b">
        <f>MAX(E600:E600)=MIN(E600:E600)</f>
        <v>1</v>
      </c>
    </row>
    <row r="601" spans="2:7" ht="11.25">
      <c r="B601" s="2"/>
      <c r="C601" s="4" t="s">
        <v>4231</v>
      </c>
      <c r="D601" s="2"/>
      <c r="E601" s="21">
        <f>capBusBEmp3End*paramEmp3HoursPYear</f>
        <v>36000</v>
      </c>
      <c r="F601" t="s">
        <v>4460</v>
      </c>
      <c r="G601" t="b">
        <f>MAX(E601:E601)=MIN(E601:E601)</f>
        <v>1</v>
      </c>
    </row>
    <row r="602" spans="2:7" ht="11.25">
      <c r="B602" s="2" t="str">
        <f>DataNameEmp3 &amp; " Required"</f>
        <v>PM / Analyst Required</v>
      </c>
      <c r="C602" s="2"/>
      <c r="D602" s="2"/>
      <c r="E602" s="2"/>
      <c r="F602" t="s">
        <v>1110</v>
      </c>
      <c r="G602" t="b">
        <f>MAX(E602:E602)=MIN(E602:E602)</f>
        <v>1</v>
      </c>
    </row>
    <row r="603" spans="2:7" ht="11.25">
      <c r="B603" s="2"/>
      <c r="C603" t="s">
        <v>4253</v>
      </c>
      <c r="D603" s="2"/>
      <c r="E603" s="270"/>
      <c r="F603" t="s">
        <v>1626</v>
      </c>
      <c r="G603" t="b">
        <f>MAX(E603:E603)=MIN(E603:E603)</f>
        <v>1</v>
      </c>
    </row>
    <row r="604" spans="2:7" ht="11.25">
      <c r="B604" s="2"/>
      <c r="C604" t="s">
        <v>1593</v>
      </c>
      <c r="D604" s="2"/>
      <c r="E604" s="17"/>
      <c r="F604" t="s">
        <v>1627</v>
      </c>
      <c r="G604" t="b">
        <f>MAX(E604:E604)=MIN(E604:E604)</f>
        <v>1</v>
      </c>
    </row>
    <row r="605" spans="2:7" ht="11.25">
      <c r="B605" s="2" t="str">
        <f>DataNameEmp3&amp;" Utilization"</f>
        <v>PM / Analyst Utilization</v>
      </c>
      <c r="C605" s="2"/>
      <c r="D605" s="2"/>
      <c r="E605" s="2"/>
      <c r="F605" t="s">
        <v>4288</v>
      </c>
      <c r="G605" t="b">
        <f>MAX(E605:E605)=MIN(E605:E605)</f>
        <v>1</v>
      </c>
    </row>
    <row r="606" spans="2:7" ht="11.25">
      <c r="C606" t="s">
        <v>4253</v>
      </c>
      <c r="E606" s="271">
        <f>(decBusAEmp3HrsCurrProj+decBusAEmp3HrsCurrProjV2+decBusAEmp3HrsCurrProjV3+capBusAEmp3HrsSales+capBusAEmp3HrsSalesV2+capBusAEmp3HrsSalesV3+capBusAEmp3CompDevTtlHrReq+paramSpecProgramEmp3BusAInitHrsReq)/(paramEmp3HoursPYear*cbalBusAEmp3)</f>
        <v>0.54145901639344263</v>
      </c>
      <c r="F606" t="s">
        <v>1628</v>
      </c>
      <c r="G606" t="b">
        <f>MAX(E606:E606)=MIN(E606:E606)</f>
        <v>1</v>
      </c>
    </row>
    <row r="607" spans="2:7" ht="11.25">
      <c r="C607" t="s">
        <v>1593</v>
      </c>
      <c r="E607" s="271">
        <f>(capBid1Emp3HrsRFQ+capBid2Emp3HrsRFQ+capBid3Emp3HrsRFQ+capBid4Emp3HrsRFQ+capBid5Emp3HrsRFQ+capBid6Emp3HrsRFQ+capBid7Emp3HrsRFQ+capBid8Emp3HrsRFQ+capBid9Emp3HrsRFQ+capBusBEmp3CompDevTtlHrReq+capEmp3BusBGeneralTrainingHrs+paramSpecProgramEmp3BusBInitHrsReq+decEmp3BusBOpsImprove)/(paramEmp3HoursPYear*cbalBusBEmp3)</f>
        <v>0.23499999999999999</v>
      </c>
      <c r="F607" t="s">
        <v>1629</v>
      </c>
      <c r="G607" t="b">
        <f>MAX(E607:E607)=MIN(E607:E607)</f>
        <v>1</v>
      </c>
    </row>
    <row r="608" spans="2:7" ht="11.25">
      <c r="B608" t="s">
        <v>1016</v>
      </c>
      <c r="E608" s="11">
        <f>E598*obalEmp3Salary</f>
        <v>36600000</v>
      </c>
      <c r="F608" t="s">
        <v>1111</v>
      </c>
      <c r="G608" t="b">
        <f>MAX(E608:E608)=MIN(E608:E608)</f>
        <v>1</v>
      </c>
    </row>
    <row r="609" spans="2:7" ht="11.25">
      <c r="B609" t="s">
        <v>1017</v>
      </c>
      <c r="E609" s="11">
        <f>E600*obalEmp3Salary</f>
        <v>2700000</v>
      </c>
      <c r="F609" t="s">
        <v>1112</v>
      </c>
      <c r="G609" t="b">
        <f>MAX(E609:E609)=MIN(E609:E609)</f>
        <v>1</v>
      </c>
    </row>
    <row r="610" spans="2:7" ht="11.25">
      <c r="E610" s="11"/>
      <c r="G610" t="b">
        <f>MAX(E610:E610)=MIN(E610:E610)</f>
        <v>1</v>
      </c>
    </row>
    <row r="611" spans="2:7" ht="11.25">
      <c r="B611" s="2" t="str">
        <f>DataNameEmp3 &amp; " Total Expense"</f>
        <v>PM / Analyst Total Expense</v>
      </c>
      <c r="C611" s="2"/>
      <c r="D611" s="2"/>
      <c r="E611" s="13">
        <f>SUM(E608:E610)</f>
        <v>39300000</v>
      </c>
      <c r="F611" t="s">
        <v>1760</v>
      </c>
      <c r="G611" t="b">
        <f>MAX(E611:E611)=MIN(E611:E611)</f>
        <v>1</v>
      </c>
    </row>
    <row r="612" spans="2:7" ht="11.25">
      <c r="B612" s="2"/>
      <c r="G612" t="b">
        <f>MAX(E612:E612)=MIN(E612:E612)</f>
        <v>1</v>
      </c>
    </row>
    <row r="613" spans="2:7" ht="11.25">
      <c r="B613" t="str">
        <f>DataNameEmp3&amp;" Recruitment/Dismissal Costs"</f>
        <v>PM / Analyst Recruitment/Dismissal Costs</v>
      </c>
      <c r="G613" t="b">
        <f>MAX(E613:E613)=MIN(E613:E613)</f>
        <v>1</v>
      </c>
    </row>
    <row r="614" spans="2:7" ht="11.25">
      <c r="D614" t="s">
        <v>3293</v>
      </c>
      <c r="E614" s="88">
        <f>ABS(paramEmp3RecDismCost*obalEmp3Salary*(E592+decEmp3BusAHire))</f>
        <v>8295000</v>
      </c>
      <c r="F614" t="s">
        <v>4349</v>
      </c>
      <c r="G614" t="b">
        <f>MAX(E614:E614)=MIN(E614:E614)</f>
        <v>1</v>
      </c>
    </row>
    <row r="615" spans="2:7" ht="11.25">
      <c r="D615" t="s">
        <v>635</v>
      </c>
      <c r="E615" s="383">
        <f>ABS(paramEmp3RecDismCost*obalEmp3Salary*(ABS(decEmp3BusBDismiss)+decEmp3BusBHire))</f>
        <v>0</v>
      </c>
      <c r="F615" t="s">
        <v>4350</v>
      </c>
      <c r="G615" t="b">
        <f>MAX(E615:E615)=MIN(E615:E615)</f>
        <v>1</v>
      </c>
    </row>
    <row r="616" spans="2:7" ht="11.25">
      <c r="E616" s="14">
        <f>SUM(E614:E615)</f>
        <v>8295000</v>
      </c>
      <c r="F616" t="s">
        <v>1759</v>
      </c>
      <c r="G616" t="b">
        <f>MAX(E616:E616)=MIN(E616:E616)</f>
        <v>1</v>
      </c>
    </row>
    <row r="617" spans="2:7" ht="11.25">
      <c r="B617" t="str">
        <f>DataNameEmp3&amp;" Admin Cost"</f>
        <v>PM / Analyst Admin Cost</v>
      </c>
      <c r="E617" s="14"/>
      <c r="G617" t="b">
        <f>MAX(E617:E617)=MIN(E617:E617)</f>
        <v>1</v>
      </c>
    </row>
    <row r="618" spans="2:7" ht="11.25">
      <c r="D618" t="s">
        <v>3293</v>
      </c>
      <c r="E618" s="124">
        <f>capBusAEmp3BaseExp*paramEmp3AdminCostPct</f>
        <v>1830000</v>
      </c>
      <c r="F618" t="s">
        <v>4351</v>
      </c>
      <c r="G618" t="b">
        <f>MAX(E618:E618)=MIN(E618:E618)</f>
        <v>1</v>
      </c>
    </row>
    <row r="619" spans="2:7" ht="11.25">
      <c r="D619" t="s">
        <v>635</v>
      </c>
      <c r="E619" s="384">
        <f>capBusBEmp3BaseExp*paramEmp3AdminCostPct</f>
        <v>135000</v>
      </c>
      <c r="F619" t="s">
        <v>4352</v>
      </c>
      <c r="G619" t="b">
        <f>MAX(E619:E619)=MIN(E619:E619)</f>
        <v>1</v>
      </c>
    </row>
    <row r="620" spans="2:7" ht="11.25">
      <c r="E620" s="14">
        <f>SUM(E618:E619)</f>
        <v>1965000</v>
      </c>
      <c r="F620" t="s">
        <v>1758</v>
      </c>
      <c r="G620" t="b">
        <f>MAX(E620:E620)=MIN(E620:E620)</f>
        <v>1</v>
      </c>
    </row>
    <row r="621" spans="2:7" ht="11.25">
      <c r="G621" t="b">
        <f>MAX(E621:E621)=MIN(E621:E621)</f>
        <v>1</v>
      </c>
    </row>
    <row r="622" spans="2:7" ht="11.25">
      <c r="B622" s="2" t="s">
        <v>1817</v>
      </c>
      <c r="G622" t="b">
        <f>MAX(E622:E622)=MIN(E622:E622)</f>
        <v>1</v>
      </c>
    </row>
    <row r="623" spans="2:7" ht="11.25">
      <c r="B623" t="s">
        <v>534</v>
      </c>
      <c r="E623" s="271">
        <f>decBusAEmp3HrsCurrProj/capBusAEmp3EndHrsAvailable</f>
        <v>0.22540983606557377</v>
      </c>
      <c r="F623" t="s">
        <v>1113</v>
      </c>
      <c r="G623" t="b">
        <f>MAX(E623:E623)=MIN(E623:E623)</f>
        <v>1</v>
      </c>
    </row>
    <row r="624" spans="2:7" ht="11.25">
      <c r="B624" t="s">
        <v>535</v>
      </c>
      <c r="E624" s="271">
        <f>decBusAEmp3HrsCurrProjV2/capBusAEmp3EndHrsAvailable</f>
        <v>0.17418032786885246</v>
      </c>
      <c r="F624" t="s">
        <v>4387</v>
      </c>
      <c r="G624" t="b">
        <f>MAX(E624:E624)=MIN(E624:E624)</f>
        <v>1</v>
      </c>
    </row>
    <row r="625" spans="2:7" ht="11.25">
      <c r="B625" t="s">
        <v>536</v>
      </c>
      <c r="E625" s="271">
        <f>decBusAEmp3HrsCurrProjV3/capBusAEmp3EndHrsAvailable</f>
        <v>5.1229508196721313E-2</v>
      </c>
      <c r="F625" t="s">
        <v>4388</v>
      </c>
      <c r="G625" t="b">
        <f>MAX(E625:E625)=MIN(E625:E625)</f>
        <v>1</v>
      </c>
    </row>
    <row r="626" spans="2:7" ht="11.25">
      <c r="B626" t="s">
        <v>605</v>
      </c>
      <c r="E626" s="271">
        <f>capBusAEmp3HrsSales/capBusAEmp3EndHrsAvailable</f>
        <v>1.5639344262295081E-2</v>
      </c>
      <c r="F626" t="s">
        <v>4461</v>
      </c>
      <c r="G626" t="b">
        <f>MAX(E626:E626)=MIN(E626:E626)</f>
        <v>1</v>
      </c>
    </row>
    <row r="627" spans="2:7" ht="11.25">
      <c r="B627" t="s">
        <v>606</v>
      </c>
      <c r="E627" s="271">
        <f>capBusAEmp3HrsSalesV2/capBusAEmp3EndHrsAvailable</f>
        <v>7.3770491803278691E-3</v>
      </c>
      <c r="F627" t="s">
        <v>4462</v>
      </c>
      <c r="G627" t="b">
        <f>MAX(E627:E627)=MIN(E627:E627)</f>
        <v>1</v>
      </c>
    </row>
    <row r="628" spans="2:7" ht="11.25">
      <c r="B628" t="s">
        <v>3518</v>
      </c>
      <c r="E628" s="271">
        <f>capBusAEmp3HrsSalesV3/capBusAEmp3EndHrsAvailable</f>
        <v>6.4918032786885252E-2</v>
      </c>
      <c r="F628" t="s">
        <v>4463</v>
      </c>
      <c r="G628" t="b">
        <f>MAX(E628:E628)=MIN(E628:E628)</f>
        <v>1</v>
      </c>
    </row>
    <row r="629" spans="2:7" ht="11.25">
      <c r="B629" t="s">
        <v>1799</v>
      </c>
      <c r="E629" s="271">
        <f>capBusAEmp3CompDevTtlHrReq/capBusAEmp3EndHrsAvailable</f>
        <v>2.7049180327868858E-3</v>
      </c>
      <c r="F629" t="s">
        <v>4464</v>
      </c>
      <c r="G629" t="b">
        <f>MAX(E629:E629)=MIN(E629:E629)</f>
        <v>1</v>
      </c>
    </row>
    <row r="630" spans="2:7" ht="11.25">
      <c r="B630" t="s">
        <v>2284</v>
      </c>
      <c r="E630" s="271">
        <f>capEmp3BusAGeneralTrainingHrs/capBusAEmp3EndHrsAvailable</f>
        <v>0.06</v>
      </c>
      <c r="F630" t="s">
        <v>978</v>
      </c>
      <c r="G630" t="b">
        <f>MAX(E630:E630)=MIN(E630:E630)</f>
        <v>1</v>
      </c>
    </row>
    <row r="631" spans="2:7" ht="11.25">
      <c r="B631" t="s">
        <v>4522</v>
      </c>
      <c r="E631" s="271">
        <f>paramSpecProgramEmp3BusAInitHrsReq/capBusAEmp3EndHrsAvailable</f>
        <v>0</v>
      </c>
      <c r="F631" t="s">
        <v>142</v>
      </c>
      <c r="G631" t="b">
        <f>MAX(E631:E631)=MIN(E631:E631)</f>
        <v>1</v>
      </c>
    </row>
    <row r="632" spans="2:7" ht="11.25">
      <c r="B632" t="s">
        <v>4550</v>
      </c>
      <c r="E632" s="271">
        <f>1-capBusAEmp3Utiliz</f>
        <v>0.45854098360655737</v>
      </c>
      <c r="F632" t="s">
        <v>1958</v>
      </c>
      <c r="G632" t="b">
        <f>MAX(E632:E632)=MIN(E632:E632)</f>
        <v>1</v>
      </c>
    </row>
    <row r="633" spans="2:7" ht="11.25">
      <c r="B633" s="2" t="s">
        <v>1818</v>
      </c>
      <c r="G633" t="b">
        <f>MAX(E633:E633)=MIN(E633:E633)</f>
        <v>1</v>
      </c>
    </row>
    <row r="634" spans="2:7" ht="11.25">
      <c r="B634" t="s">
        <v>1819</v>
      </c>
      <c r="E634" s="271">
        <f>(capBid1Emp3HrsRFQ+capBid2Emp3HrsRFQ+capBid3Emp3HrsRFQ)/capBusBEmp3EndHrsAvailable</f>
        <v>0.05</v>
      </c>
      <c r="F634" t="s">
        <v>4389</v>
      </c>
      <c r="G634" t="b">
        <f>MAX(E634:E634)=MIN(E634:E634)</f>
        <v>1</v>
      </c>
    </row>
    <row r="635" spans="2:7" ht="11.25">
      <c r="B635" t="s">
        <v>1820</v>
      </c>
      <c r="E635" s="271">
        <f>(capBid4Emp3HrsRFQ+capBid5Emp3HrsRFQ+capBid6Emp3HrsRFQ)/capBusBEmp3EndHrsAvailable</f>
        <v>0</v>
      </c>
      <c r="F635" t="s">
        <v>4390</v>
      </c>
      <c r="G635" t="b">
        <f>MAX(E635:E635)=MIN(E635:E635)</f>
        <v>1</v>
      </c>
    </row>
    <row r="636" spans="2:7" ht="11.25">
      <c r="B636" t="s">
        <v>1821</v>
      </c>
      <c r="E636" s="271">
        <f>(capBid7Emp3HrsRFQ+capBid8Emp3HrsRFQ+capBid9Emp3HrsRFQ)/capBusBEmp3EndHrsAvailable</f>
        <v>0</v>
      </c>
      <c r="F636" t="s">
        <v>4391</v>
      </c>
      <c r="G636" t="b">
        <f>MAX(E636:E636)=MIN(E636:E636)</f>
        <v>1</v>
      </c>
    </row>
    <row r="637" spans="2:7" ht="11.25">
      <c r="B637" t="s">
        <v>4268</v>
      </c>
      <c r="E637" s="271">
        <f>(decEmp3BusBOpsImprove)/capBusBEmp3EndHrsAvailable</f>
        <v>0.125</v>
      </c>
      <c r="F637" t="s">
        <v>979</v>
      </c>
      <c r="G637" t="b">
        <f>MAX(E637:E637)=MIN(E637:E637)</f>
        <v>1</v>
      </c>
    </row>
    <row r="638" spans="2:7" ht="11.25">
      <c r="B638" t="s">
        <v>3585</v>
      </c>
      <c r="E638" s="271">
        <f>(capBusBEmp3CompDevTtlHrReq)/capBusBEmp3EndHrsAvailable</f>
        <v>0</v>
      </c>
      <c r="F638" t="s">
        <v>980</v>
      </c>
      <c r="G638" t="b">
        <f>MAX(E638:E638)=MIN(E638:E638)</f>
        <v>1</v>
      </c>
    </row>
    <row r="639" spans="2:7" ht="11.25">
      <c r="B639" t="s">
        <v>2284</v>
      </c>
      <c r="E639" s="271">
        <f>(capEmp3BusBGeneralTrainingHrs)/capBusBEmp3EndHrsAvailable</f>
        <v>0.06</v>
      </c>
      <c r="F639" t="s">
        <v>981</v>
      </c>
      <c r="G639" t="b">
        <f>MAX(E639:E639)=MIN(E639:E639)</f>
        <v>1</v>
      </c>
    </row>
    <row r="640" spans="2:7" ht="11.25">
      <c r="B640" t="s">
        <v>4522</v>
      </c>
      <c r="E640" s="271">
        <f>paramSpecProgramEmp3BusBInitHrsReq/capBusBEmp3EndHrsAvailable</f>
        <v>0</v>
      </c>
      <c r="F640" t="s">
        <v>3684</v>
      </c>
      <c r="G640" t="b">
        <f>MAX(E640:E640)=MIN(E640:E640)</f>
        <v>1</v>
      </c>
    </row>
    <row r="641" spans="2:7" ht="11.25">
      <c r="B641" t="s">
        <v>110</v>
      </c>
      <c r="E641" s="271">
        <f>1-capBusBEmp3Utiliz</f>
        <v>0.76500000000000001</v>
      </c>
      <c r="F641" t="s">
        <v>3702</v>
      </c>
      <c r="G641" t="b">
        <f>MAX(E641:E641)=MIN(E641:E641)</f>
        <v>1</v>
      </c>
    </row>
    <row r="642" spans="2:7" ht="11.25">
      <c r="E642" s="271"/>
      <c r="G642" t="b">
        <f>MAX(E642:E642)=MIN(E642:E642)</f>
        <v>1</v>
      </c>
    </row>
    <row r="643" spans="2:7" ht="3" customHeight="1">
      <c r="B643" s="70"/>
      <c r="C643" s="70"/>
      <c r="D643" s="70"/>
      <c r="E643" s="70"/>
      <c r="G643" t="b">
        <f>MAX(E643:E643)=MIN(E643:E643)</f>
        <v>1</v>
      </c>
    </row>
    <row r="644" spans="2:7" ht="11.25">
      <c r="G644" t="b">
        <f>MAX(E644:E644)=MIN(E644:E644)</f>
        <v>1</v>
      </c>
    </row>
    <row r="645" spans="2:7" ht="11.25">
      <c r="B645" s="2" t="s">
        <v>1822</v>
      </c>
      <c r="G645" t="b">
        <f>MAX(E645:E645)=MIN(E645:E645)</f>
        <v>1</v>
      </c>
    </row>
    <row r="646" spans="2:7" ht="11.25">
      <c r="B646" t="s">
        <v>1823</v>
      </c>
      <c r="E646" s="11">
        <f t="shared" ref="E646:E651" si="15">E623*capBusAEmp3BaseExp</f>
        <v>8250000</v>
      </c>
      <c r="F646" t="s">
        <v>1442</v>
      </c>
      <c r="G646" t="b">
        <f>MAX(E646:E646)=MIN(E646:E646)</f>
        <v>1</v>
      </c>
    </row>
    <row r="647" spans="2:7" ht="11.25">
      <c r="B647" t="s">
        <v>1824</v>
      </c>
      <c r="E647" s="11">
        <f t="shared" si="15"/>
        <v>6375000</v>
      </c>
      <c r="F647" t="s">
        <v>1987</v>
      </c>
      <c r="G647" t="b">
        <f>MAX(E647:E647)=MIN(E647:E647)</f>
        <v>1</v>
      </c>
    </row>
    <row r="648" spans="2:7" ht="11.25">
      <c r="B648" t="s">
        <v>1372</v>
      </c>
      <c r="E648" s="11">
        <f t="shared" si="15"/>
        <v>1875000</v>
      </c>
      <c r="F648" t="s">
        <v>3522</v>
      </c>
      <c r="G648" t="b">
        <f>MAX(E648:E648)=MIN(E648:E648)</f>
        <v>1</v>
      </c>
    </row>
    <row r="649" spans="2:7" ht="11.25">
      <c r="B649" t="s">
        <v>209</v>
      </c>
      <c r="E649" s="11">
        <f t="shared" si="15"/>
        <v>572400</v>
      </c>
      <c r="F649" t="s">
        <v>2278</v>
      </c>
      <c r="G649" t="b">
        <f>MAX(E649:E649)=MIN(E649:E649)</f>
        <v>1</v>
      </c>
    </row>
    <row r="650" spans="2:7" ht="11.25">
      <c r="B650" t="s">
        <v>480</v>
      </c>
      <c r="E650" s="11">
        <f t="shared" si="15"/>
        <v>270000</v>
      </c>
      <c r="F650" t="s">
        <v>1447</v>
      </c>
      <c r="G650" t="b">
        <f>MAX(E650:E650)=MIN(E650:E650)</f>
        <v>1</v>
      </c>
    </row>
    <row r="651" spans="2:7" ht="11.25">
      <c r="B651" t="s">
        <v>481</v>
      </c>
      <c r="E651" s="11">
        <f t="shared" si="15"/>
        <v>2376000</v>
      </c>
      <c r="F651" t="s">
        <v>1448</v>
      </c>
      <c r="G651" t="b">
        <f>MAX(E651:E651)=MIN(E651:E651)</f>
        <v>1</v>
      </c>
    </row>
    <row r="652" spans="2:7" ht="11.25">
      <c r="B652" t="s">
        <v>482</v>
      </c>
      <c r="E652" s="11">
        <f t="shared" ref="E652:E654" si="16">E629*capBusAEmp3BaseExp</f>
        <v>99000.000000000015</v>
      </c>
      <c r="F652" t="s">
        <v>1449</v>
      </c>
      <c r="G652" t="b">
        <f>MAX(E652:E652)=MIN(E652:E652)</f>
        <v>1</v>
      </c>
    </row>
    <row r="653" spans="2:7" ht="11.25">
      <c r="B653" t="s">
        <v>1585</v>
      </c>
      <c r="E653" s="11">
        <f t="shared" si="16"/>
        <v>2196000</v>
      </c>
      <c r="F653" t="s">
        <v>1450</v>
      </c>
      <c r="G653" t="b">
        <f>MAX(E653:E653)=MIN(E653:E653)</f>
        <v>1</v>
      </c>
    </row>
    <row r="654" spans="2:7" ht="11.25">
      <c r="B654" t="s">
        <v>4522</v>
      </c>
      <c r="E654" s="11">
        <f t="shared" si="16"/>
        <v>0</v>
      </c>
      <c r="F654" t="s">
        <v>976</v>
      </c>
      <c r="G654" t="b">
        <f>MAX(E654:E654)=MIN(E654:E654)</f>
        <v>1</v>
      </c>
    </row>
    <row r="655" spans="2:7" ht="11.25">
      <c r="B655" t="s">
        <v>1373</v>
      </c>
      <c r="E655" s="11">
        <f>MAX(0,E632*capBusAEmp3BaseExp)</f>
        <v>16782600</v>
      </c>
      <c r="F655" t="s">
        <v>1988</v>
      </c>
      <c r="G655" t="b">
        <f>MAX(E655:E655)=MIN(E655:E655)</f>
        <v>1</v>
      </c>
    </row>
    <row r="656" spans="2:7" ht="11.25">
      <c r="B656" s="2" t="s">
        <v>1374</v>
      </c>
      <c r="E656" s="11"/>
      <c r="G656" t="b">
        <f>MAX(E656:E656)=MIN(E656:E656)</f>
        <v>1</v>
      </c>
    </row>
    <row r="657" spans="1:7" ht="11.25">
      <c r="B657" t="s">
        <v>684</v>
      </c>
      <c r="E657" s="11">
        <f t="shared" ref="E657:E663" si="17">E634*capBusBEmp3BaseExp</f>
        <v>135000</v>
      </c>
      <c r="F657" t="s">
        <v>1989</v>
      </c>
      <c r="G657" t="b">
        <f>MAX(E657:E657)=MIN(E657:E657)</f>
        <v>1</v>
      </c>
    </row>
    <row r="658" spans="1:7" ht="11.25">
      <c r="B658" t="s">
        <v>685</v>
      </c>
      <c r="E658" s="11">
        <f t="shared" si="17"/>
        <v>0</v>
      </c>
      <c r="F658" t="s">
        <v>1014</v>
      </c>
      <c r="G658" t="b">
        <f>MAX(E658:E658)=MIN(E658:E658)</f>
        <v>1</v>
      </c>
    </row>
    <row r="659" spans="1:7" ht="11.25">
      <c r="B659" t="s">
        <v>686</v>
      </c>
      <c r="E659" s="11">
        <f t="shared" si="17"/>
        <v>0</v>
      </c>
      <c r="F659" t="s">
        <v>4234</v>
      </c>
      <c r="G659" t="b">
        <f>MAX(E659:E659)=MIN(E659:E659)</f>
        <v>1</v>
      </c>
    </row>
    <row r="660" spans="1:7" ht="11.25">
      <c r="B660" t="s">
        <v>4268</v>
      </c>
      <c r="E660" s="11">
        <f t="shared" si="17"/>
        <v>337500</v>
      </c>
      <c r="F660" t="s">
        <v>982</v>
      </c>
      <c r="G660" t="b">
        <f>MAX(E660:E660)=MIN(E660:E660)</f>
        <v>1</v>
      </c>
    </row>
    <row r="661" spans="1:7" ht="11.25">
      <c r="B661" t="s">
        <v>3585</v>
      </c>
      <c r="E661" s="11">
        <f t="shared" si="17"/>
        <v>0</v>
      </c>
      <c r="F661" t="s">
        <v>3517</v>
      </c>
      <c r="G661" t="b">
        <f>MAX(E661:E661)=MIN(E661:E661)</f>
        <v>1</v>
      </c>
    </row>
    <row r="662" spans="1:7" ht="11.25">
      <c r="B662" t="s">
        <v>2284</v>
      </c>
      <c r="E662" s="11">
        <f t="shared" si="17"/>
        <v>162000</v>
      </c>
      <c r="F662" t="s">
        <v>1152</v>
      </c>
      <c r="G662" t="b">
        <f>MAX(E662:E662)=MIN(E662:E662)</f>
        <v>1</v>
      </c>
    </row>
    <row r="663" spans="1:7" ht="11.25">
      <c r="B663" t="s">
        <v>4522</v>
      </c>
      <c r="E663" s="11">
        <f t="shared" si="17"/>
        <v>0</v>
      </c>
      <c r="F663" t="s">
        <v>69</v>
      </c>
      <c r="G663" t="b">
        <f>MAX(E663:E663)=MIN(E663:E663)</f>
        <v>1</v>
      </c>
    </row>
    <row r="664" spans="1:7" ht="11.25">
      <c r="B664" t="s">
        <v>4516</v>
      </c>
      <c r="E664" s="11">
        <f>MAX(0,E641*capBusBEmp3BaseExp)</f>
        <v>2065500</v>
      </c>
      <c r="F664" t="s">
        <v>1015</v>
      </c>
      <c r="G664" t="b">
        <f>MAX(E664:E664)=MIN(E664:E664)</f>
        <v>1</v>
      </c>
    </row>
    <row r="665" spans="1:7" ht="11.25">
      <c r="G665" t="b">
        <f>MAX(E665:E665)=MIN(E665:E665)</f>
        <v>1</v>
      </c>
    </row>
    <row r="666" spans="1:7" ht="11.25">
      <c r="A666" s="140" t="str">
        <f>DataNameEmp4 &amp; " Required"</f>
        <v>Director / EM Required</v>
      </c>
      <c r="B666" s="140"/>
      <c r="C666" s="140"/>
      <c r="D666" s="140"/>
      <c r="E666" s="140"/>
      <c r="G666" t="b">
        <f>MAX(E666:E666)=MIN(E666:E666)</f>
        <v>1</v>
      </c>
    </row>
    <row r="667" spans="1:7" ht="11.25">
      <c r="G667" t="b">
        <f>MAX(E667:E667)=MIN(E667:E667)</f>
        <v>1</v>
      </c>
    </row>
    <row r="668" spans="1:7" ht="11.25">
      <c r="B668" s="2" t="str">
        <f>DataNameEmp4 &amp; " Recruited"</f>
        <v>Director / EM Recruited</v>
      </c>
      <c r="C668" s="2"/>
      <c r="D668" s="2"/>
      <c r="E668" s="2"/>
      <c r="G668" t="b">
        <f>MAX(E668:E668)=MIN(E668:E668)</f>
        <v>1</v>
      </c>
    </row>
    <row r="669" spans="1:7" ht="11.25">
      <c r="C669" t="s">
        <v>4253</v>
      </c>
      <c r="E669" s="11">
        <f>obalBusAEmp4Recruited</f>
        <v>0</v>
      </c>
      <c r="G669" t="b">
        <f>MAX(E669:E669)=MIN(E669:E669)</f>
        <v>1</v>
      </c>
    </row>
    <row r="670" spans="1:7" ht="11.25">
      <c r="C670" t="s">
        <v>1593</v>
      </c>
      <c r="E670" s="11">
        <f>obalBusBEmp4Recruited</f>
        <v>0</v>
      </c>
      <c r="G670" t="b">
        <f>MAX(E670:E670)=MIN(E670:E670)</f>
        <v>1</v>
      </c>
    </row>
    <row r="671" spans="1:7" ht="11.25">
      <c r="B671" s="2" t="str">
        <f>DataNameEmp4&amp;" Dismissed"</f>
        <v>Director / EM Dismissed</v>
      </c>
      <c r="C671" s="2"/>
      <c r="D671" s="2"/>
      <c r="E671" s="13"/>
      <c r="G671" t="b">
        <f>MAX(E671:E671)=MIN(E671:E671)</f>
        <v>1</v>
      </c>
    </row>
    <row r="672" spans="1:7" ht="11.25">
      <c r="C672" t="s">
        <v>4253</v>
      </c>
      <c r="E672" s="1077">
        <f>ROUNDUP(IF(decEmp4BusADismiss="Very Low",2%,IF(decEmp4BusADismiss="Low",5%,IF(decEmp4BusADismiss="Average",7%,IF(decEmp4BusADismiss="High",10%,IF(decEmp4BusADismiss="Very High",13%,0)))))*obalBusAEmp4,0)</f>
        <v>7</v>
      </c>
      <c r="G672" t="b">
        <f>MAX(E672:E672)=MIN(E672:E672)</f>
        <v>1</v>
      </c>
    </row>
    <row r="673" spans="2:7" ht="11.25">
      <c r="C673" t="s">
        <v>1593</v>
      </c>
      <c r="E673" s="13">
        <f>ABS(decEmp4BusBDismiss)</f>
        <v>0</v>
      </c>
      <c r="G673" t="b">
        <f>MAX(E673:E673)=MIN(E673:E673)</f>
        <v>1</v>
      </c>
    </row>
    <row r="674" spans="2:7" ht="11.25">
      <c r="B674" s="2" t="str">
        <f>DataNameEmp4&amp;" Attrition"</f>
        <v>Director / EM Attrition</v>
      </c>
      <c r="C674" s="2"/>
      <c r="D674" s="2"/>
      <c r="E674" s="2"/>
      <c r="F674" t="s">
        <v>731</v>
      </c>
      <c r="G674" t="b">
        <f>MAX(E674:E674)=MIN(E674:E674)</f>
        <v>1</v>
      </c>
    </row>
    <row r="675" spans="2:7" ht="11.25">
      <c r="C675" t="s">
        <v>4253</v>
      </c>
      <c r="E675" s="687">
        <f>ROUNDUP(obalBusAEmp4*paramEmp4AttRate,0)</f>
        <v>9</v>
      </c>
      <c r="F675" t="s">
        <v>1630</v>
      </c>
      <c r="G675" t="b">
        <f>MAX(E675:E675)=MIN(E675:E675)</f>
        <v>1</v>
      </c>
    </row>
    <row r="676" spans="2:7" ht="11.25">
      <c r="C676" t="s">
        <v>1593</v>
      </c>
      <c r="E676" s="687">
        <f>ROUNDUP(obalBusBEmp4*paramEmp4AttRate,0)</f>
        <v>2</v>
      </c>
      <c r="F676" t="s">
        <v>1631</v>
      </c>
      <c r="G676" t="b">
        <f>MAX(E676:E676)=MIN(E676:E676)</f>
        <v>1</v>
      </c>
    </row>
    <row r="677" spans="2:7" ht="11.25">
      <c r="B677" s="2" t="str">
        <f>DataNameEmp4 &amp; " Ending"</f>
        <v>Director / EM Ending</v>
      </c>
      <c r="C677" s="2"/>
      <c r="D677" s="2"/>
      <c r="E677" s="2"/>
      <c r="F677" s="2"/>
      <c r="G677" t="b">
        <f>MAX(E677:E677)=MIN(E677:E677)</f>
        <v>1</v>
      </c>
    </row>
    <row r="678" spans="2:7" ht="11.25">
      <c r="B678" s="2"/>
      <c r="C678" t="s">
        <v>4253</v>
      </c>
      <c r="D678" s="2"/>
      <c r="E678" s="21">
        <f>ROUNDUP(MAX(obalBusAEmp4+E669-E675-E672,0),0)</f>
        <v>78</v>
      </c>
      <c r="F678" t="s">
        <v>1632</v>
      </c>
      <c r="G678" t="b">
        <f>MAX(E678:E678)=MIN(E678:E678)</f>
        <v>1</v>
      </c>
    </row>
    <row r="679" spans="2:7" ht="11.25">
      <c r="B679" s="2"/>
      <c r="C679" s="4" t="s">
        <v>4231</v>
      </c>
      <c r="D679" s="2"/>
      <c r="E679" s="21">
        <f>capBusAEmp4End*paramEmp4HoursPYear</f>
        <v>156000</v>
      </c>
      <c r="F679" t="s">
        <v>1153</v>
      </c>
      <c r="G679" t="b">
        <f>MAX(E679:E679)=MIN(E679:E679)</f>
        <v>1</v>
      </c>
    </row>
    <row r="680" spans="2:7" ht="11.25">
      <c r="B680" s="2"/>
      <c r="C680" t="s">
        <v>1593</v>
      </c>
      <c r="D680" s="2"/>
      <c r="E680" s="21">
        <f>ROUNDUP(MAX(obalBusBEmp4+E670-E673-E676,0),0)</f>
        <v>11</v>
      </c>
      <c r="F680" t="s">
        <v>1633</v>
      </c>
      <c r="G680" t="b">
        <f>MAX(E680:E680)=MIN(E680:E680)</f>
        <v>1</v>
      </c>
    </row>
    <row r="681" spans="2:7" ht="11.25">
      <c r="B681" s="2"/>
      <c r="C681" s="4" t="s">
        <v>4231</v>
      </c>
      <c r="D681" s="2"/>
      <c r="E681" s="21">
        <f>capBusBEmp4End*paramEmp4HoursPYear</f>
        <v>22000</v>
      </c>
      <c r="F681" t="s">
        <v>1154</v>
      </c>
      <c r="G681" t="b">
        <f>MAX(E681:E681)=MIN(E681:E681)</f>
        <v>1</v>
      </c>
    </row>
    <row r="682" spans="2:7" ht="11.25">
      <c r="B682" s="2" t="str">
        <f>DataNameEmp4 &amp; " Required"</f>
        <v>Director / EM Required</v>
      </c>
      <c r="C682" s="2"/>
      <c r="D682" s="2"/>
      <c r="E682" s="2"/>
      <c r="F682" t="s">
        <v>687</v>
      </c>
      <c r="G682" t="b">
        <f>MAX(E682:E682)=MIN(E682:E682)</f>
        <v>1</v>
      </c>
    </row>
    <row r="683" spans="2:7" ht="11.25">
      <c r="B683" s="2"/>
      <c r="C683" t="s">
        <v>4253</v>
      </c>
      <c r="D683" s="2"/>
      <c r="E683" s="270"/>
      <c r="F683" t="s">
        <v>1634</v>
      </c>
      <c r="G683" t="b">
        <f>MAX(E683:E683)=MIN(E683:E683)</f>
        <v>1</v>
      </c>
    </row>
    <row r="684" spans="2:7" ht="11.25">
      <c r="B684" s="2"/>
      <c r="C684" t="s">
        <v>1593</v>
      </c>
      <c r="D684" s="2"/>
      <c r="E684" s="17"/>
      <c r="F684" t="s">
        <v>1635</v>
      </c>
      <c r="G684" t="b">
        <f>MAX(E684:E684)=MIN(E684:E684)</f>
        <v>1</v>
      </c>
    </row>
    <row r="685" spans="2:7" ht="11.25">
      <c r="B685" s="2" t="str">
        <f>DataNameEmp4&amp;" Utilization"</f>
        <v>Director / EM Utilization</v>
      </c>
      <c r="C685" s="2"/>
      <c r="D685" s="2"/>
      <c r="E685" s="2"/>
      <c r="F685" t="s">
        <v>732</v>
      </c>
      <c r="G685" t="b">
        <f>MAX(E685:E685)=MIN(E685:E685)</f>
        <v>1</v>
      </c>
    </row>
    <row r="686" spans="2:7" ht="11.25">
      <c r="C686" t="s">
        <v>4253</v>
      </c>
      <c r="E686" s="271">
        <f>(decBusAEmp4HrsCurrProj+decBusAEmp4HrsCurrProjV2+decBusAEmp4HrsCurrProjV3+decBusAEmp4HrsSales+decBusAEmp4HrsSalesV2+decBusAEmp4HrsSalesV3+capBusAEmp4CompDevTtlHrReq+paramSpecProgramEmp4BusAInitHrsReq)/(paramEmp4HoursPYear*cbalBusAEmp4)</f>
        <v>0.46076923076923076</v>
      </c>
      <c r="F686" t="s">
        <v>1636</v>
      </c>
      <c r="G686" t="b">
        <f>MAX(E686:E686)=MIN(E686:E686)</f>
        <v>1</v>
      </c>
    </row>
    <row r="687" spans="2:7" ht="11.25">
      <c r="C687" t="s">
        <v>1593</v>
      </c>
      <c r="E687" s="271">
        <f>(capBid1Emp4HrsRFQ+capBid2Emp4HrsRFQ+capBid3Emp4HrsRFQ+capBid4Emp4HrsRFQ+capBid5Emp4HrsRFQ+capBid6Emp4HrsRFQ+capBid7Emp4HrsRFQ+capBid8Emp4HrsRFQ+capBid9Emp4HrsRFQ+capBusBEmp4CompDevTtlHrReq+capEmp4BusBGeneralTrainingHrs+paramSpecProgramEmp4BusBInitHrsReq+decEmp4BusBOpsImprove)/(paramEmp4HoursPYear*cbalBusBEmp4)</f>
        <v>0.21727272727272728</v>
      </c>
      <c r="F687" t="s">
        <v>1637</v>
      </c>
      <c r="G687" t="b">
        <f>MAX(E687:E687)=MIN(E687:E687)</f>
        <v>1</v>
      </c>
    </row>
    <row r="688" spans="2:7" ht="11.25">
      <c r="B688" t="s">
        <v>997</v>
      </c>
      <c r="E688" s="11">
        <f>E678*obalEmp4Salary</f>
        <v>23400000</v>
      </c>
      <c r="F688" t="s">
        <v>3912</v>
      </c>
      <c r="G688" t="b">
        <f>MAX(E688:E688)=MIN(E688:E688)</f>
        <v>1</v>
      </c>
    </row>
    <row r="689" spans="2:7" ht="11.25">
      <c r="B689" t="s">
        <v>998</v>
      </c>
      <c r="E689" s="11">
        <f>E680*obalEmp4Salary</f>
        <v>3300000</v>
      </c>
      <c r="F689" t="s">
        <v>3913</v>
      </c>
      <c r="G689" t="b">
        <f>MAX(E689:E689)=MIN(E689:E689)</f>
        <v>1</v>
      </c>
    </row>
    <row r="690" spans="2:7" ht="11.25">
      <c r="E690" s="11"/>
      <c r="G690" t="b">
        <f>MAX(E690:E690)=MIN(E690:E690)</f>
        <v>1</v>
      </c>
    </row>
    <row r="691" spans="2:7" ht="11.25">
      <c r="B691" s="2" t="str">
        <f>DataNameEmp4 &amp; " Total Expense"</f>
        <v>Director / EM Total Expense</v>
      </c>
      <c r="C691" s="2"/>
      <c r="D691" s="2"/>
      <c r="E691" s="13">
        <f>SUM(E688:E690)</f>
        <v>26700000</v>
      </c>
      <c r="F691" t="s">
        <v>733</v>
      </c>
      <c r="G691" t="b">
        <f>MAX(E691:E691)=MIN(E691:E691)</f>
        <v>1</v>
      </c>
    </row>
    <row r="692" spans="2:7" ht="11.25">
      <c r="B692" s="2"/>
      <c r="G692" t="b">
        <f>MAX(E692:E692)=MIN(E692:E692)</f>
        <v>1</v>
      </c>
    </row>
    <row r="693" spans="2:7" ht="11.25">
      <c r="B693" t="str">
        <f>DataNameEmp4&amp;" Recruitment/Dismissal Costs"</f>
        <v>Director / EM Recruitment/Dismissal Costs</v>
      </c>
      <c r="G693" t="b">
        <f>MAX(E693:E693)=MIN(E693:E693)</f>
        <v>1</v>
      </c>
    </row>
    <row r="694" spans="2:7" ht="11.25">
      <c r="D694" t="s">
        <v>3293</v>
      </c>
      <c r="E694" s="88">
        <f>ABS(paramEmp4RecDismCost*obalEmp4Salary*(E672+decEmp4BusAHire))</f>
        <v>2835000</v>
      </c>
      <c r="F694" t="s">
        <v>4353</v>
      </c>
      <c r="G694" t="b">
        <f>MAX(E694:E694)=MIN(E694:E694)</f>
        <v>1</v>
      </c>
    </row>
    <row r="695" spans="2:7" ht="11.25">
      <c r="D695" t="s">
        <v>635</v>
      </c>
      <c r="E695" s="383">
        <f>ABS(paramEmp4RecDismCost*obalEmp4Salary*(ABS(decEmp4BusBDismiss)+decEmp4BusBHire))</f>
        <v>0</v>
      </c>
      <c r="F695" t="s">
        <v>3473</v>
      </c>
      <c r="G695" t="b">
        <f>MAX(E695:E695)=MIN(E695:E695)</f>
        <v>1</v>
      </c>
    </row>
    <row r="696" spans="2:7" ht="11.25">
      <c r="E696" s="14">
        <f>SUM(E694:E695)</f>
        <v>2835000</v>
      </c>
      <c r="F696" t="s">
        <v>1348</v>
      </c>
      <c r="G696" t="b">
        <f>MAX(E696:E696)=MIN(E696:E696)</f>
        <v>1</v>
      </c>
    </row>
    <row r="697" spans="2:7" ht="11.25">
      <c r="B697" t="str">
        <f>DataNameEmp4&amp;" Admin Cost"</f>
        <v>Director / EM Admin Cost</v>
      </c>
      <c r="E697" s="14"/>
      <c r="G697" t="b">
        <f>MAX(E697:E697)=MIN(E697:E697)</f>
        <v>1</v>
      </c>
    </row>
    <row r="698" spans="2:7" ht="11.25">
      <c r="D698" t="s">
        <v>3293</v>
      </c>
      <c r="E698" s="124">
        <f>capBusAEmp4BaseExp*paramEmp4AdminCostPct</f>
        <v>1170000</v>
      </c>
      <c r="F698" t="s">
        <v>3474</v>
      </c>
      <c r="G698" t="b">
        <f>MAX(E698:E698)=MIN(E698:E698)</f>
        <v>1</v>
      </c>
    </row>
    <row r="699" spans="2:7" ht="11.25">
      <c r="D699" t="s">
        <v>635</v>
      </c>
      <c r="E699" s="384">
        <f>capBusBEmp4BaseExp*paramEmp4AdminCostPct</f>
        <v>165000</v>
      </c>
      <c r="F699" t="s">
        <v>3475</v>
      </c>
      <c r="G699" t="b">
        <f>MAX(E699:E699)=MIN(E699:E699)</f>
        <v>1</v>
      </c>
    </row>
    <row r="700" spans="2:7" ht="11.25">
      <c r="E700" s="14">
        <f>SUM(E698:E699)</f>
        <v>1335000</v>
      </c>
      <c r="F700" t="s">
        <v>1349</v>
      </c>
      <c r="G700" t="b">
        <f>MAX(E700:E700)=MIN(E700:E700)</f>
        <v>1</v>
      </c>
    </row>
    <row r="701" spans="2:7" ht="11.25">
      <c r="G701" t="b">
        <f>MAX(E701:E701)=MIN(E701:E701)</f>
        <v>1</v>
      </c>
    </row>
    <row r="702" spans="2:7" ht="11.25">
      <c r="B702" s="2" t="s">
        <v>104</v>
      </c>
      <c r="G702" t="b">
        <f>MAX(E702:E702)=MIN(E702:E702)</f>
        <v>1</v>
      </c>
    </row>
    <row r="703" spans="2:7" ht="11.25">
      <c r="B703" t="s">
        <v>2830</v>
      </c>
      <c r="E703" s="271">
        <f>decBusAEmp4HrsCurrProj/capBusAEmp4EndHrsAvailable</f>
        <v>0.25641025641025639</v>
      </c>
      <c r="F703" t="s">
        <v>3914</v>
      </c>
      <c r="G703" t="b">
        <f>MAX(E703:E703)=MIN(E703:E703)</f>
        <v>1</v>
      </c>
    </row>
    <row r="704" spans="2:7" ht="11.25">
      <c r="B704" t="s">
        <v>3627</v>
      </c>
      <c r="E704" s="271">
        <f>decBusAEmp4HrsCurrProjV2/capBusAEmp4EndHrsAvailable</f>
        <v>0.16025641025641027</v>
      </c>
      <c r="F704" t="s">
        <v>3295</v>
      </c>
      <c r="G704" t="b">
        <f>MAX(E704:E704)=MIN(E704:E704)</f>
        <v>1</v>
      </c>
    </row>
    <row r="705" spans="2:7" ht="11.25">
      <c r="B705" t="s">
        <v>959</v>
      </c>
      <c r="E705" s="271">
        <f>decBusAEmp4HrsCurrProjV3/capBusAEmp4EndHrsAvailable</f>
        <v>3.8461538461538464E-2</v>
      </c>
      <c r="F705" t="s">
        <v>3296</v>
      </c>
      <c r="G705" t="b">
        <f>MAX(E705:E705)=MIN(E705:E705)</f>
        <v>1</v>
      </c>
    </row>
    <row r="706" spans="2:7" ht="11.25">
      <c r="B706" t="s">
        <v>2436</v>
      </c>
      <c r="E706" s="271">
        <f>decBusAEmp4HrsSales/capBusAEmp4EndHrsAvailable</f>
        <v>0</v>
      </c>
      <c r="F706" t="s">
        <v>1155</v>
      </c>
      <c r="G706" t="b">
        <f>MAX(E706:E706)=MIN(E706:E706)</f>
        <v>1</v>
      </c>
    </row>
    <row r="707" spans="2:7" ht="11.25">
      <c r="B707" t="s">
        <v>2538</v>
      </c>
      <c r="E707" s="271">
        <f>decBusAEmp4HrsSalesV2/capBusAEmp4EndHrsAvailable</f>
        <v>0</v>
      </c>
      <c r="F707" t="s">
        <v>1156</v>
      </c>
      <c r="G707" t="b">
        <f>MAX(E707:E707)=MIN(E707:E707)</f>
        <v>1</v>
      </c>
    </row>
    <row r="708" spans="2:7" ht="11.25">
      <c r="B708" t="s">
        <v>1370</v>
      </c>
      <c r="E708" s="271">
        <f>decBusAEmp4HrsSalesV3/capBusAEmp4EndHrsAvailable</f>
        <v>0</v>
      </c>
      <c r="F708" t="s">
        <v>1157</v>
      </c>
      <c r="G708" t="b">
        <f>MAX(E708:E708)=MIN(E708:E708)</f>
        <v>1</v>
      </c>
    </row>
    <row r="709" spans="2:7" ht="11.25">
      <c r="B709" t="s">
        <v>1799</v>
      </c>
      <c r="E709" s="271">
        <f>capBusAEmp4CompDevTtlHrReq/capBusAEmp4EndHrsAvailable</f>
        <v>5.6410256410256415E-3</v>
      </c>
      <c r="F709" t="s">
        <v>1158</v>
      </c>
      <c r="G709" t="b">
        <f>MAX(E709:E709)=MIN(E709:E709)</f>
        <v>1</v>
      </c>
    </row>
    <row r="710" spans="2:7" ht="11.25">
      <c r="B710" t="s">
        <v>2284</v>
      </c>
      <c r="E710" s="271">
        <f>capEmp4BusAGeneralTrainingHrs/capBusAEmp4EndHrsAvailable</f>
        <v>0.04</v>
      </c>
      <c r="F710" t="s">
        <v>1159</v>
      </c>
      <c r="G710" t="b">
        <f>MAX(E710:E710)=MIN(E710:E710)</f>
        <v>1</v>
      </c>
    </row>
    <row r="711" spans="2:7" ht="11.25">
      <c r="B711" t="s">
        <v>4522</v>
      </c>
      <c r="E711" s="271">
        <f>paramSpecProgramEmp4BusAInitHrsReq/capBusAEmp4EndHrsAvailable</f>
        <v>0</v>
      </c>
      <c r="F711" t="s">
        <v>143</v>
      </c>
      <c r="G711" t="b">
        <f>MAX(E711:E711)=MIN(E711:E711)</f>
        <v>1</v>
      </c>
    </row>
    <row r="712" spans="2:7" ht="11.25">
      <c r="B712" t="s">
        <v>4550</v>
      </c>
      <c r="E712" s="271">
        <f>1-capBusAEmp4Utiliz</f>
        <v>0.53923076923076918</v>
      </c>
      <c r="F712" t="s">
        <v>1959</v>
      </c>
      <c r="G712" t="b">
        <f>MAX(E712:E712)=MIN(E712:E712)</f>
        <v>1</v>
      </c>
    </row>
    <row r="713" spans="2:7" ht="11.25">
      <c r="B713" s="2" t="s">
        <v>2744</v>
      </c>
      <c r="G713" t="b">
        <f>MAX(E713:E713)=MIN(E713:E713)</f>
        <v>1</v>
      </c>
    </row>
    <row r="714" spans="2:7" ht="11.25">
      <c r="B714" t="s">
        <v>2745</v>
      </c>
      <c r="E714" s="271">
        <f>(capBid1Emp4HrsRFQ+capBid2Emp4HrsRFQ+capBid3Emp4HrsRFQ)/capBusBEmp4EndHrsAvailable</f>
        <v>5.4545454545454543E-2</v>
      </c>
      <c r="F714" t="s">
        <v>4552</v>
      </c>
      <c r="G714" t="b">
        <f>MAX(E714:E714)=MIN(E714:E714)</f>
        <v>1</v>
      </c>
    </row>
    <row r="715" spans="2:7" ht="11.25">
      <c r="B715" t="s">
        <v>2746</v>
      </c>
      <c r="E715" s="271">
        <f>(capBid4Emp4HrsRFQ+capBid5Emp4HrsRFQ+capBid6Emp4HrsRFQ)/capBusBEmp4EndHrsAvailable</f>
        <v>0</v>
      </c>
      <c r="F715" t="s">
        <v>4553</v>
      </c>
      <c r="G715" t="b">
        <f>MAX(E715:E715)=MIN(E715:E715)</f>
        <v>1</v>
      </c>
    </row>
    <row r="716" spans="2:7" ht="11.25">
      <c r="B716" t="s">
        <v>2747</v>
      </c>
      <c r="E716" s="271">
        <f>(capBid7Emp4HrsRFQ+capBid8Emp4HrsRFQ+capBid9Emp4HrsRFQ)/capBusBEmp4EndHrsAvailable</f>
        <v>0</v>
      </c>
      <c r="F716" t="s">
        <v>2787</v>
      </c>
      <c r="G716" t="b">
        <f>MAX(E716:E716)=MIN(E716:E716)</f>
        <v>1</v>
      </c>
    </row>
    <row r="717" spans="2:7" ht="11.25">
      <c r="B717" t="s">
        <v>4268</v>
      </c>
      <c r="E717" s="271">
        <f>(decEmp4BusBOpsImprove)/capBusBEmp4EndHrsAvailable</f>
        <v>0.12272727272727273</v>
      </c>
      <c r="F717" t="s">
        <v>1160</v>
      </c>
      <c r="G717" t="b">
        <f>MAX(E717:E717)=MIN(E717:E717)</f>
        <v>1</v>
      </c>
    </row>
    <row r="718" spans="2:7" ht="11.25">
      <c r="B718" t="s">
        <v>3585</v>
      </c>
      <c r="E718" s="271">
        <f>(capBusBEmp4CompDevTtlHrReq)/capBusBEmp4EndHrsAvailable</f>
        <v>0</v>
      </c>
      <c r="F718" t="s">
        <v>1161</v>
      </c>
      <c r="G718" t="b">
        <f>MAX(E718:E718)=MIN(E718:E718)</f>
        <v>1</v>
      </c>
    </row>
    <row r="719" spans="2:7" ht="11.25">
      <c r="B719" t="s">
        <v>2284</v>
      </c>
      <c r="E719" s="271">
        <f>(capEmp4BusBGeneralTrainingHrs)/capBusBEmp4EndHrsAvailable</f>
        <v>0.04</v>
      </c>
      <c r="F719" t="s">
        <v>2819</v>
      </c>
      <c r="G719" t="b">
        <f>MAX(E719:E719)=MIN(E719:E719)</f>
        <v>1</v>
      </c>
    </row>
    <row r="720" spans="2:7" ht="11.25">
      <c r="B720" t="s">
        <v>4522</v>
      </c>
      <c r="E720" s="271">
        <f>paramSpecProgramEmp4BusBInitHrsReq/capBusBEmp4EndHrsAvailable</f>
        <v>0</v>
      </c>
      <c r="F720" t="s">
        <v>971</v>
      </c>
      <c r="G720" t="b">
        <f>MAX(E720:E720)=MIN(E720:E720)</f>
        <v>1</v>
      </c>
    </row>
    <row r="721" spans="1:7" ht="11.25">
      <c r="B721" t="s">
        <v>110</v>
      </c>
      <c r="E721" s="271">
        <f>1-capBusBEmp4Utiliz</f>
        <v>0.78272727272727272</v>
      </c>
      <c r="F721" t="s">
        <v>4513</v>
      </c>
      <c r="G721" t="b">
        <f>MAX(E721:E721)=MIN(E721:E721)</f>
        <v>1</v>
      </c>
    </row>
    <row r="722" spans="1:7" ht="11.25">
      <c r="E722" s="271"/>
      <c r="G722" t="b">
        <f>MAX(E722:E722)=MIN(E722:E722)</f>
        <v>1</v>
      </c>
    </row>
    <row r="723" spans="1:7" ht="3" customHeight="1">
      <c r="B723" s="70"/>
      <c r="C723" s="70"/>
      <c r="D723" s="70"/>
      <c r="E723" s="70"/>
      <c r="G723" t="b">
        <f>MAX(E723:E723)=MIN(E723:E723)</f>
        <v>1</v>
      </c>
    </row>
    <row r="724" spans="1:7" ht="11.25">
      <c r="G724" t="b">
        <f>MAX(E724:E724)=MIN(E724:E724)</f>
        <v>1</v>
      </c>
    </row>
    <row r="725" spans="1:7" ht="11.25">
      <c r="B725" s="2" t="s">
        <v>2442</v>
      </c>
      <c r="G725" t="b">
        <f>MAX(E725:E725)=MIN(E725:E725)</f>
        <v>1</v>
      </c>
    </row>
    <row r="726" spans="1:7" ht="11.25">
      <c r="B726" t="s">
        <v>2443</v>
      </c>
      <c r="E726" s="88">
        <f t="shared" ref="E726:E731" si="18">E703*capBusAEmp4BaseExp</f>
        <v>5999999.9999999991</v>
      </c>
      <c r="F726" t="s">
        <v>2788</v>
      </c>
      <c r="G726" t="b">
        <f>MAX(E726:E726)=MIN(E726:E726)</f>
        <v>1</v>
      </c>
    </row>
    <row r="727" spans="1:7" ht="11.25">
      <c r="B727" t="s">
        <v>2444</v>
      </c>
      <c r="E727" s="88">
        <f t="shared" si="18"/>
        <v>3750000.0000000005</v>
      </c>
      <c r="F727" t="s">
        <v>2789</v>
      </c>
      <c r="G727" t="b">
        <f>MAX(E727:E727)=MIN(E727:E727)</f>
        <v>1</v>
      </c>
    </row>
    <row r="728" spans="1:7" ht="11.25">
      <c r="A728" t="s">
        <v>3797</v>
      </c>
      <c r="B728" t="s">
        <v>2445</v>
      </c>
      <c r="E728" s="88">
        <f t="shared" si="18"/>
        <v>900000</v>
      </c>
      <c r="F728" t="s">
        <v>2790</v>
      </c>
      <c r="G728" t="b">
        <f>MAX(E728:E728)=MIN(E728:E728)</f>
        <v>1</v>
      </c>
    </row>
    <row r="729" spans="1:7" ht="11.25">
      <c r="B729" t="s">
        <v>717</v>
      </c>
      <c r="E729" s="11">
        <f t="shared" si="18"/>
        <v>0</v>
      </c>
      <c r="F729" t="s">
        <v>171</v>
      </c>
      <c r="G729" t="b">
        <f>MAX(E729:E729)=MIN(E729:E729)</f>
        <v>1</v>
      </c>
    </row>
    <row r="730" spans="1:7" ht="11.25">
      <c r="B730" t="s">
        <v>718</v>
      </c>
      <c r="E730" s="11">
        <f t="shared" si="18"/>
        <v>0</v>
      </c>
      <c r="F730" t="s">
        <v>4453</v>
      </c>
      <c r="G730" t="b">
        <f>MAX(E730:E730)=MIN(E730:E730)</f>
        <v>1</v>
      </c>
    </row>
    <row r="731" spans="1:7" ht="11.25">
      <c r="B731" t="s">
        <v>719</v>
      </c>
      <c r="E731" s="11">
        <f t="shared" si="18"/>
        <v>0</v>
      </c>
      <c r="F731" t="s">
        <v>4454</v>
      </c>
      <c r="G731" t="b">
        <f>MAX(E731:E731)=MIN(E731:E731)</f>
        <v>1</v>
      </c>
    </row>
    <row r="732" spans="1:7" ht="11.25">
      <c r="B732" t="s">
        <v>720</v>
      </c>
      <c r="E732" s="11">
        <f t="shared" ref="E732:E734" si="19">E709*capBusAEmp4BaseExp</f>
        <v>132000</v>
      </c>
      <c r="F732" t="s">
        <v>4455</v>
      </c>
      <c r="G732" t="b">
        <f>MAX(E732:E732)=MIN(E732:E732)</f>
        <v>1</v>
      </c>
    </row>
    <row r="733" spans="1:7" ht="11.25">
      <c r="B733" t="s">
        <v>1585</v>
      </c>
      <c r="E733" s="11">
        <f t="shared" si="19"/>
        <v>936000</v>
      </c>
      <c r="F733" t="s">
        <v>4456</v>
      </c>
      <c r="G733" t="b">
        <f>MAX(E733:E733)=MIN(E733:E733)</f>
        <v>1</v>
      </c>
    </row>
    <row r="734" spans="1:7" ht="11.25">
      <c r="B734" t="s">
        <v>4522</v>
      </c>
      <c r="E734" s="11">
        <f t="shared" si="19"/>
        <v>0</v>
      </c>
      <c r="F734" t="s">
        <v>2421</v>
      </c>
      <c r="G734" t="b">
        <f>MAX(E734:E734)=MIN(E734:E734)</f>
        <v>1</v>
      </c>
    </row>
    <row r="735" spans="1:7" ht="11.25">
      <c r="B735" t="s">
        <v>721</v>
      </c>
      <c r="E735" s="11">
        <f>MAX(0,E712*capBusAEmp4BaseExp)</f>
        <v>12617999.999999998</v>
      </c>
      <c r="F735" t="s">
        <v>2791</v>
      </c>
      <c r="G735" t="b">
        <f>MAX(E735:E735)=MIN(E735:E735)</f>
        <v>1</v>
      </c>
    </row>
    <row r="736" spans="1:7" ht="11.25">
      <c r="B736" s="2" t="s">
        <v>722</v>
      </c>
      <c r="E736" s="11"/>
      <c r="G736" t="b">
        <f>MAX(E736:E736)=MIN(E736:E736)</f>
        <v>1</v>
      </c>
    </row>
    <row r="737" spans="1:7" ht="11.25">
      <c r="B737" t="s">
        <v>723</v>
      </c>
      <c r="E737" s="11">
        <f t="shared" ref="E737:E743" si="20">E714*capBusBEmp4BaseExp</f>
        <v>180000</v>
      </c>
      <c r="F737" t="s">
        <v>2792</v>
      </c>
      <c r="G737" t="b">
        <f>MAX(E737:E737)=MIN(E737:E737)</f>
        <v>1</v>
      </c>
    </row>
    <row r="738" spans="1:7" ht="11.25">
      <c r="B738" t="s">
        <v>724</v>
      </c>
      <c r="E738" s="11">
        <f t="shared" si="20"/>
        <v>0</v>
      </c>
      <c r="F738" t="s">
        <v>2793</v>
      </c>
      <c r="G738" t="b">
        <f>MAX(E738:E738)=MIN(E738:E738)</f>
        <v>1</v>
      </c>
    </row>
    <row r="739" spans="1:7" ht="11.25">
      <c r="B739" t="s">
        <v>725</v>
      </c>
      <c r="E739" s="11">
        <f t="shared" si="20"/>
        <v>0</v>
      </c>
      <c r="F739" t="s">
        <v>2794</v>
      </c>
      <c r="G739" t="b">
        <f>MAX(E739:E739)=MIN(E739:E739)</f>
        <v>1</v>
      </c>
    </row>
    <row r="740" spans="1:7" ht="11.25">
      <c r="B740" t="s">
        <v>4268</v>
      </c>
      <c r="E740" s="11">
        <f t="shared" si="20"/>
        <v>405000</v>
      </c>
      <c r="F740" t="s">
        <v>2820</v>
      </c>
      <c r="G740" t="b">
        <f>MAX(E740:E740)=MIN(E740:E740)</f>
        <v>1</v>
      </c>
    </row>
    <row r="741" spans="1:7" ht="11.25">
      <c r="B741" t="s">
        <v>3585</v>
      </c>
      <c r="E741" s="11">
        <f t="shared" si="20"/>
        <v>0</v>
      </c>
      <c r="F741" t="s">
        <v>2821</v>
      </c>
      <c r="G741" t="b">
        <f>MAX(E741:E741)=MIN(E741:E741)</f>
        <v>1</v>
      </c>
    </row>
    <row r="742" spans="1:7" ht="11.25">
      <c r="B742" t="s">
        <v>2284</v>
      </c>
      <c r="E742" s="11">
        <f t="shared" si="20"/>
        <v>132000</v>
      </c>
      <c r="F742" t="s">
        <v>2822</v>
      </c>
      <c r="G742" t="b">
        <f>MAX(E742:E742)=MIN(E742:E742)</f>
        <v>1</v>
      </c>
    </row>
    <row r="743" spans="1:7" ht="11.25">
      <c r="B743" t="s">
        <v>4522</v>
      </c>
      <c r="E743" s="11">
        <f t="shared" si="20"/>
        <v>0</v>
      </c>
      <c r="F743" t="s">
        <v>4284</v>
      </c>
      <c r="G743" t="b">
        <f>MAX(E743:E743)=MIN(E743:E743)</f>
        <v>1</v>
      </c>
    </row>
    <row r="744" spans="1:7" ht="11.25">
      <c r="B744" t="s">
        <v>4515</v>
      </c>
      <c r="E744" s="11">
        <f>MAX(0,E721*capBusBEmp4BaseExp)</f>
        <v>2583000</v>
      </c>
      <c r="F744" t="s">
        <v>2795</v>
      </c>
      <c r="G744" t="b">
        <f>MAX(E744:E744)=MIN(E744:E744)</f>
        <v>1</v>
      </c>
    </row>
    <row r="745" spans="1:7" ht="11.25">
      <c r="G745" t="b">
        <f>MAX(E745:E745)=MIN(E745:E745)</f>
        <v>1</v>
      </c>
    </row>
    <row r="746" spans="1:7" ht="11.25">
      <c r="A746" s="140" t="str">
        <f>DataNameEmp7 &amp; " Required"</f>
        <v>SI &amp; T Sr. Exec. Required</v>
      </c>
      <c r="B746" s="140"/>
      <c r="C746" s="140"/>
      <c r="D746" s="140"/>
      <c r="E746" s="140"/>
      <c r="G746" t="b">
        <f>MAX(E746:E746)=MIN(E746:E746)</f>
        <v>1</v>
      </c>
    </row>
    <row r="747" spans="1:7" ht="11.25">
      <c r="G747" t="b">
        <f>MAX(E747:E747)=MIN(E747:E747)</f>
        <v>1</v>
      </c>
    </row>
    <row r="748" spans="1:7" ht="11.25">
      <c r="B748" s="2" t="str">
        <f>DataNameEmp7 &amp; " Recruited"</f>
        <v>SI &amp; T Sr. Exec. Recruited</v>
      </c>
      <c r="C748" s="2"/>
      <c r="D748" s="2"/>
      <c r="E748" s="2"/>
      <c r="G748" t="b">
        <f>MAX(E748:E748)=MIN(E748:E748)</f>
        <v>1</v>
      </c>
    </row>
    <row r="749" spans="1:7" ht="11.25">
      <c r="C749" t="s">
        <v>4253</v>
      </c>
      <c r="E749" s="445">
        <f>obalEmp7Recruited</f>
        <v>0</v>
      </c>
      <c r="G749" t="b">
        <f>MAX(E749:E749)=MIN(E749:E749)</f>
        <v>1</v>
      </c>
    </row>
    <row r="750" spans="1:7" ht="11.25">
      <c r="B750" s="2" t="str">
        <f>DataNameEmp7&amp;" Dismissed"</f>
        <v>SI &amp; T Sr. Exec. Dismissed</v>
      </c>
      <c r="C750" s="2"/>
      <c r="D750" s="2"/>
      <c r="E750" s="13"/>
      <c r="G750" t="b">
        <f>MAX(E750:E750)=MIN(E750:E750)</f>
        <v>1</v>
      </c>
    </row>
    <row r="751" spans="1:7" ht="11.25">
      <c r="C751" t="s">
        <v>4253</v>
      </c>
      <c r="E751" s="447">
        <f>decEmp7BusADismiss</f>
        <v>0</v>
      </c>
      <c r="G751" t="b">
        <f>MAX(E751:E751)=MIN(E751:E751)</f>
        <v>1</v>
      </c>
    </row>
    <row r="752" spans="1:7" ht="11.25">
      <c r="B752" s="2" t="str">
        <f>DataNameEmp7&amp;" Attrition"</f>
        <v>SI &amp; T Sr. Exec. Attrition</v>
      </c>
      <c r="C752" s="2"/>
      <c r="D752" s="2"/>
      <c r="E752" s="2"/>
      <c r="F752" t="s">
        <v>490</v>
      </c>
      <c r="G752" t="b">
        <f>MAX(E752:E752)=MIN(E752:E752)</f>
        <v>1</v>
      </c>
    </row>
    <row r="753" spans="2:7" ht="11.25">
      <c r="C753" t="s">
        <v>4253</v>
      </c>
      <c r="E753" s="21">
        <f>ROUNDUP(obalBusAEmp7*paramEmp7AttRate,0)</f>
        <v>6</v>
      </c>
      <c r="F753" t="s">
        <v>491</v>
      </c>
      <c r="G753" t="b">
        <f>MAX(E753:E753)=MIN(E753:E753)</f>
        <v>1</v>
      </c>
    </row>
    <row r="754" spans="2:7" ht="11.25">
      <c r="B754" s="2" t="str">
        <f>DataNameEmp7 &amp; " Ending"</f>
        <v>SI &amp; T Sr. Exec. Ending</v>
      </c>
      <c r="C754" s="2"/>
      <c r="D754" s="2"/>
      <c r="E754" s="2"/>
      <c r="F754" s="2"/>
      <c r="G754" t="b">
        <f>MAX(E754:E754)=MIN(E754:E754)</f>
        <v>1</v>
      </c>
    </row>
    <row r="755" spans="2:7" ht="11.25">
      <c r="B755" s="2"/>
      <c r="C755" t="s">
        <v>4253</v>
      </c>
      <c r="D755" s="2"/>
      <c r="E755" s="21">
        <f>ROUNDUP(MAX(obalBusAEmp7+E749-E751-E753,0),0)</f>
        <v>61</v>
      </c>
      <c r="F755" t="s">
        <v>492</v>
      </c>
      <c r="G755" t="b">
        <f>MAX(E755:E755)=MIN(E755:E755)</f>
        <v>1</v>
      </c>
    </row>
    <row r="756" spans="2:7" ht="11.25">
      <c r="B756" s="2"/>
      <c r="C756" s="4" t="s">
        <v>4231</v>
      </c>
      <c r="D756" s="2"/>
      <c r="E756" s="21">
        <f>capBusAEmp7End*paramEmp7HoursPYear</f>
        <v>122000</v>
      </c>
      <c r="F756" t="s">
        <v>493</v>
      </c>
      <c r="G756" t="b">
        <f>MAX(E756:E756)=MIN(E756:E756)</f>
        <v>1</v>
      </c>
    </row>
    <row r="757" spans="2:7" ht="11.25">
      <c r="B757" s="2" t="str">
        <f>DataNameEmp7 &amp; " Required"</f>
        <v>SI &amp; T Sr. Exec. Required</v>
      </c>
      <c r="C757" s="2"/>
      <c r="D757" s="2"/>
      <c r="E757" s="2"/>
      <c r="F757" t="s">
        <v>494</v>
      </c>
      <c r="G757" t="b">
        <f>MAX(E757:E757)=MIN(E757:E757)</f>
        <v>1</v>
      </c>
    </row>
    <row r="758" spans="2:7" ht="11.25">
      <c r="B758" s="2"/>
      <c r="C758" t="s">
        <v>4253</v>
      </c>
      <c r="D758" s="2"/>
      <c r="E758" s="270"/>
      <c r="F758" t="s">
        <v>495</v>
      </c>
      <c r="G758" t="b">
        <f>MAX(E758:E758)=MIN(E758:E758)</f>
        <v>1</v>
      </c>
    </row>
    <row r="759" spans="2:7" ht="11.25">
      <c r="B759" s="2" t="str">
        <f>DataNameEmp7&amp;" Utilization"</f>
        <v>SI &amp; T Sr. Exec. Utilization</v>
      </c>
      <c r="C759" s="2"/>
      <c r="D759" s="2"/>
      <c r="E759" s="2"/>
      <c r="F759" t="s">
        <v>496</v>
      </c>
      <c r="G759" t="b">
        <f>MAX(E759:E759)=MIN(E759:E759)</f>
        <v>1</v>
      </c>
    </row>
    <row r="760" spans="2:7" ht="11.25">
      <c r="C760" t="s">
        <v>4253</v>
      </c>
      <c r="E760" s="271">
        <f>(decBusAEmp7HrsCurrProj+decBusAEmp7HrsCurrProjV2+decBusAEmp7HrsCurrProjV3+decBusAEmp7HrsSales+decBusAEmp7HrsSalesV2+decBusAEmp7HrsSalesV3+capBusAEmp7CompDevTtlHrReq+capEmp7BusAGeneralTrainingHrs+paramSpecProgramEmp7BusAInitHrsReq)/(paramEmp7HoursPYear*cbalBusAEmp7)</f>
        <v>0.72606557377049186</v>
      </c>
      <c r="F760" t="s">
        <v>119</v>
      </c>
      <c r="G760" t="b">
        <f>MAX(E760:E760)=MIN(E760:E760)</f>
        <v>1</v>
      </c>
    </row>
    <row r="761" spans="2:7" ht="11.25">
      <c r="B761" s="2" t="s">
        <v>997</v>
      </c>
      <c r="E761" s="11">
        <f>E755*obalEmp4Salary</f>
        <v>18300000</v>
      </c>
      <c r="F761" t="s">
        <v>120</v>
      </c>
      <c r="G761" t="b">
        <f>MAX(E761:E761)=MIN(E761:E761)</f>
        <v>1</v>
      </c>
    </row>
    <row r="762" spans="2:7" ht="11.25">
      <c r="E762" s="11"/>
      <c r="G762" t="b">
        <f>MAX(E762:E762)=MIN(E762:E762)</f>
        <v>1</v>
      </c>
    </row>
    <row r="763" spans="2:7" ht="11.25">
      <c r="B763" s="2" t="str">
        <f>DataNameEmp7 &amp; " Total Expense"</f>
        <v>SI &amp; T Sr. Exec. Total Expense</v>
      </c>
      <c r="C763" s="2"/>
      <c r="D763" s="2"/>
      <c r="E763" s="13">
        <f>SUM(E761)</f>
        <v>18300000</v>
      </c>
      <c r="F763" t="s">
        <v>121</v>
      </c>
      <c r="G763" t="b">
        <f>MAX(E763:E763)=MIN(E763:E763)</f>
        <v>1</v>
      </c>
    </row>
    <row r="764" spans="2:7" ht="11.25">
      <c r="B764" s="2"/>
      <c r="G764" t="b">
        <f>MAX(E764:E764)=MIN(E764:E764)</f>
        <v>1</v>
      </c>
    </row>
    <row r="765" spans="2:7" ht="11.25">
      <c r="B765" t="str">
        <f>DataNameEmp7&amp;" Recruitment/Dismissal Costs"</f>
        <v>SI &amp; T Sr. Exec. Recruitment/Dismissal Costs</v>
      </c>
      <c r="G765" t="b">
        <f>MAX(E765:E765)=MIN(E765:E765)</f>
        <v>1</v>
      </c>
    </row>
    <row r="766" spans="2:7" ht="11.25">
      <c r="D766" t="s">
        <v>3293</v>
      </c>
      <c r="E766" s="88">
        <f>ABS(paramEmp4RecDismCost*obalEmp4Salary*(VLOOKUP(decEmp4BusADismiss,dataTableEmpDismiss,2,FALSE)+decEmp4BusAHire))</f>
        <v>2205000</v>
      </c>
      <c r="F766" t="s">
        <v>122</v>
      </c>
      <c r="G766" t="b">
        <f>MAX(E766:E766)=MIN(E766:E766)</f>
        <v>1</v>
      </c>
    </row>
    <row r="767" spans="2:7" ht="11.25">
      <c r="E767" s="14">
        <f>SUM(E766:E766)</f>
        <v>2205000</v>
      </c>
      <c r="F767" t="s">
        <v>123</v>
      </c>
      <c r="G767" t="b">
        <f>MAX(E767:E767)=MIN(E767:E767)</f>
        <v>1</v>
      </c>
    </row>
    <row r="768" spans="2:7" ht="11.25">
      <c r="B768" t="str">
        <f>DataNameEmp7&amp;" Admin Cost"</f>
        <v>SI &amp; T Sr. Exec. Admin Cost</v>
      </c>
      <c r="E768" s="14"/>
      <c r="G768" t="b">
        <f>MAX(E768:E768)=MIN(E768:E768)</f>
        <v>1</v>
      </c>
    </row>
    <row r="769" spans="2:7" ht="11.25">
      <c r="D769" t="s">
        <v>3293</v>
      </c>
      <c r="E769" s="124">
        <f>capBusAEmp4BaseExp*paramEmp4AdminCostPct</f>
        <v>1170000</v>
      </c>
      <c r="F769" t="s">
        <v>124</v>
      </c>
      <c r="G769" t="b">
        <f>MAX(E769:E769)=MIN(E769:E769)</f>
        <v>1</v>
      </c>
    </row>
    <row r="770" spans="2:7" ht="11.25">
      <c r="E770" s="14">
        <f>SUM(E769:E769)</f>
        <v>1170000</v>
      </c>
      <c r="F770" t="s">
        <v>125</v>
      </c>
      <c r="G770" t="b">
        <f>MAX(E770:E770)=MIN(E770:E770)</f>
        <v>1</v>
      </c>
    </row>
    <row r="771" spans="2:7" ht="11.25">
      <c r="G771" t="b">
        <f>MAX(E771:E771)=MIN(E771:E771)</f>
        <v>1</v>
      </c>
    </row>
    <row r="772" spans="2:7" ht="11.25">
      <c r="B772" s="2" t="s">
        <v>104</v>
      </c>
      <c r="G772" t="b">
        <f>MAX(E772:E772)=MIN(E772:E772)</f>
        <v>1</v>
      </c>
    </row>
    <row r="773" spans="2:7" ht="11.25">
      <c r="B773" t="s">
        <v>2830</v>
      </c>
      <c r="E773" s="271">
        <f>decBusAEmp7HrsCurrProj/capBusAEmp7EndHrsAvailable</f>
        <v>0.32786885245901637</v>
      </c>
      <c r="F773" t="s">
        <v>126</v>
      </c>
      <c r="G773" t="b">
        <f>MAX(E773:E773)=MIN(E773:E773)</f>
        <v>1</v>
      </c>
    </row>
    <row r="774" spans="2:7" ht="11.25">
      <c r="B774" t="s">
        <v>3627</v>
      </c>
      <c r="E774" s="271">
        <f>decBusAEmp7HrsCurrProjV2/capBusAEmp7EndHrsAvailable</f>
        <v>0.24590163934426229</v>
      </c>
      <c r="F774" t="s">
        <v>1651</v>
      </c>
      <c r="G774" t="b">
        <f>MAX(E774:E774)=MIN(E774:E774)</f>
        <v>1</v>
      </c>
    </row>
    <row r="775" spans="2:7" ht="11.25">
      <c r="B775" t="s">
        <v>959</v>
      </c>
      <c r="E775" s="271">
        <f>decBusAEmp7HrsCurrProjV3/capBusAEmp7EndHrsAvailable</f>
        <v>7.3770491803278687E-2</v>
      </c>
      <c r="F775" t="s">
        <v>1652</v>
      </c>
      <c r="G775" t="b">
        <f>MAX(E775:E775)=MIN(E775:E775)</f>
        <v>1</v>
      </c>
    </row>
    <row r="776" spans="2:7" ht="11.25">
      <c r="B776" t="s">
        <v>2436</v>
      </c>
      <c r="E776" s="271">
        <f>decBusAEmp7HrsSales/capBusAEmp7EndHrsAvailable</f>
        <v>1.6393442622950821E-2</v>
      </c>
      <c r="F776" t="s">
        <v>1653</v>
      </c>
      <c r="G776" t="b">
        <f>MAX(E776:E776)=MIN(E776:E776)</f>
        <v>1</v>
      </c>
    </row>
    <row r="777" spans="2:7" ht="11.25">
      <c r="B777" t="s">
        <v>2538</v>
      </c>
      <c r="E777" s="271">
        <f>decBusAEmp7HrsSalesV2/capBusAEmp7EndHrsAvailable</f>
        <v>1.4754098360655738E-2</v>
      </c>
      <c r="F777" t="s">
        <v>1654</v>
      </c>
      <c r="G777" t="b">
        <f>MAX(E777:E777)=MIN(E777:E777)</f>
        <v>1</v>
      </c>
    </row>
    <row r="778" spans="2:7" ht="11.25">
      <c r="B778" t="s">
        <v>1370</v>
      </c>
      <c r="E778" s="271">
        <f>decBusAEmp7HrsSalesV3/capBusAEmp7EndHrsAvailable</f>
        <v>7.3770491803278691E-3</v>
      </c>
      <c r="F778" t="s">
        <v>1655</v>
      </c>
      <c r="G778" t="b">
        <f>MAX(E778:E778)=MIN(E778:E778)</f>
        <v>1</v>
      </c>
    </row>
    <row r="779" spans="2:7" ht="11.25">
      <c r="B779" t="s">
        <v>1799</v>
      </c>
      <c r="E779" s="271">
        <f>capBusAEmp7CompDevTtlHrReq/capBusAEmp7EndHrsAvailable</f>
        <v>0</v>
      </c>
      <c r="F779" t="s">
        <v>1656</v>
      </c>
      <c r="G779" t="b">
        <f>MAX(E779:E779)=MIN(E779:E779)</f>
        <v>1</v>
      </c>
    </row>
    <row r="780" spans="2:7" ht="11.25">
      <c r="B780" t="s">
        <v>2284</v>
      </c>
      <c r="E780" s="271">
        <f>capEmp7BusAGeneralTrainingHrs/capBusAEmp7EndHrsAvailable</f>
        <v>0.04</v>
      </c>
      <c r="F780" t="s">
        <v>1657</v>
      </c>
      <c r="G780" t="b">
        <f>MAX(E780:E780)=MIN(E780:E780)</f>
        <v>1</v>
      </c>
    </row>
    <row r="781" spans="2:7" ht="11.25">
      <c r="B781" t="s">
        <v>4522</v>
      </c>
      <c r="E781" s="271">
        <f>paramSpecProgramEmp7BusAInitHrsReq/capBusAEmp7EndHrsAvailable</f>
        <v>0</v>
      </c>
      <c r="F781" t="s">
        <v>1658</v>
      </c>
      <c r="G781" t="b">
        <f>MAX(E781:E781)=MIN(E781:E781)</f>
        <v>1</v>
      </c>
    </row>
    <row r="782" spans="2:7" ht="11.25">
      <c r="B782" t="s">
        <v>4550</v>
      </c>
      <c r="E782" s="271">
        <f>1-capBusAEmp7Utiliz</f>
        <v>0.27393442622950814</v>
      </c>
      <c r="F782" t="s">
        <v>4185</v>
      </c>
      <c r="G782" t="b">
        <f>MAX(E782:E782)=MIN(E782:E782)</f>
        <v>1</v>
      </c>
    </row>
    <row r="783" spans="2:7" ht="11.25">
      <c r="E783" s="271"/>
      <c r="G783" t="b">
        <f>MAX(E783:E783)=MIN(E783:E783)</f>
        <v>1</v>
      </c>
    </row>
    <row r="784" spans="2:7" ht="3" customHeight="1">
      <c r="B784" s="70"/>
      <c r="C784" s="70"/>
      <c r="D784" s="70"/>
      <c r="E784" s="70"/>
      <c r="G784" t="b">
        <f>MAX(E784:E784)=MIN(E784:E784)</f>
        <v>1</v>
      </c>
    </row>
    <row r="785" spans="1:7" ht="11.25">
      <c r="G785" t="b">
        <f>MAX(E785:E785)=MIN(E785:E785)</f>
        <v>1</v>
      </c>
    </row>
    <row r="786" spans="1:7" ht="11.25">
      <c r="B786" s="2" t="s">
        <v>2442</v>
      </c>
      <c r="G786" t="b">
        <f>MAX(E786:E786)=MIN(E786:E786)</f>
        <v>1</v>
      </c>
    </row>
    <row r="787" spans="1:7" ht="11.25">
      <c r="B787" t="s">
        <v>2443</v>
      </c>
      <c r="E787" s="605">
        <f t="shared" ref="E787:E795" si="21">E773*capBusAEmp7BaseExp</f>
        <v>6000000</v>
      </c>
      <c r="F787" t="s">
        <v>4186</v>
      </c>
      <c r="G787" t="b">
        <f>MAX(E787:E787)=MIN(E787:E787)</f>
        <v>1</v>
      </c>
    </row>
    <row r="788" spans="1:7" ht="11.25">
      <c r="B788" t="s">
        <v>2444</v>
      </c>
      <c r="E788" s="605">
        <f t="shared" si="21"/>
        <v>4500000</v>
      </c>
      <c r="F788" t="s">
        <v>4187</v>
      </c>
      <c r="G788" t="b">
        <f>MAX(E788:E788)=MIN(E788:E788)</f>
        <v>1</v>
      </c>
    </row>
    <row r="789" spans="1:7" ht="11.25">
      <c r="B789" t="s">
        <v>2445</v>
      </c>
      <c r="E789" s="605">
        <f t="shared" si="21"/>
        <v>1350000</v>
      </c>
      <c r="F789" t="s">
        <v>4188</v>
      </c>
      <c r="G789" t="b">
        <f>MAX(E789:E789)=MIN(E789:E789)</f>
        <v>1</v>
      </c>
    </row>
    <row r="790" spans="1:7" ht="11.25">
      <c r="B790" t="s">
        <v>717</v>
      </c>
      <c r="E790" s="605">
        <f t="shared" si="21"/>
        <v>300000</v>
      </c>
      <c r="F790" t="s">
        <v>4189</v>
      </c>
      <c r="G790" t="b">
        <f>MAX(E790:E790)=MIN(E790:E790)</f>
        <v>1</v>
      </c>
    </row>
    <row r="791" spans="1:7" ht="11.25">
      <c r="B791" t="s">
        <v>718</v>
      </c>
      <c r="E791" s="605">
        <f t="shared" si="21"/>
        <v>270000</v>
      </c>
      <c r="F791" t="s">
        <v>4190</v>
      </c>
      <c r="G791" t="b">
        <f>MAX(E791:E791)=MIN(E791:E791)</f>
        <v>1</v>
      </c>
    </row>
    <row r="792" spans="1:7" ht="11.25">
      <c r="B792" t="s">
        <v>719</v>
      </c>
      <c r="E792" s="605">
        <f t="shared" si="21"/>
        <v>135000</v>
      </c>
      <c r="F792" t="s">
        <v>4191</v>
      </c>
      <c r="G792" t="b">
        <f>MAX(E792:E792)=MIN(E792:E792)</f>
        <v>1</v>
      </c>
    </row>
    <row r="793" spans="1:7" ht="11.25">
      <c r="B793" t="s">
        <v>720</v>
      </c>
      <c r="E793" s="605">
        <f t="shared" si="21"/>
        <v>0</v>
      </c>
      <c r="F793" t="s">
        <v>4192</v>
      </c>
      <c r="G793" t="b">
        <f>MAX(E793:E793)=MIN(E793:E793)</f>
        <v>1</v>
      </c>
    </row>
    <row r="794" spans="1:7" ht="11.25">
      <c r="B794" t="s">
        <v>1585</v>
      </c>
      <c r="E794" s="605">
        <f t="shared" si="21"/>
        <v>732000</v>
      </c>
      <c r="F794" t="s">
        <v>3573</v>
      </c>
      <c r="G794" t="b">
        <f>MAX(E794:E794)=MIN(E794:E794)</f>
        <v>1</v>
      </c>
    </row>
    <row r="795" spans="1:7" ht="11.25">
      <c r="B795" t="s">
        <v>4522</v>
      </c>
      <c r="E795" s="605">
        <f t="shared" si="21"/>
        <v>0</v>
      </c>
      <c r="F795" t="s">
        <v>3574</v>
      </c>
      <c r="G795" t="b">
        <f>MAX(E795:E795)=MIN(E795:E795)</f>
        <v>1</v>
      </c>
    </row>
    <row r="796" spans="1:7" ht="11.25">
      <c r="B796" t="s">
        <v>721</v>
      </c>
      <c r="E796" s="605">
        <f>MAX(0,E782*capBusAEmp7BaseExp)</f>
        <v>5012999.9999999991</v>
      </c>
      <c r="F796" t="s">
        <v>3575</v>
      </c>
      <c r="G796" t="b">
        <f>MAX(E796:E796)=MIN(E796:E796)</f>
        <v>1</v>
      </c>
    </row>
    <row r="797" spans="1:7" ht="11.25">
      <c r="E797" s="605"/>
    </row>
    <row r="798" spans="1:7" ht="11.25">
      <c r="A798" s="140" t="str">
        <f>DataNameEmp8 &amp; " Required"</f>
        <v>SI &amp; T Sr. Mgr Required</v>
      </c>
      <c r="B798" s="140"/>
      <c r="C798" s="140"/>
      <c r="D798" s="140"/>
      <c r="E798" s="140"/>
      <c r="G798" t="b">
        <f>MAX(E798:E798)=MIN(E798:E798)</f>
        <v>1</v>
      </c>
    </row>
    <row r="799" spans="1:7" ht="11.25">
      <c r="G799" t="b">
        <f>MAX(E799:E799)=MIN(E799:E799)</f>
        <v>1</v>
      </c>
    </row>
    <row r="800" spans="1:7" ht="11.25">
      <c r="B800" s="2" t="str">
        <f>DataNameEmp8 &amp; " Recruited"</f>
        <v>SI &amp; T Sr. Mgr Recruited</v>
      </c>
      <c r="C800" s="2"/>
      <c r="D800" s="2"/>
      <c r="E800" s="2"/>
      <c r="G800" t="b">
        <f>MAX(E800:E800)=MIN(E800:E800)</f>
        <v>1</v>
      </c>
    </row>
    <row r="801" spans="2:7" ht="11.25">
      <c r="C801" t="s">
        <v>4253</v>
      </c>
      <c r="E801" s="445">
        <f>obalEmp8Recruited</f>
        <v>0</v>
      </c>
      <c r="G801" t="b">
        <f>MAX(E801:E801)=MIN(E801:E801)</f>
        <v>1</v>
      </c>
    </row>
    <row r="802" spans="2:7" ht="11.25">
      <c r="B802" s="2" t="str">
        <f>DataNameEmp8&amp;" Dismissed"</f>
        <v>SI &amp; T Sr. Mgr Dismissed</v>
      </c>
      <c r="C802" s="2"/>
      <c r="D802" s="2"/>
      <c r="E802" s="13"/>
      <c r="G802" t="b">
        <f>MAX(E802:E802)=MIN(E802:E802)</f>
        <v>1</v>
      </c>
    </row>
    <row r="803" spans="2:7" ht="11.25">
      <c r="C803" t="s">
        <v>4253</v>
      </c>
      <c r="E803" s="447">
        <f>decEmp8BusADismiss</f>
        <v>0</v>
      </c>
      <c r="G803" t="b">
        <f>MAX(E803:E803)=MIN(E803:E803)</f>
        <v>1</v>
      </c>
    </row>
    <row r="804" spans="2:7" ht="11.25">
      <c r="B804" s="2" t="str">
        <f>DataNameEmp8&amp;" Attrition"</f>
        <v>SI &amp; T Sr. Mgr Attrition</v>
      </c>
      <c r="C804" s="2"/>
      <c r="D804" s="2"/>
      <c r="E804" s="2"/>
      <c r="F804" t="s">
        <v>969</v>
      </c>
      <c r="G804" t="b">
        <f>MAX(E804:E804)=MIN(E804:E804)</f>
        <v>1</v>
      </c>
    </row>
    <row r="805" spans="2:7" ht="11.25">
      <c r="C805" t="s">
        <v>4253</v>
      </c>
      <c r="E805" s="21">
        <f>ROUNDUP(obalBusAEmp8*paramEmp8AttRate,0)</f>
        <v>31</v>
      </c>
      <c r="F805" t="s">
        <v>970</v>
      </c>
      <c r="G805" t="b">
        <f>MAX(E805:E805)=MIN(E805:E805)</f>
        <v>1</v>
      </c>
    </row>
    <row r="806" spans="2:7" ht="11.25">
      <c r="B806" s="2" t="str">
        <f>DataNameEmp8 &amp; " Ending"</f>
        <v>SI &amp; T Sr. Mgr Ending</v>
      </c>
      <c r="C806" s="2"/>
      <c r="D806" s="2"/>
      <c r="E806" s="2"/>
      <c r="F806" s="2"/>
      <c r="G806" t="b">
        <f>MAX(E806:E806)=MIN(E806:E806)</f>
        <v>1</v>
      </c>
    </row>
    <row r="807" spans="2:7" ht="11.25">
      <c r="B807" s="2"/>
      <c r="C807" t="s">
        <v>4253</v>
      </c>
      <c r="D807" s="2"/>
      <c r="E807" s="21">
        <f>ROUNDUP(MAX(obalBusAEmp8+E801-E803-E805,0),0)</f>
        <v>171</v>
      </c>
      <c r="F807" t="s">
        <v>796</v>
      </c>
      <c r="G807" t="b">
        <f>MAX(E807:E807)=MIN(E807:E807)</f>
        <v>1</v>
      </c>
    </row>
    <row r="808" spans="2:7" ht="11.25">
      <c r="B808" s="2"/>
      <c r="C808" s="4" t="s">
        <v>4231</v>
      </c>
      <c r="D808" s="2"/>
      <c r="E808" s="21">
        <f>capBusAEmp8End*paramEmp8HoursPYear</f>
        <v>342000</v>
      </c>
      <c r="F808" t="s">
        <v>797</v>
      </c>
      <c r="G808" t="b">
        <f>MAX(E808:E808)=MIN(E808:E808)</f>
        <v>1</v>
      </c>
    </row>
    <row r="809" spans="2:7" ht="11.25">
      <c r="B809" s="2" t="str">
        <f>DataNameEmp8 &amp; " Required"</f>
        <v>SI &amp; T Sr. Mgr Required</v>
      </c>
      <c r="C809" s="2"/>
      <c r="D809" s="2"/>
      <c r="E809" s="2"/>
      <c r="F809" t="s">
        <v>798</v>
      </c>
      <c r="G809" t="b">
        <f>MAX(E809:E809)=MIN(E809:E809)</f>
        <v>1</v>
      </c>
    </row>
    <row r="810" spans="2:7" ht="11.25">
      <c r="B810" s="2"/>
      <c r="C810" t="s">
        <v>4253</v>
      </c>
      <c r="D810" s="2"/>
      <c r="E810" s="270"/>
      <c r="F810" t="s">
        <v>799</v>
      </c>
      <c r="G810" t="b">
        <f>MAX(E810:E810)=MIN(E810:E810)</f>
        <v>1</v>
      </c>
    </row>
    <row r="811" spans="2:7" ht="11.25">
      <c r="B811" s="2" t="str">
        <f>DataNameEmp8&amp;" Utilization"</f>
        <v>SI &amp; T Sr. Mgr Utilization</v>
      </c>
      <c r="C811" s="2"/>
      <c r="D811" s="2"/>
      <c r="E811" s="2"/>
      <c r="F811" t="s">
        <v>800</v>
      </c>
      <c r="G811" t="b">
        <f>MAX(E811:E811)=MIN(E811:E811)</f>
        <v>1</v>
      </c>
    </row>
    <row r="812" spans="2:7" ht="11.25">
      <c r="C812" t="s">
        <v>4253</v>
      </c>
      <c r="E812" s="271">
        <f>(decBusAEmp8HrsCurrProj+decBusAEmp8HrsCurrProjV2+decBusAEmp8HrsCurrProjV3+decBusAEmp8HrsSales+decBusAEmp8HrsSalesV2+decBusAEmp8HrsSalesV3+capBusAEmp8CompDevTtlHrReq+capEmp8BusAGeneralTrainingHrs+paramSpecProgramEmp8BusAInitHrsReq)/(paramEmp8HoursPYear*cbalBusAEmp8)</f>
        <v>0.82228070175438595</v>
      </c>
      <c r="F812" t="s">
        <v>801</v>
      </c>
      <c r="G812" t="b">
        <f>MAX(E812:E812)=MIN(E812:E812)</f>
        <v>1</v>
      </c>
    </row>
    <row r="813" spans="2:7" ht="11.25">
      <c r="B813" s="2" t="s">
        <v>997</v>
      </c>
      <c r="E813" s="11">
        <f>E807*obalEmp4Salary</f>
        <v>51300000</v>
      </c>
      <c r="F813" t="s">
        <v>802</v>
      </c>
      <c r="G813" t="b">
        <f>MAX(E813:E813)=MIN(E813:E813)</f>
        <v>1</v>
      </c>
    </row>
    <row r="814" spans="2:7" ht="11.25">
      <c r="E814" s="11"/>
      <c r="G814" t="b">
        <f>MAX(E814:E814)=MIN(E814:E814)</f>
        <v>1</v>
      </c>
    </row>
    <row r="815" spans="2:7" ht="11.25">
      <c r="B815" s="2" t="str">
        <f>DataNameEmp8 &amp; " Total Expense"</f>
        <v>SI &amp; T Sr. Mgr Total Expense</v>
      </c>
      <c r="C815" s="2"/>
      <c r="D815" s="2"/>
      <c r="E815" s="13">
        <f>SUM(E813)</f>
        <v>51300000</v>
      </c>
      <c r="F815" t="s">
        <v>803</v>
      </c>
      <c r="G815" t="b">
        <f>MAX(E815:E815)=MIN(E815:E815)</f>
        <v>1</v>
      </c>
    </row>
    <row r="816" spans="2:7" ht="11.25">
      <c r="B816" s="2"/>
      <c r="G816" t="b">
        <f>MAX(E816:E816)=MIN(E816:E816)</f>
        <v>1</v>
      </c>
    </row>
    <row r="817" spans="2:7" ht="11.25">
      <c r="B817" t="str">
        <f>DataNameEmp8&amp;" Recruitment/Dismissal Costs"</f>
        <v>SI &amp; T Sr. Mgr Recruitment/Dismissal Costs</v>
      </c>
      <c r="G817" t="b">
        <f>MAX(E817:E817)=MIN(E817:E817)</f>
        <v>1</v>
      </c>
    </row>
    <row r="818" spans="2:7" ht="11.25">
      <c r="D818" t="s">
        <v>3293</v>
      </c>
      <c r="E818" s="88">
        <f>ABS(paramEmp8RecDismCost*obalEmp3Salary*(decEmp8BusADismiss+decEmp8BusAHire))</f>
        <v>0</v>
      </c>
      <c r="F818" t="s">
        <v>804</v>
      </c>
      <c r="G818" t="b">
        <f>MAX(E818:E818)=MIN(E818:E818)</f>
        <v>1</v>
      </c>
    </row>
    <row r="819" spans="2:7" ht="11.25">
      <c r="E819" s="14">
        <f>SUM(E818:E818)</f>
        <v>0</v>
      </c>
      <c r="F819" t="s">
        <v>805</v>
      </c>
      <c r="G819" t="b">
        <f>MAX(E819:E819)=MIN(E819:E819)</f>
        <v>1</v>
      </c>
    </row>
    <row r="820" spans="2:7" ht="11.25">
      <c r="B820" t="str">
        <f>DataNameEmp8&amp;" Admin Cost"</f>
        <v>SI &amp; T Sr. Mgr Admin Cost</v>
      </c>
      <c r="E820" s="14"/>
      <c r="G820" t="b">
        <f>MAX(E820:E820)=MIN(E820:E820)</f>
        <v>1</v>
      </c>
    </row>
    <row r="821" spans="2:7" ht="11.25">
      <c r="D821" t="s">
        <v>3293</v>
      </c>
      <c r="E821" s="124">
        <f>capBusAEmp8BaseExp*paramEmp8AdminCostPct</f>
        <v>2565000</v>
      </c>
      <c r="F821" t="s">
        <v>806</v>
      </c>
      <c r="G821" t="b">
        <f>MAX(E821:E821)=MIN(E821:E821)</f>
        <v>1</v>
      </c>
    </row>
    <row r="822" spans="2:7" ht="11.25">
      <c r="E822" s="14">
        <f>SUM(E821:E821)</f>
        <v>2565000</v>
      </c>
      <c r="F822" t="s">
        <v>807</v>
      </c>
      <c r="G822" t="b">
        <f>MAX(E822:E822)=MIN(E822:E822)</f>
        <v>1</v>
      </c>
    </row>
    <row r="823" spans="2:7" ht="11.25">
      <c r="G823" t="b">
        <f>MAX(E823:E823)=MIN(E823:E823)</f>
        <v>1</v>
      </c>
    </row>
    <row r="824" spans="2:7" ht="11.25">
      <c r="B824" s="2" t="s">
        <v>104</v>
      </c>
      <c r="G824" t="b">
        <f>MAX(E824:E824)=MIN(E824:E824)</f>
        <v>1</v>
      </c>
    </row>
    <row r="825" spans="2:7" ht="11.25">
      <c r="B825" t="s">
        <v>2830</v>
      </c>
      <c r="E825" s="271">
        <f>decBusAEmp8HrsCurrProj/capBusAEmp8EndHrsAvailable</f>
        <v>0.38011695906432746</v>
      </c>
      <c r="F825" t="s">
        <v>808</v>
      </c>
      <c r="G825" t="b">
        <f>MAX(E825:E825)=MIN(E825:E825)</f>
        <v>1</v>
      </c>
    </row>
    <row r="826" spans="2:7" ht="11.25">
      <c r="B826" t="s">
        <v>3627</v>
      </c>
      <c r="E826" s="271">
        <f>decBusAEmp8HrsCurrProjV2/capBusAEmp8EndHrsAvailable</f>
        <v>0.23391812865497075</v>
      </c>
      <c r="F826" t="s">
        <v>809</v>
      </c>
      <c r="G826" t="b">
        <f>MAX(E826:E826)=MIN(E826:E826)</f>
        <v>1</v>
      </c>
    </row>
    <row r="827" spans="2:7" ht="11.25">
      <c r="B827" t="s">
        <v>959</v>
      </c>
      <c r="E827" s="271">
        <f>decBusAEmp8HrsCurrProjV3/capBusAEmp8EndHrsAvailable</f>
        <v>9.3567251461988299E-2</v>
      </c>
      <c r="F827" t="s">
        <v>810</v>
      </c>
      <c r="G827" t="b">
        <f>MAX(E827:E827)=MIN(E827:E827)</f>
        <v>1</v>
      </c>
    </row>
    <row r="828" spans="2:7" ht="11.25">
      <c r="B828" t="s">
        <v>2436</v>
      </c>
      <c r="E828" s="271">
        <f>decBusAEmp8HrsSales/capBusAEmp8EndHrsAvailable</f>
        <v>2.046783625730994E-2</v>
      </c>
      <c r="F828" t="s">
        <v>811</v>
      </c>
      <c r="G828" t="b">
        <f>MAX(E828:E828)=MIN(E828:E828)</f>
        <v>1</v>
      </c>
    </row>
    <row r="829" spans="2:7" ht="11.25">
      <c r="B829" t="s">
        <v>2538</v>
      </c>
      <c r="E829" s="271">
        <f>decBusAEmp8HrsSalesV2/capBusAEmp8EndHrsAvailable</f>
        <v>2.4853801169590642E-2</v>
      </c>
      <c r="F829" t="s">
        <v>4133</v>
      </c>
      <c r="G829" t="b">
        <f>MAX(E829:E829)=MIN(E829:E829)</f>
        <v>1</v>
      </c>
    </row>
    <row r="830" spans="2:7" ht="11.25">
      <c r="B830" t="s">
        <v>1370</v>
      </c>
      <c r="E830" s="271">
        <f>decBusAEmp8HrsSalesV3/capBusAEmp8EndHrsAvailable</f>
        <v>9.3567251461988306E-3</v>
      </c>
      <c r="F830" t="s">
        <v>4134</v>
      </c>
      <c r="G830" t="b">
        <f>MAX(E830:E830)=MIN(E830:E830)</f>
        <v>1</v>
      </c>
    </row>
    <row r="831" spans="2:7" ht="11.25">
      <c r="B831" t="s">
        <v>1799</v>
      </c>
      <c r="E831" s="271">
        <f>capBusAEmp8CompDevTtlHrReq/capBusAEmp8EndHrsAvailable</f>
        <v>0</v>
      </c>
      <c r="F831" t="s">
        <v>4299</v>
      </c>
      <c r="G831" t="b">
        <f>MAX(E831:E831)=MIN(E831:E831)</f>
        <v>1</v>
      </c>
    </row>
    <row r="832" spans="2:7" ht="11.25">
      <c r="B832" t="s">
        <v>2284</v>
      </c>
      <c r="E832" s="271">
        <f>capEmp8BusAGeneralTrainingHrs/capBusAEmp8EndHrsAvailable</f>
        <v>0.06</v>
      </c>
      <c r="F832" t="s">
        <v>3377</v>
      </c>
      <c r="G832" t="b">
        <f>MAX(E832:E832)=MIN(E832:E832)</f>
        <v>1</v>
      </c>
    </row>
    <row r="833" spans="2:7" ht="11.25">
      <c r="B833" t="s">
        <v>4522</v>
      </c>
      <c r="E833" s="271">
        <f>paramSpecProgramEmp8BusAInitHrsReq/capBusAEmp8EndHrsAvailable</f>
        <v>0</v>
      </c>
      <c r="F833" t="s">
        <v>3378</v>
      </c>
      <c r="G833" t="b">
        <f>MAX(E833:E833)=MIN(E833:E833)</f>
        <v>1</v>
      </c>
    </row>
    <row r="834" spans="2:7" ht="11.25">
      <c r="B834" t="s">
        <v>4550</v>
      </c>
      <c r="E834" s="271">
        <f>1-capBusAEmp8Utiliz</f>
        <v>0.17771929824561405</v>
      </c>
      <c r="F834" t="s">
        <v>3379</v>
      </c>
      <c r="G834" t="b">
        <f>MAX(E834:E834)=MIN(E834:E834)</f>
        <v>1</v>
      </c>
    </row>
    <row r="835" spans="2:7" ht="11.25">
      <c r="E835" s="271"/>
      <c r="G835" t="b">
        <f>MAX(E835:E835)=MIN(E835:E835)</f>
        <v>1</v>
      </c>
    </row>
    <row r="836" spans="2:7" ht="3" customHeight="1">
      <c r="B836" s="70"/>
      <c r="C836" s="70"/>
      <c r="D836" s="70"/>
      <c r="E836" s="70"/>
      <c r="G836" t="b">
        <f>MAX(E836:E836)=MIN(E836:E836)</f>
        <v>1</v>
      </c>
    </row>
    <row r="837" spans="2:7" ht="11.25">
      <c r="G837" t="b">
        <f>MAX(E837:E837)=MIN(E837:E837)</f>
        <v>1</v>
      </c>
    </row>
    <row r="838" spans="2:7" ht="11.25">
      <c r="B838" s="2" t="s">
        <v>2442</v>
      </c>
      <c r="G838" t="b">
        <f>MAX(E838:E838)=MIN(E838:E838)</f>
        <v>1</v>
      </c>
    </row>
    <row r="839" spans="2:7" ht="11.25">
      <c r="B839" t="s">
        <v>2443</v>
      </c>
      <c r="E839" s="605">
        <f t="shared" ref="E839:E847" si="22">E825*capBusAEmp8BaseExp</f>
        <v>19500000</v>
      </c>
      <c r="F839" t="s">
        <v>3380</v>
      </c>
      <c r="G839" t="b">
        <f>MAX(E839:E839)=MIN(E839:E839)</f>
        <v>1</v>
      </c>
    </row>
    <row r="840" spans="2:7" ht="11.25">
      <c r="B840" t="s">
        <v>2444</v>
      </c>
      <c r="E840" s="605">
        <f t="shared" si="22"/>
        <v>12000000</v>
      </c>
      <c r="F840" t="s">
        <v>3381</v>
      </c>
      <c r="G840" t="b">
        <f>MAX(E840:E840)=MIN(E840:E840)</f>
        <v>1</v>
      </c>
    </row>
    <row r="841" spans="2:7" ht="11.25">
      <c r="B841" t="s">
        <v>2445</v>
      </c>
      <c r="E841" s="605">
        <f t="shared" si="22"/>
        <v>4800000</v>
      </c>
      <c r="F841" t="s">
        <v>2512</v>
      </c>
      <c r="G841" t="b">
        <f>MAX(E841:E841)=MIN(E841:E841)</f>
        <v>1</v>
      </c>
    </row>
    <row r="842" spans="2:7" ht="11.25">
      <c r="B842" t="s">
        <v>717</v>
      </c>
      <c r="E842" s="605">
        <f t="shared" si="22"/>
        <v>1050000</v>
      </c>
      <c r="F842" t="s">
        <v>2513</v>
      </c>
      <c r="G842" t="b">
        <f>MAX(E842:E842)=MIN(E842:E842)</f>
        <v>1</v>
      </c>
    </row>
    <row r="843" spans="2:7" ht="11.25">
      <c r="B843" t="s">
        <v>718</v>
      </c>
      <c r="E843" s="605">
        <f t="shared" si="22"/>
        <v>1275000</v>
      </c>
      <c r="F843" t="s">
        <v>2514</v>
      </c>
      <c r="G843" t="b">
        <f>MAX(E843:E843)=MIN(E843:E843)</f>
        <v>1</v>
      </c>
    </row>
    <row r="844" spans="2:7" ht="11.25">
      <c r="B844" t="s">
        <v>719</v>
      </c>
      <c r="E844" s="605">
        <f t="shared" si="22"/>
        <v>480000</v>
      </c>
      <c r="F844" t="s">
        <v>2515</v>
      </c>
      <c r="G844" t="b">
        <f>MAX(E844:E844)=MIN(E844:E844)</f>
        <v>1</v>
      </c>
    </row>
    <row r="845" spans="2:7" ht="11.25">
      <c r="B845" t="s">
        <v>720</v>
      </c>
      <c r="E845" s="605">
        <f t="shared" si="22"/>
        <v>0</v>
      </c>
      <c r="F845" t="s">
        <v>2516</v>
      </c>
      <c r="G845" t="b">
        <f>MAX(E845:E845)=MIN(E845:E845)</f>
        <v>1</v>
      </c>
    </row>
    <row r="846" spans="2:7" ht="11.25">
      <c r="B846" t="s">
        <v>1585</v>
      </c>
      <c r="E846" s="605">
        <f t="shared" si="22"/>
        <v>3078000</v>
      </c>
      <c r="F846" t="s">
        <v>2517</v>
      </c>
      <c r="G846" t="b">
        <f>MAX(E846:E846)=MIN(E846:E846)</f>
        <v>1</v>
      </c>
    </row>
    <row r="847" spans="2:7" ht="11.25">
      <c r="B847" t="s">
        <v>4522</v>
      </c>
      <c r="E847" s="605">
        <f t="shared" si="22"/>
        <v>0</v>
      </c>
      <c r="F847" t="s">
        <v>2518</v>
      </c>
      <c r="G847" t="b">
        <f>MAX(E847:E847)=MIN(E847:E847)</f>
        <v>1</v>
      </c>
    </row>
    <row r="848" spans="2:7" ht="11.25">
      <c r="B848" t="s">
        <v>721</v>
      </c>
      <c r="E848" s="605">
        <f>MAX(0,E834*capBusAEmp8BaseExp)</f>
        <v>9117000.0000000019</v>
      </c>
      <c r="F848" t="s">
        <v>2519</v>
      </c>
      <c r="G848" t="b">
        <f>MAX(E848:E848)=MIN(E848:E848)</f>
        <v>1</v>
      </c>
    </row>
    <row r="849" spans="1:7" ht="11.25">
      <c r="E849" s="605"/>
    </row>
    <row r="850" spans="1:7" ht="11.25">
      <c r="A850" s="140" t="str">
        <f>DataNameEmp9 &amp; " Required"</f>
        <v>Global Delivery Centers Required</v>
      </c>
      <c r="B850" s="140"/>
      <c r="C850" s="140"/>
      <c r="D850" s="140"/>
      <c r="E850" s="140"/>
      <c r="G850" t="b">
        <f>MAX(E850:E850)=MIN(E850:E850)</f>
        <v>1</v>
      </c>
    </row>
    <row r="851" spans="1:7" ht="11.25">
      <c r="G851" t="b">
        <f>MAX(E851:E851)=MIN(E851:E851)</f>
        <v>1</v>
      </c>
    </row>
    <row r="852" spans="1:7" ht="11.25">
      <c r="B852" s="2" t="str">
        <f>DataNameEmp9 &amp; " Recruited"</f>
        <v>Global Delivery Centers Recruited</v>
      </c>
      <c r="C852" s="2"/>
      <c r="D852" s="2"/>
      <c r="E852" s="2"/>
      <c r="G852" t="b">
        <f>MAX(E852:E852)=MIN(E852:E852)</f>
        <v>1</v>
      </c>
    </row>
    <row r="853" spans="1:7" ht="11.25">
      <c r="C853" t="s">
        <v>4253</v>
      </c>
      <c r="E853" s="445">
        <f>obalEmp9Recruited</f>
        <v>0</v>
      </c>
      <c r="G853" t="b">
        <f>MAX(E853:E853)=MIN(E853:E853)</f>
        <v>1</v>
      </c>
    </row>
    <row r="854" spans="1:7" ht="11.25">
      <c r="B854" s="2" t="str">
        <f>DataNameEmp9&amp;" Dismissed"</f>
        <v>Global Delivery Centers Dismissed</v>
      </c>
      <c r="C854" s="2"/>
      <c r="D854" s="2"/>
      <c r="E854" s="13"/>
      <c r="G854" t="b">
        <f>MAX(E854:E854)=MIN(E854:E854)</f>
        <v>1</v>
      </c>
    </row>
    <row r="855" spans="1:7" ht="11.25">
      <c r="C855" t="s">
        <v>4253</v>
      </c>
      <c r="E855" s="1078">
        <f>ROUNDUP(IF(decEmp9BusADismiss="Very Low",2%,IF(decEmp9BusADismiss="Low",5%,IF(decEmp9BusADismiss="Average",7%,IF(decEmp9BusADismiss="High",10%,IF(decEmp9BusADismiss="Very High",13%,0)))))*obalBusAEmp9,0)</f>
        <v>31</v>
      </c>
      <c r="G855" t="b">
        <f>MAX(E855:E855)=MIN(E855:E855)</f>
        <v>1</v>
      </c>
    </row>
    <row r="856" spans="1:7" ht="11.25">
      <c r="B856" s="2" t="str">
        <f>DataNameEmp9&amp;" Attrition"</f>
        <v>Global Delivery Centers Attrition</v>
      </c>
      <c r="C856" s="2"/>
      <c r="D856" s="2"/>
      <c r="E856" s="2"/>
      <c r="F856" t="s">
        <v>2520</v>
      </c>
      <c r="G856" t="b">
        <f>MAX(E856:E856)=MIN(E856:E856)</f>
        <v>1</v>
      </c>
    </row>
    <row r="857" spans="1:7" ht="11.25">
      <c r="C857" t="s">
        <v>4253</v>
      </c>
      <c r="E857" s="21">
        <f>ROUNDUP(obalBusAEmp9*paramEmp9AttRate,0)</f>
        <v>79</v>
      </c>
      <c r="F857" t="s">
        <v>2521</v>
      </c>
      <c r="G857" t="b">
        <f>MAX(E857:E857)=MIN(E857:E857)</f>
        <v>1</v>
      </c>
    </row>
    <row r="858" spans="1:7" ht="11.25">
      <c r="B858" s="2" t="str">
        <f>DataNameEmp9 &amp; " Ending"</f>
        <v>Global Delivery Centers Ending</v>
      </c>
      <c r="C858" s="2"/>
      <c r="D858" s="2"/>
      <c r="E858" s="2"/>
      <c r="F858" s="2"/>
      <c r="G858" t="b">
        <f>MAX(E858:E858)=MIN(E858:E858)</f>
        <v>1</v>
      </c>
    </row>
    <row r="859" spans="1:7" ht="11.25">
      <c r="B859" s="2"/>
      <c r="C859" t="s">
        <v>4253</v>
      </c>
      <c r="D859" s="2"/>
      <c r="E859" s="21">
        <f>ROUNDUP(MAX(obalBusAEmp9+E853-E857-E855,0),0)</f>
        <v>328</v>
      </c>
      <c r="F859" t="s">
        <v>2522</v>
      </c>
      <c r="G859" t="b">
        <f>MAX(E859:E859)=MIN(E859:E859)</f>
        <v>1</v>
      </c>
    </row>
    <row r="860" spans="1:7" ht="11.25">
      <c r="B860" s="2"/>
      <c r="C860" s="4" t="s">
        <v>4231</v>
      </c>
      <c r="D860" s="2"/>
      <c r="E860" s="21">
        <f>capBusAEmp9End*paramEmp9HoursPYear</f>
        <v>656000</v>
      </c>
      <c r="F860" t="s">
        <v>2523</v>
      </c>
      <c r="G860" t="b">
        <f>MAX(E860:E860)=MIN(E860:E860)</f>
        <v>1</v>
      </c>
    </row>
    <row r="861" spans="1:7" ht="11.25">
      <c r="B861" s="2" t="str">
        <f>DataNameEmp9 &amp; " Required"</f>
        <v>Global Delivery Centers Required</v>
      </c>
      <c r="C861" s="2"/>
      <c r="D861" s="2"/>
      <c r="E861" s="2"/>
      <c r="F861" t="s">
        <v>2524</v>
      </c>
      <c r="G861" t="b">
        <f>MAX(E861:E861)=MIN(E861:E861)</f>
        <v>1</v>
      </c>
    </row>
    <row r="862" spans="1:7" ht="11.25">
      <c r="B862" s="2"/>
      <c r="C862" t="s">
        <v>4253</v>
      </c>
      <c r="D862" s="2"/>
      <c r="E862" s="270"/>
      <c r="F862" t="s">
        <v>2525</v>
      </c>
      <c r="G862" t="b">
        <f>MAX(E862:E862)=MIN(E862:E862)</f>
        <v>1</v>
      </c>
    </row>
    <row r="863" spans="1:7" ht="11.25">
      <c r="B863" s="2" t="str">
        <f>DataNameEmp9&amp;" Utilization"</f>
        <v>Global Delivery Centers Utilization</v>
      </c>
      <c r="C863" s="2"/>
      <c r="D863" s="2"/>
      <c r="E863" s="1179"/>
      <c r="F863" t="s">
        <v>2526</v>
      </c>
      <c r="G863" t="b">
        <f>MAX(E863:E863)=MIN(E863:E863)</f>
        <v>1</v>
      </c>
    </row>
    <row r="864" spans="1:7" ht="11.25">
      <c r="C864" t="s">
        <v>4253</v>
      </c>
      <c r="E864" s="271">
        <f>(decBusAEmp9HrsCurrProj+decBusAEmp9HrsCurrProjV2+decBusAEmp9HrsCurrProjV3+decBusAEmp9HrsSales+decBusAEmp9HrsSalesV2+decBusAEmp9HrsSalesV3+capBusAEmp9CompDevTtlHrReq+paramSpecProgramEmp9BusAInitHrsReq)/(paramEmp9HoursPYear*cbalBusAEmp9)</f>
        <v>0.57926829268292679</v>
      </c>
      <c r="F864" t="s">
        <v>2527</v>
      </c>
      <c r="G864" t="b">
        <f>MAX(E864:E864)=MIN(E864:E864)</f>
        <v>1</v>
      </c>
    </row>
    <row r="865" spans="2:7" ht="11.25">
      <c r="B865" s="2" t="s">
        <v>5179</v>
      </c>
      <c r="E865" s="11">
        <f>E859*obalEmp2Salary*0.5</f>
        <v>16400000</v>
      </c>
      <c r="F865" t="s">
        <v>3146</v>
      </c>
      <c r="G865" t="b">
        <f>MAX(E865:E865)=MIN(E865:E865)</f>
        <v>1</v>
      </c>
    </row>
    <row r="866" spans="2:7" ht="11.25">
      <c r="E866" s="11"/>
      <c r="G866" t="b">
        <f>MAX(E866:E866)=MIN(E866:E866)</f>
        <v>1</v>
      </c>
    </row>
    <row r="867" spans="2:7" ht="11.25">
      <c r="B867" s="2" t="str">
        <f>DataNameEmp9 &amp; " Total Expense"</f>
        <v>Global Delivery Centers Total Expense</v>
      </c>
      <c r="C867" s="2"/>
      <c r="D867" s="2"/>
      <c r="E867" s="13">
        <f>SUM(E865)</f>
        <v>16400000</v>
      </c>
      <c r="F867" t="s">
        <v>3147</v>
      </c>
      <c r="G867" t="b">
        <f>MAX(E867:E867)=MIN(E867:E867)</f>
        <v>1</v>
      </c>
    </row>
    <row r="868" spans="2:7" ht="11.25">
      <c r="B868" s="2"/>
      <c r="G868" t="b">
        <f>MAX(E868:E868)=MIN(E868:E868)</f>
        <v>1</v>
      </c>
    </row>
    <row r="869" spans="2:7" ht="11.25">
      <c r="B869" t="str">
        <f>DataNameEmp9&amp;" Recruitment/Dismissal Costs"</f>
        <v>Global Delivery Centers Recruitment/Dismissal Costs</v>
      </c>
      <c r="G869" t="b">
        <f>MAX(E869:E869)=MIN(E869:E869)</f>
        <v>1</v>
      </c>
    </row>
    <row r="870" spans="2:7" ht="11.25">
      <c r="D870" t="s">
        <v>3293</v>
      </c>
      <c r="E870" s="88">
        <f>ABS(paramEmp9RecDismCost*obalEmp2Salary*(E855+decEmp9BusAHire))</f>
        <v>1995000</v>
      </c>
      <c r="F870" t="s">
        <v>3148</v>
      </c>
      <c r="G870" t="b">
        <f>MAX(E870:E870)=MIN(E870:E870)</f>
        <v>1</v>
      </c>
    </row>
    <row r="871" spans="2:7" ht="11.25">
      <c r="E871" s="14">
        <f>SUM(E870:E870)</f>
        <v>1995000</v>
      </c>
      <c r="F871" t="s">
        <v>3149</v>
      </c>
      <c r="G871" t="b">
        <f>MAX(E871:E871)=MIN(E871:E871)</f>
        <v>1</v>
      </c>
    </row>
    <row r="872" spans="2:7" ht="11.25">
      <c r="B872" t="str">
        <f>DataNameEmp9&amp;" Admin Cost"</f>
        <v>Global Delivery Centers Admin Cost</v>
      </c>
      <c r="E872" s="14"/>
      <c r="G872" t="b">
        <f>MAX(E872:E872)=MIN(E872:E872)</f>
        <v>1</v>
      </c>
    </row>
    <row r="873" spans="2:7" ht="11.25">
      <c r="D873" t="s">
        <v>3293</v>
      </c>
      <c r="E873" s="124">
        <f>capBusAEmp4BaseExp*paramEmp4AdminCostPct</f>
        <v>1170000</v>
      </c>
      <c r="F873" t="s">
        <v>3150</v>
      </c>
      <c r="G873" t="b">
        <f>MAX(E873:E873)=MIN(E873:E873)</f>
        <v>1</v>
      </c>
    </row>
    <row r="874" spans="2:7" ht="11.25">
      <c r="E874" s="14">
        <f>SUM(E873:E873)</f>
        <v>1170000</v>
      </c>
      <c r="F874" t="s">
        <v>3151</v>
      </c>
      <c r="G874" t="b">
        <f>MAX(E874:E874)=MIN(E874:E874)</f>
        <v>1</v>
      </c>
    </row>
    <row r="875" spans="2:7" ht="11.25">
      <c r="G875" t="b">
        <f>MAX(E875:E875)=MIN(E875:E875)</f>
        <v>1</v>
      </c>
    </row>
    <row r="876" spans="2:7" ht="11.25">
      <c r="B876" s="2" t="s">
        <v>104</v>
      </c>
      <c r="G876" t="b">
        <f>MAX(E876:E876)=MIN(E876:E876)</f>
        <v>1</v>
      </c>
    </row>
    <row r="877" spans="2:7" ht="11.25">
      <c r="B877" t="s">
        <v>2830</v>
      </c>
      <c r="E877" s="271">
        <f>decBusAEmp9HrsCurrProj/capBusAEmp9EndHrsAvailable</f>
        <v>0.44969512195121952</v>
      </c>
      <c r="F877" t="s">
        <v>3152</v>
      </c>
      <c r="G877" t="b">
        <f>MAX(E877:E877)=MIN(E877:E877)</f>
        <v>1</v>
      </c>
    </row>
    <row r="878" spans="2:7" ht="11.25">
      <c r="B878" t="s">
        <v>3627</v>
      </c>
      <c r="E878" s="271">
        <f>decBusAEmp9HrsCurrProjV2/capBusAEmp9EndHrsAvailable</f>
        <v>3.048780487804878E-2</v>
      </c>
      <c r="F878" t="s">
        <v>3153</v>
      </c>
      <c r="G878" t="b">
        <f>MAX(E878:E878)=MIN(E878:E878)</f>
        <v>1</v>
      </c>
    </row>
    <row r="879" spans="2:7" ht="11.25">
      <c r="B879" t="s">
        <v>959</v>
      </c>
      <c r="E879" s="271">
        <f>decBusAEmp9HrsCurrProjV3/capBusAEmp9EndHrsAvailable</f>
        <v>3.048780487804878E-2</v>
      </c>
      <c r="F879" t="s">
        <v>3154</v>
      </c>
      <c r="G879" t="b">
        <f>MAX(E879:E879)=MIN(E879:E879)</f>
        <v>1</v>
      </c>
    </row>
    <row r="880" spans="2:7" ht="11.25">
      <c r="B880" t="s">
        <v>2436</v>
      </c>
      <c r="E880" s="271">
        <f>decBusAEmp9HrsSales/capBusAEmp9EndHrsAvailable</f>
        <v>2.4390243902439025E-2</v>
      </c>
      <c r="F880" t="s">
        <v>2467</v>
      </c>
      <c r="G880" t="b">
        <f>MAX(E880:E880)=MIN(E880:E880)</f>
        <v>1</v>
      </c>
    </row>
    <row r="881" spans="2:7" ht="11.25">
      <c r="B881" t="s">
        <v>2538</v>
      </c>
      <c r="E881" s="271">
        <f>decBusAEmp9HrsSalesV2/capBusAEmp9EndHrsAvailable</f>
        <v>3.8109756097560975E-2</v>
      </c>
      <c r="F881" t="s">
        <v>2468</v>
      </c>
      <c r="G881" t="b">
        <f>MAX(E881:E881)=MIN(E881:E881)</f>
        <v>1</v>
      </c>
    </row>
    <row r="882" spans="2:7" ht="11.25">
      <c r="B882" t="s">
        <v>1370</v>
      </c>
      <c r="E882" s="271">
        <f>decBusAEmp9HrsSalesV3/capBusAEmp9EndHrsAvailable</f>
        <v>6.0975609756097563E-3</v>
      </c>
      <c r="F882" t="s">
        <v>2469</v>
      </c>
      <c r="G882" t="b">
        <f>MAX(E882:E882)=MIN(E882:E882)</f>
        <v>1</v>
      </c>
    </row>
    <row r="883" spans="2:7" ht="11.25">
      <c r="B883" t="s">
        <v>1799</v>
      </c>
      <c r="E883" s="271">
        <f>capBusAEmp9CompDevTtlHrReq/capBusAEmp9EndHrsAvailable</f>
        <v>0</v>
      </c>
      <c r="F883" t="s">
        <v>2470</v>
      </c>
      <c r="G883" t="b">
        <f>MAX(E883:E883)=MIN(E883:E883)</f>
        <v>1</v>
      </c>
    </row>
    <row r="884" spans="2:7" ht="11.25">
      <c r="B884" t="s">
        <v>2284</v>
      </c>
      <c r="E884" s="271">
        <f>cap!E268/capBusAEmp9EndHrsAvailable</f>
        <v>0.06</v>
      </c>
      <c r="F884" t="s">
        <v>2471</v>
      </c>
      <c r="G884" t="b">
        <f>MAX(E884:E884)=MIN(E884:E884)</f>
        <v>1</v>
      </c>
    </row>
    <row r="885" spans="2:7" ht="11.25">
      <c r="B885" t="s">
        <v>4522</v>
      </c>
      <c r="E885" s="271">
        <f>paramSpecProgramEmp9BusAInitHrsReq/capBusAEmp9EndHrsAvailable</f>
        <v>0</v>
      </c>
      <c r="F885" t="s">
        <v>2674</v>
      </c>
      <c r="G885" t="b">
        <f>MAX(E885:E885)=MIN(E885:E885)</f>
        <v>1</v>
      </c>
    </row>
    <row r="886" spans="2:7" ht="11.25">
      <c r="B886" t="s">
        <v>4550</v>
      </c>
      <c r="E886" s="271">
        <f>1-capBusAEmp9Utiliz</f>
        <v>0.42073170731707321</v>
      </c>
      <c r="F886" t="s">
        <v>2675</v>
      </c>
      <c r="G886" t="b">
        <f>MAX(E886:E886)=MIN(E886:E886)</f>
        <v>1</v>
      </c>
    </row>
    <row r="887" spans="2:7" ht="11.25">
      <c r="E887" s="271"/>
      <c r="G887" t="b">
        <f>MAX(E887:E887)=MIN(E887:E887)</f>
        <v>1</v>
      </c>
    </row>
    <row r="888" spans="2:7" ht="3" customHeight="1">
      <c r="B888" s="70"/>
      <c r="C888" s="70"/>
      <c r="D888" s="70"/>
      <c r="E888" s="70"/>
      <c r="G888" t="b">
        <f>MAX(E888:E888)=MIN(E888:E888)</f>
        <v>1</v>
      </c>
    </row>
    <row r="889" spans="2:7" ht="11.25">
      <c r="G889" t="b">
        <f>MAX(E889:E889)=MIN(E889:E889)</f>
        <v>1</v>
      </c>
    </row>
    <row r="890" spans="2:7" ht="11.25">
      <c r="B890" s="2" t="s">
        <v>2442</v>
      </c>
      <c r="G890" t="b">
        <f>MAX(E890:E890)=MIN(E890:E890)</f>
        <v>1</v>
      </c>
    </row>
    <row r="891" spans="2:7" ht="11.25">
      <c r="B891" t="s">
        <v>2443</v>
      </c>
      <c r="E891" s="605">
        <f t="shared" ref="E891:E899" si="23">E877*capBusAEmp9BaseExp</f>
        <v>7375000</v>
      </c>
      <c r="F891" t="s">
        <v>2676</v>
      </c>
      <c r="G891" t="b">
        <f>MAX(E891:E891)=MIN(E891:E891)</f>
        <v>1</v>
      </c>
    </row>
    <row r="892" spans="2:7" ht="11.25">
      <c r="B892" t="s">
        <v>2444</v>
      </c>
      <c r="E892" s="605">
        <f t="shared" si="23"/>
        <v>500000</v>
      </c>
      <c r="F892" t="s">
        <v>222</v>
      </c>
      <c r="G892" t="b">
        <f>MAX(E892:E892)=MIN(E892:E892)</f>
        <v>1</v>
      </c>
    </row>
    <row r="893" spans="2:7" ht="11.25">
      <c r="B893" t="s">
        <v>2445</v>
      </c>
      <c r="E893" s="605">
        <f t="shared" si="23"/>
        <v>500000</v>
      </c>
      <c r="F893" t="s">
        <v>223</v>
      </c>
      <c r="G893" t="b">
        <f>MAX(E893:E893)=MIN(E893:E893)</f>
        <v>1</v>
      </c>
    </row>
    <row r="894" spans="2:7" ht="11.25">
      <c r="B894" t="s">
        <v>717</v>
      </c>
      <c r="E894" s="605">
        <f t="shared" si="23"/>
        <v>400000</v>
      </c>
      <c r="F894" t="s">
        <v>224</v>
      </c>
      <c r="G894" t="b">
        <f>MAX(E894:E894)=MIN(E894:E894)</f>
        <v>1</v>
      </c>
    </row>
    <row r="895" spans="2:7" ht="11.25">
      <c r="B895" t="s">
        <v>718</v>
      </c>
      <c r="E895" s="605">
        <f t="shared" si="23"/>
        <v>625000</v>
      </c>
      <c r="F895" t="s">
        <v>225</v>
      </c>
      <c r="G895" t="b">
        <f>MAX(E895:E895)=MIN(E895:E895)</f>
        <v>1</v>
      </c>
    </row>
    <row r="896" spans="2:7" ht="11.25">
      <c r="B896" t="s">
        <v>719</v>
      </c>
      <c r="E896" s="605">
        <f t="shared" si="23"/>
        <v>100000</v>
      </c>
      <c r="F896" t="s">
        <v>3961</v>
      </c>
      <c r="G896" t="b">
        <f>MAX(E896:E896)=MIN(E896:E896)</f>
        <v>1</v>
      </c>
    </row>
    <row r="897" spans="1:8" ht="11.25">
      <c r="B897" t="s">
        <v>720</v>
      </c>
      <c r="E897" s="605">
        <f t="shared" si="23"/>
        <v>0</v>
      </c>
      <c r="F897" t="s">
        <v>3306</v>
      </c>
      <c r="G897" t="b">
        <f>MAX(E897:E897)=MIN(E897:E897)</f>
        <v>1</v>
      </c>
    </row>
    <row r="898" spans="1:8" ht="11.25">
      <c r="B898" t="s">
        <v>1585</v>
      </c>
      <c r="E898" s="605">
        <f t="shared" si="23"/>
        <v>984000</v>
      </c>
      <c r="F898" t="s">
        <v>3307</v>
      </c>
      <c r="G898" t="b">
        <f>MAX(E898:E898)=MIN(E898:E898)</f>
        <v>1</v>
      </c>
    </row>
    <row r="899" spans="1:8" ht="11.25">
      <c r="B899" t="s">
        <v>4522</v>
      </c>
      <c r="E899" s="605">
        <f t="shared" si="23"/>
        <v>0</v>
      </c>
      <c r="F899" t="s">
        <v>3308</v>
      </c>
      <c r="G899" t="b">
        <f>MAX(E899:E899)=MIN(E899:E899)</f>
        <v>1</v>
      </c>
    </row>
    <row r="900" spans="1:8" ht="11.25">
      <c r="B900" t="s">
        <v>721</v>
      </c>
      <c r="E900" s="605">
        <f>MAX(0,E886*capBusAEmp9BaseExp)</f>
        <v>6900000.0000000009</v>
      </c>
      <c r="F900" t="s">
        <v>4372</v>
      </c>
      <c r="G900" t="b">
        <f>MAX(E900:E900)=MIN(E900:E900)</f>
        <v>1</v>
      </c>
    </row>
    <row r="901" spans="1:8" ht="11.25">
      <c r="G901" t="b">
        <f>MAX(E901:E901)=MIN(E901:E901)</f>
        <v>1</v>
      </c>
    </row>
    <row r="902" spans="1:8" ht="11.25">
      <c r="A902" s="140" t="str">
        <f>DataNameEmp6 &amp; " Required"</f>
        <v>Sales Required</v>
      </c>
      <c r="B902" s="140"/>
      <c r="C902" s="140"/>
      <c r="D902" s="140"/>
      <c r="E902" s="140"/>
      <c r="G902" t="b">
        <f>MAX(E902:E902)=MIN(E902:E902)</f>
        <v>1</v>
      </c>
    </row>
    <row r="903" spans="1:8" ht="11.25">
      <c r="A903" s="2"/>
      <c r="F903" s="655">
        <f>67500/978*101</f>
        <v>6970.8588957055217</v>
      </c>
      <c r="G903" t="b">
        <f>MAX(E903:E903)=MIN(E903:E903)</f>
        <v>1</v>
      </c>
    </row>
    <row r="904" spans="1:8" ht="11.25">
      <c r="B904" t="str">
        <f>DataNameEmp6 &amp; " Recruited"</f>
        <v>Sales Recruited</v>
      </c>
      <c r="E904" s="11">
        <f>obalEmp6Recruited</f>
        <v>0</v>
      </c>
      <c r="G904" t="b">
        <f>MAX(E904:E904)=MIN(E904:E904)</f>
        <v>1</v>
      </c>
    </row>
    <row r="905" spans="1:8" ht="11.25">
      <c r="B905" t="str">
        <f>DataNameEmp6&amp;" Dismissed"</f>
        <v>Sales Dismissed</v>
      </c>
      <c r="E905" s="581">
        <f>ROUNDUP(IF(decEntWFDismiss="Very Low",2%,IF(decEntWFDismiss="Low",5%,IF(decEntWFDismiss="Average",7%,IF(decEntWFDismiss="High",10%,IF(decEntWFDismiss="Very High",13%,0)))))*obalEmp6,0)</f>
        <v>9</v>
      </c>
      <c r="G905" t="b">
        <f>MAX(E905:E905)=MIN(E905:E905)</f>
        <v>1</v>
      </c>
    </row>
    <row r="906" spans="1:8" ht="11.25">
      <c r="B906" t="str">
        <f>DataNameEmp6&amp;" Attrition"</f>
        <v>Sales Attrition</v>
      </c>
      <c r="E906" s="686">
        <f>ROUNDUP(obalEmp6*paramEmp6AttRate,0)</f>
        <v>16</v>
      </c>
      <c r="F906" t="s">
        <v>1350</v>
      </c>
      <c r="G906" t="b">
        <f>MAX(E906:E906)=MIN(E906:E906)</f>
        <v>1</v>
      </c>
    </row>
    <row r="907" spans="1:8" ht="11.25">
      <c r="B907" s="2" t="str">
        <f>DataNameEmp6 &amp; " Ending"</f>
        <v>Sales Ending</v>
      </c>
      <c r="C907" s="2"/>
      <c r="D907" s="2"/>
      <c r="E907" s="13">
        <f>ROUNDUP(MAX(obalEmp6+E904-E906-E905,1),0)</f>
        <v>102</v>
      </c>
      <c r="F907" t="s">
        <v>1351</v>
      </c>
      <c r="G907" t="b">
        <f>MAX(E907:E907)=MIN(E907:E907)</f>
        <v>1</v>
      </c>
    </row>
    <row r="908" spans="1:8" ht="11.25">
      <c r="B908" s="2" t="str">
        <f>DataNameEmp6 &amp; " Required"</f>
        <v>Sales Required</v>
      </c>
      <c r="E908" s="13">
        <f>(obalTotalSales/1000000)*paramEmp6ReqPMilRev+(decEntSvcsSalesSupportLevelPrac1+decEntSvcsSalesSupportLevelPrac2+decEntSvcsSalesSupportLevelPrac3)+(capEmp6End)+paramSpecProgramEmp6InitHrsReq</f>
        <v>145312.63386944446</v>
      </c>
      <c r="F908" t="s">
        <v>3052</v>
      </c>
      <c r="G908" t="b">
        <f>MAX(E908:E908)=MIN(E908:E908)</f>
        <v>1</v>
      </c>
      <c r="H908" s="13">
        <v>537035.58666666655</v>
      </c>
    </row>
    <row r="909" spans="1:8" ht="11.25">
      <c r="B909" t="str">
        <f>DataNameEmp6&amp;" Utilization"</f>
        <v>Sales Utilization</v>
      </c>
      <c r="E909" s="15">
        <f>E908/(capEmp6End*paramEmp6HoursPYear*paramEmp6ProductivityCoef)</f>
        <v>0.50244539232091079</v>
      </c>
      <c r="F909" t="s">
        <v>1352</v>
      </c>
      <c r="G909" t="b">
        <f>MAX(E909:E909)=MIN(E909:E909)</f>
        <v>1</v>
      </c>
    </row>
    <row r="910" spans="1:8" ht="11.25">
      <c r="C910" t="s">
        <v>4509</v>
      </c>
      <c r="E910" s="311">
        <f>MAX(0,capEmp6Utiliz-1)</f>
        <v>0</v>
      </c>
      <c r="F910" t="s">
        <v>2318</v>
      </c>
      <c r="G910" t="b">
        <f>MAX(E910:E910)=MIN(E910:E910)</f>
        <v>1</v>
      </c>
    </row>
    <row r="911" spans="1:8" ht="11.25">
      <c r="B911" t="str">
        <f>DataNameEmp6&amp;" Base Expense"</f>
        <v>Sales Base Expense</v>
      </c>
      <c r="E911" s="11">
        <f>E907*paramEmp6Exp</f>
        <v>25500000</v>
      </c>
      <c r="G911" t="b">
        <f>MAX(E911:E911)=MIN(E911:E911)</f>
        <v>1</v>
      </c>
    </row>
    <row r="912" spans="1:8" ht="11.25">
      <c r="B912" t="str">
        <f>DataNameEmp6&amp;" Overtime Expense"</f>
        <v>Sales Overtime Expense</v>
      </c>
      <c r="E912" s="11"/>
      <c r="F912" t="s">
        <v>1353</v>
      </c>
      <c r="G912" t="b">
        <f>MAX(E912:E912)=MIN(E912:E912)</f>
        <v>1</v>
      </c>
    </row>
    <row r="913" spans="2:7" ht="11.25">
      <c r="B913" s="2" t="str">
        <f>DataNameEmp6 &amp; " Total Expense"</f>
        <v>Sales Total Expense</v>
      </c>
      <c r="C913" s="2"/>
      <c r="D913" s="2"/>
      <c r="E913" s="13">
        <f>SUM(E911:E912)</f>
        <v>25500000</v>
      </c>
      <c r="F913" t="s">
        <v>1354</v>
      </c>
      <c r="G913" t="b">
        <f>MAX(E913:E913)=MIN(E913:E913)</f>
        <v>1</v>
      </c>
    </row>
    <row r="914" spans="2:7" ht="11.25">
      <c r="B914" t="str">
        <f>DataNameEmp6&amp;" Excess Capacity Cost"</f>
        <v>Sales Excess Capacity Cost</v>
      </c>
      <c r="E914" s="11">
        <f>(paramEmp6OTRate&gt;0)*(E909&lt;1)*(1-E909)*E913</f>
        <v>0</v>
      </c>
      <c r="F914" t="s">
        <v>354</v>
      </c>
      <c r="G914" t="b">
        <f>MAX(E914:E914)=MIN(E914:E914)</f>
        <v>1</v>
      </c>
    </row>
    <row r="915" spans="2:7" ht="11.25">
      <c r="B915" s="2"/>
      <c r="C915" s="2"/>
      <c r="D915" s="2"/>
      <c r="E915" s="13"/>
      <c r="G915" t="b">
        <f>MAX(E915:E915)=MIN(E915:E915)</f>
        <v>1</v>
      </c>
    </row>
    <row r="916" spans="2:7" ht="11.25">
      <c r="B916" t="str">
        <f>DataNameEmp6&amp;" Recruitment/Dismissal Costs"</f>
        <v>Sales Recruitment/Dismissal Costs</v>
      </c>
      <c r="E916" s="90">
        <f>ABS(paramEmp6RecDismCost*paramEmp6Exp*(E905+decEntWFHire))</f>
        <v>25375000</v>
      </c>
      <c r="F916" t="s">
        <v>355</v>
      </c>
      <c r="G916" t="b">
        <f>MAX(E916:E916)=MIN(E916:E916)</f>
        <v>1</v>
      </c>
    </row>
    <row r="917" spans="2:7" ht="11.25">
      <c r="B917" t="str">
        <f>DataNameEmp6&amp;" Admin Cost"</f>
        <v>Sales Admin Cost</v>
      </c>
      <c r="E917" s="125">
        <f>cap!E913*paramEmp6AdminCostPct</f>
        <v>1275000</v>
      </c>
      <c r="F917" t="s">
        <v>356</v>
      </c>
      <c r="G917" t="b">
        <f>MAX(E917:E917)=MIN(E917:E917)</f>
        <v>1</v>
      </c>
    </row>
    <row r="918" spans="2:7" ht="11.25">
      <c r="E918" s="125"/>
      <c r="G918" t="b">
        <f>MAX(E918:E918)=MIN(E918:E918)</f>
        <v>1</v>
      </c>
    </row>
    <row r="919" spans="2:7" ht="11.25">
      <c r="G919" t="b">
        <f>MAX(E919:E919)=MIN(E919:E919)</f>
        <v>1</v>
      </c>
    </row>
    <row r="920" spans="2:7" ht="11.25">
      <c r="B920" s="2" t="str">
        <f>DataNameEmp6 &amp; " % Product Allocation"</f>
        <v>Sales % Product Allocation</v>
      </c>
      <c r="G920" t="b">
        <f>MAX(E920:E920)=MIN(E920:E920)</f>
        <v>1</v>
      </c>
    </row>
    <row r="921" spans="2:7" ht="11.25">
      <c r="B921" t="str">
        <f>DataNameProd4 &amp; " " &amp; DataNameEmp6 &amp; " Allocation"</f>
        <v>Industry 3 Sales Allocation</v>
      </c>
      <c r="E921" s="12">
        <v>1</v>
      </c>
      <c r="F921" t="s">
        <v>4408</v>
      </c>
      <c r="G921" t="b">
        <f>MAX(E921:E921)=MIN(E921:E921)</f>
        <v>1</v>
      </c>
    </row>
    <row r="922" spans="2:7" ht="5.0999999999999996" customHeight="1">
      <c r="B922" s="70"/>
      <c r="C922" s="70"/>
      <c r="D922" s="70"/>
      <c r="E922" s="136"/>
      <c r="G922" t="b">
        <f>MAX(E922:E922)=MIN(E922:E922)</f>
        <v>1</v>
      </c>
    </row>
    <row r="923" spans="2:7" ht="11.25">
      <c r="G923" t="b">
        <f>MAX(E923:E923)=MIN(E923:E923)</f>
        <v>1</v>
      </c>
    </row>
    <row r="924" spans="2:7" ht="11.25">
      <c r="B924" s="2" t="str">
        <f>DataNameEmp6 &amp; " Expense Allocation"</f>
        <v>Sales Expense Allocation</v>
      </c>
      <c r="G924" t="b">
        <f>MAX(E924:E924)=MIN(E924:E924)</f>
        <v>1</v>
      </c>
    </row>
    <row r="925" spans="2:7" ht="11.25">
      <c r="B925" t="str">
        <f>DataNameProd4 &amp; " " &amp; DataNameEmp6 &amp; " Salary Expense"</f>
        <v>Industry 3 Sales Salary Expense</v>
      </c>
      <c r="E925" s="14">
        <f>E921*capEmp6Exp</f>
        <v>25500000</v>
      </c>
      <c r="F925" t="s">
        <v>679</v>
      </c>
      <c r="G925" t="b">
        <f>MAX(E925:E925)=MIN(E925:E925)</f>
        <v>1</v>
      </c>
    </row>
    <row r="926" spans="2:7" ht="5.0999999999999996" customHeight="1">
      <c r="B926" s="70"/>
      <c r="C926" s="70"/>
      <c r="D926" s="70"/>
      <c r="E926" s="135"/>
      <c r="G926" t="b">
        <f>MAX(E926:E926)=MIN(E926:E926)</f>
        <v>1</v>
      </c>
    </row>
    <row r="927" spans="2:7" ht="11.25">
      <c r="G927" t="b">
        <f>MAX(E927:E927)=MIN(E927:E927)</f>
        <v>1</v>
      </c>
    </row>
    <row r="928" spans="2:7" ht="11.25">
      <c r="B928" t="str">
        <f>DataNameProd4 &amp; " " &amp; DataNameEmp6 &amp; " Recruit/Dismissal Expense"</f>
        <v>Industry 3 Sales Recruit/Dismissal Expense</v>
      </c>
      <c r="E928" s="11" t="e">
        <f>ABS(paramEmp6RecDismCost*paramEmp6Exp*(decEntWFDismiss+decEntWFHire))</f>
        <v>#VALUE!</v>
      </c>
      <c r="F928" t="s">
        <v>680</v>
      </c>
      <c r="G928" t="e">
        <f>MAX(E928:E928)=MIN(E928:E928)</f>
        <v>#VALUE!</v>
      </c>
    </row>
    <row r="929" spans="1:7" ht="5.0999999999999996" customHeight="1">
      <c r="B929" s="70"/>
      <c r="C929" s="70"/>
      <c r="D929" s="70"/>
      <c r="E929" s="70"/>
      <c r="G929" t="b">
        <f>MAX(E929:E929)=MIN(E929:E929)</f>
        <v>1</v>
      </c>
    </row>
    <row r="930" spans="1:7" ht="11.25">
      <c r="B930" s="2"/>
      <c r="G930" t="b">
        <f>MAX(E930:E930)=MIN(E930:E930)</f>
        <v>1</v>
      </c>
    </row>
    <row r="931" spans="1:7" ht="11.25">
      <c r="B931" t="str">
        <f>DataNameProd4&amp;" "&amp;DataNameEmp6&amp;" Admin Expense"</f>
        <v>Industry 3 Sales Admin Expense</v>
      </c>
      <c r="E931" s="14">
        <f>capEmp6AdminExp*E921</f>
        <v>1275000</v>
      </c>
      <c r="F931" t="s">
        <v>681</v>
      </c>
      <c r="G931" t="b">
        <f>MAX(E931:E931)=MIN(E931:E931)</f>
        <v>1</v>
      </c>
    </row>
    <row r="932" spans="1:7" ht="5.0999999999999996" customHeight="1">
      <c r="B932" s="70"/>
      <c r="C932" s="70"/>
      <c r="D932" s="70"/>
      <c r="E932" s="70"/>
      <c r="G932" t="b">
        <f>MAX(E932:E932)=MIN(E932:E932)</f>
        <v>1</v>
      </c>
    </row>
    <row r="933" spans="1:7" ht="11.25">
      <c r="G933" t="b">
        <f>MAX(E933:E933)=MIN(E933:E933)</f>
        <v>1</v>
      </c>
    </row>
    <row r="934" spans="1:7" ht="11.25">
      <c r="A934" s="140" t="s">
        <v>1086</v>
      </c>
      <c r="B934" s="140"/>
      <c r="C934" s="140"/>
      <c r="D934" s="140"/>
      <c r="E934" s="140"/>
      <c r="G934" t="b">
        <f>MAX(E934:E934)=MIN(E934:E934)</f>
        <v>1</v>
      </c>
    </row>
    <row r="935" spans="1:7" s="673" customFormat="1" ht="11.25">
      <c r="A935" s="672" t="s">
        <v>3293</v>
      </c>
      <c r="G935" s="673" t="b">
        <f>MAX(E935:E935)=MIN(E935:E935)</f>
        <v>1</v>
      </c>
    </row>
    <row r="936" spans="1:7" s="673" customFormat="1" ht="11.25">
      <c r="B936" s="673" t="s">
        <v>3013</v>
      </c>
      <c r="G936" s="673" t="b">
        <f>MAX(E936:E936)=MIN(E936:E936)</f>
        <v>1</v>
      </c>
    </row>
    <row r="937" spans="1:7" s="673" customFormat="1" ht="11.25">
      <c r="C937" s="673" t="s">
        <v>940</v>
      </c>
      <c r="E937" s="674">
        <f>MIN(1.5,(decBusAEmp4HrsCurrProj+decBusAEmp4HrsCurrProjV2+decBusAEmp4HrsCurrProjV3+decBusAEmp3HrsCurrProj+decBusAEmp3HrsCurrProjV2+decBusAEmp3HrsCurrProjV3+decBusAEmp2HrsCurrProj+decBusAEmp2HrsCurrProjV2+decBusAEmp2HrsCurrProjV3)/((cbalBusAEmp2*paramEmp2HoursPYear)+(cbalBusAEmp3*paramEmp3HoursPYear)+(cbalBusAEmp4*paramEmp4HoursPYear)))</f>
        <v>0.49563318777292575</v>
      </c>
      <c r="F937" s="673" t="s">
        <v>3014</v>
      </c>
      <c r="G937" s="673" t="b">
        <f>MAX(E937:E937)=MIN(E937:E937)</f>
        <v>1</v>
      </c>
    </row>
    <row r="938" spans="1:7" s="673" customFormat="1" ht="11.25">
      <c r="C938" s="673" t="s">
        <v>2022</v>
      </c>
      <c r="E938" s="674">
        <f>MIN(1.5,(capBusAEmp1HrsCurrProj+capBusAEmp1HrsCurrProjV2+capBusAEmp1HrsCurrProjV3)/(cbalBusAEmp1*paramEmp1HoursPYear))</f>
        <v>0.20160132891396507</v>
      </c>
      <c r="F938" s="673" t="s">
        <v>4069</v>
      </c>
      <c r="G938" s="673" t="b">
        <f>MAX(E938:E938)=MIN(E938:E938)</f>
        <v>1</v>
      </c>
    </row>
    <row r="939" spans="1:7" s="673" customFormat="1" ht="11.25">
      <c r="C939" s="673" t="s">
        <v>2631</v>
      </c>
      <c r="E939" s="674">
        <f>MIN(1.5,(decBusAEmp7HrsCurrProj+decBusAEmp7HrsCurrProjV2+decBusAEmp7HrsCurrProjV3+decBusAEmp8HrsCurrProj+decBusAEmp8HrsCurrProjV2+decBusAEmp8HrsCurrProjV3+decBusAEmp9HrsCurrProj+decBusAEmp9HrsCurrProjV2+decBusAEmp9HrsCurrProjV3)/((cbalBusAEmp7*paramEmp7HoursPYear)+(cbalBusAEmp8*paramEmp8HoursPYear)+(cbalBusAEmp9*paramEmp9HoursPYear)))</f>
        <v>0.58571428571428574</v>
      </c>
      <c r="F939" s="673" t="s">
        <v>3872</v>
      </c>
      <c r="G939" s="673" t="b">
        <f>MAX(E939:E939)=MIN(E939:E939)</f>
        <v>1</v>
      </c>
    </row>
    <row r="940" spans="1:7" ht="11.25">
      <c r="B940" t="s">
        <v>1087</v>
      </c>
      <c r="E940" s="271"/>
      <c r="G940" t="b">
        <f>MAX(E940:E940)=MIN(E940:E940)</f>
        <v>1</v>
      </c>
    </row>
    <row r="941" spans="1:7" ht="11.25">
      <c r="B941" t="s">
        <v>2312</v>
      </c>
      <c r="E941" s="271"/>
      <c r="G941" t="b">
        <f>MAX(E941:E941)=MIN(E941:E941)</f>
        <v>1</v>
      </c>
    </row>
    <row r="942" spans="1:7" ht="11.25">
      <c r="C942" t="s">
        <v>940</v>
      </c>
      <c r="E942" s="271">
        <f>((decBusAEmp2HrsCurrProj+decBusAEmp2HrsCurrProjV2+decBusAEmp2HrsCurrProjV3+decBusAEmp2HrsSales+decBusAEmp2HrsSalesV2+decBusAEmp2HrsSalesV3)+(decBusAEmp3HrsCurrProj+decBusAEmp3HrsCurrProjV2+decBusAEmp3HrsCurrProjV3+capBusAEmp3HrsSales+capBusAEmp3HrsSalesV2+capBusAEmp3HrsSalesV3)+(decBusAEmp4HrsCurrProj+decBusAEmp4HrsCurrProjV2+decBusAEmp4HrsCurrProjV3+decBusAEmp4HrsSales+decBusAEmp4HrsSalesV2+decBusAEmp4HrsSalesV3)+capEmp2BusAGeneralTrainingHrs+capEmp3BusAGeneralTrainingHrs+capEmp4BusAGeneralTrainingHrs+capBusAEmp2CompDevTtlHrReq+capBusAEmp3CompDevTtlHrReq+capBusAEmp4CompDevTtlHrReq+paramSpecProgramEmp2BusAInitHrsReq+paramSpecProgramEmp3BusAInitHrsReq+paramSpecProgramEmp4BusAInitHrsReq)/((paramEmp4HoursPYear*cbalBusAEmp4)+(paramEmp3HoursPYear*cbalBusAEmp3)+(paramEmp2HoursPYear*cbalBusAEmp2))</f>
        <v>0.58619505094614266</v>
      </c>
      <c r="F942" t="s">
        <v>737</v>
      </c>
      <c r="G942" t="b">
        <f>MAX(E942:E942)=MIN(E942:E942)</f>
        <v>1</v>
      </c>
    </row>
    <row r="943" spans="1:7" ht="11.25">
      <c r="C943" t="s">
        <v>2022</v>
      </c>
      <c r="E943" s="271">
        <f>(capBusAEmp1HrsCurrProj+capBusAEmp1HrsCurrProjV2+capBusAEmp1HrsCurrProjV3+decBusAEmp1HrsSales+decBusAEmp1HrsSalesV2+decBusAEmp1HrsSalesV3+capEmp1BusAGeneralTrainingHrs+capBusAEmp1CompDevTtlHrReq+paramSpecProgramEmp1BusAInitHrsReq)/(paramEmp1HoursPYear*cbalBusAEmp1)</f>
        <v>0.31644779931599104</v>
      </c>
      <c r="F943" t="s">
        <v>738</v>
      </c>
      <c r="G943" t="b">
        <f>MAX(E943:E943)=MIN(E943:E943)</f>
        <v>1</v>
      </c>
    </row>
    <row r="944" spans="1:7" ht="11.25">
      <c r="E944" s="271"/>
      <c r="G944" t="b">
        <f>MAX(E944:E944)=MIN(E944:E944)</f>
        <v>1</v>
      </c>
    </row>
    <row r="945" spans="1:7" ht="11.25">
      <c r="A945" s="2" t="s">
        <v>635</v>
      </c>
      <c r="G945" t="b">
        <f>MAX(E945:E945)=MIN(E945:E945)</f>
        <v>1</v>
      </c>
    </row>
    <row r="946" spans="1:7" ht="11.25">
      <c r="B946" t="s">
        <v>3967</v>
      </c>
      <c r="E946" s="271"/>
      <c r="G946" t="b">
        <f>MAX(E946:E946)=MIN(E946:E946)</f>
        <v>1</v>
      </c>
    </row>
    <row r="947" spans="1:7" ht="11.25">
      <c r="C947" t="s">
        <v>940</v>
      </c>
      <c r="E947" s="271">
        <f>((capBid1Emp2HrsRFQ+capBid2Emp2HrsRFQ+capBid3Emp2HrsRFQ+capBid4Emp2HrsRFQ+capBid5Emp2HrsRFQ+capBid6Emp2HrsRFQ+capBid7Emp2HrsRFQ+capBid8Emp2HrsRFQ+capBid9Emp2HrsRFQ)+(capBid1Emp3HrsRFQ+capBid2Emp3HrsRFQ+capBid3Emp3HrsRFQ+capBid4Emp3HrsRFQ+capBid5Emp3HrsRFQ+capBid6Emp3HrsRFQ+capBid7Emp3HrsRFQ+capBid8Emp3HrsRFQ+capBid9Emp3HrsRFQ)+(capBid1Emp4HrsRFQ+capBid2Emp4HrsRFQ+capBid3Emp4HrsRFQ+capBid4Emp4HrsRFQ+capBid5Emp4HrsRFQ+capBid6Emp4HrsRFQ+capBid7Emp4HrsRFQ+capBid8Emp4HrsRFQ+capBid9Emp4HrsRFQ)+capEmp2BusBGeneralTrainingHrs+capEmp3BusBGeneralTrainingHrs+capEmp4BusBGeneralTrainingHrs+capBusBEmp2CompDevTtlHrReq+capBusBEmp3CompDevTtlHrReq+capBusBEmp4CompDevTtlHrReq+decEmp2BusBOpsImprove+decEmp3BusBOpsImprove+decEmp4BusBOpsImprove+paramSpecProgramEmp2BusBInitHrsReq+paramSpecProgramEmp3BusBInitHrsReq+paramSpecProgramEmp4BusBInitHrsReq)/((paramEmp2HoursPYear*cbalBusBEmp2)+(paramEmp3HoursPYear*cbalBusBEmp3)+(paramEmp4HoursPYear*cbalBusBEmp4))</f>
        <v>0.26382978723404255</v>
      </c>
      <c r="F947" t="s">
        <v>3601</v>
      </c>
      <c r="G947" t="b">
        <f>MAX(E947:E947)=MIN(E947:E947)</f>
        <v>1</v>
      </c>
    </row>
    <row r="948" spans="1:7" ht="11.25">
      <c r="C948" t="s">
        <v>2022</v>
      </c>
      <c r="E948" s="271">
        <f>(capEmp1BusBGeneralTrainingHrs+capBusBEmp1CompDevTtlHrReq+decEmp1BusBOpsImprove+paramSpecProgramEmp1BusBInitHrsReq)/(paramEmp1HoursPYear*cbalBusBEmp1)</f>
        <v>0.33580246913580247</v>
      </c>
      <c r="F948" t="s">
        <v>2462</v>
      </c>
      <c r="G948" t="b">
        <f>MAX(E948:E948)=MIN(E948:E948)</f>
        <v>1</v>
      </c>
    </row>
    <row r="949" spans="1:7" ht="11.25">
      <c r="B949" t="s">
        <v>1087</v>
      </c>
      <c r="E949" s="271"/>
      <c r="G949" t="b">
        <f>MAX(E949:E949)=MIN(E949:E949)</f>
        <v>1</v>
      </c>
    </row>
    <row r="950" spans="1:7" ht="11.25">
      <c r="C950" t="s">
        <v>3705</v>
      </c>
      <c r="E950" s="587">
        <f>ManualAdjustments!E79</f>
        <v>0</v>
      </c>
      <c r="G950" t="b">
        <f>MAX(E950:E950)=MIN(E950:E950)</f>
        <v>1</v>
      </c>
    </row>
    <row r="951" spans="1:7" ht="11.25">
      <c r="A951" t="s">
        <v>1088</v>
      </c>
      <c r="E951" s="271">
        <f>(cbalTotalHeadCount-obalTotalEmpRecruited)/obalTotalHeadCount</f>
        <v>0.26744186046511625</v>
      </c>
      <c r="F951" t="s">
        <v>1092</v>
      </c>
      <c r="G951" t="b">
        <f>MAX(E951:E951)=MIN(E951:E951)</f>
        <v>1</v>
      </c>
    </row>
    <row r="952" spans="1:7" ht="11.25">
      <c r="A952" t="s">
        <v>3470</v>
      </c>
      <c r="E952" s="271">
        <f>(capEmp6Att+capBusAEmp4Att+capBusBEmp4Att+capBusAEmp3Att+capBusBEmp3Att+capBusAEmp2Att+capBusBEmp2Att+capBusAEmp1Att+capBusBEmp1Att+capBusAEmp7Att+capBusAEmp8Att+capBusAEmp9Att)/obalTotalHeadCount+E950</f>
        <v>0.40380549682875266</v>
      </c>
      <c r="F952" t="s">
        <v>3471</v>
      </c>
      <c r="G952" t="b">
        <f>MAX(E952:E952)=MIN(E952:E952)</f>
        <v>1</v>
      </c>
    </row>
    <row r="953" spans="1:7" ht="11.25">
      <c r="A953" s="140" t="s">
        <v>3369</v>
      </c>
      <c r="B953" s="140"/>
      <c r="C953" s="140"/>
      <c r="D953" s="140"/>
      <c r="E953" s="140"/>
      <c r="G953" t="b">
        <f>MAX(E953:E953)=MIN(E953:E953)</f>
        <v>1</v>
      </c>
    </row>
    <row r="954" spans="1:7" ht="11.25">
      <c r="E954" s="271"/>
      <c r="G954" t="b">
        <f>MAX(E954:E954)=MIN(E954:E954)</f>
        <v>1</v>
      </c>
    </row>
    <row r="955" spans="1:7" ht="11.25">
      <c r="A955" s="2"/>
      <c r="E955" s="271"/>
      <c r="G955" t="b">
        <f>MAX(E955:E955)=MIN(E955:E955)</f>
        <v>1</v>
      </c>
    </row>
    <row r="956" spans="1:7" ht="11.25">
      <c r="B956" s="144" t="s">
        <v>3293</v>
      </c>
      <c r="G956" t="b">
        <f>MAX(E956:E956)=MIN(E956:E956)</f>
        <v>1</v>
      </c>
    </row>
    <row r="957" spans="1:7" ht="11.25">
      <c r="B957" s="144"/>
      <c r="C957" t="s">
        <v>3230</v>
      </c>
      <c r="D957" s="556" t="s">
        <v>1219</v>
      </c>
      <c r="F957">
        <f>15%*(1+E958)</f>
        <v>0.14373214285714284</v>
      </c>
      <c r="G957" t="b">
        <f>MAX(E957:E957)=MIN(E957:E957)</f>
        <v>1</v>
      </c>
    </row>
    <row r="958" spans="1:7" ht="11.25">
      <c r="B958" s="144"/>
      <c r="C958" s="4" t="s">
        <v>10</v>
      </c>
      <c r="D958" s="555">
        <v>0.35</v>
      </c>
      <c r="E958" s="271">
        <f>IF(decBusAEmp3HrsCurrProj/decBusAEmp2HrsCurrProj&gt;cap!$D958,(cap!$D958-decBusAEmp3HrsCurrProj/decBusAEmp2HrsCurrProj)*0.15,(decBusAEmp3HrsCurrProj/decBusAEmp2HrsCurrProj-cap!$D958)*0.22)</f>
        <v>-4.1785714285714287E-2</v>
      </c>
      <c r="G958" t="b">
        <f>MAX(E958:E958)=MIN(E958:E958)</f>
        <v>1</v>
      </c>
    </row>
    <row r="959" spans="1:7" ht="11.25">
      <c r="B959" s="144"/>
      <c r="C959" s="4" t="s">
        <v>11</v>
      </c>
      <c r="D959" s="555">
        <v>0.35</v>
      </c>
      <c r="E959" s="271">
        <f>IF(decBusAEmp3HrsCurrProjV2/decBusAEmp2HrsCurrProjV2&gt;cap!$D959,(cap!$D959-decBusAEmp3HrsCurrProjV2/decBusAEmp2HrsCurrProjV2)*0.15,(decBusAEmp3HrsCurrProjV2/decBusAEmp2HrsCurrProjV2-cap!$D959)*0.22)</f>
        <v>-2.4772727272727273E-2</v>
      </c>
      <c r="G959" t="b">
        <f>MAX(E959:E959)=MIN(E959:E959)</f>
        <v>1</v>
      </c>
    </row>
    <row r="960" spans="1:7" ht="11.25">
      <c r="B960" s="144"/>
      <c r="C960" s="4" t="s">
        <v>12</v>
      </c>
      <c r="D960" s="555">
        <v>0.35</v>
      </c>
      <c r="E960" s="271">
        <f>IF(decBusAEmp3HrsCurrProjV3/decBusAEmp2HrsCurrProjV3&gt;cap!$D960,(cap!$D960-decBusAEmp3HrsCurrProjV3/decBusAEmp2HrsCurrProjV3)*0.15,(decBusAEmp3HrsCurrProjV3/decBusAEmp2HrsCurrProjV3-cap!$D960)*0.22)</f>
        <v>-2.2500000000000003E-2</v>
      </c>
      <c r="G960" t="b">
        <f>MAX(E960:E960)=MIN(E960:E960)</f>
        <v>1</v>
      </c>
    </row>
    <row r="961" spans="2:7" ht="11.25">
      <c r="B961" s="144"/>
      <c r="C961" t="s">
        <v>1218</v>
      </c>
      <c r="D961" s="556" t="s">
        <v>1219</v>
      </c>
      <c r="F961">
        <f>15%*(1+E962)</f>
        <v>0.14129330454818237</v>
      </c>
      <c r="G961" t="b">
        <f>MAX(E961:E961)=MIN(E961:E961)</f>
        <v>1</v>
      </c>
    </row>
    <row r="962" spans="2:7" ht="11.25">
      <c r="B962" s="144"/>
      <c r="C962" s="4" t="s">
        <v>10</v>
      </c>
      <c r="D962" s="12">
        <v>0.17</v>
      </c>
      <c r="E962" s="271">
        <f>MAX(-10%,IF(decBusAEmp3HrsCurrProj/MAX(1,0+capBusAEmp1HrsCurrProj)&gt;cap!$D962,(cap!$D962-decBusAEmp3HrsCurrProj/MAX(1,0+capBusAEmp1HrsCurrProj))*0.02,(decBusAEmp3HrsCurrProj/MAX(1,0+capBusAEmp1HrsCurrProj)-cap!$D962)*0.07))</f>
        <v>-5.8044636345450908E-2</v>
      </c>
      <c r="G962" t="b">
        <f>MAX(E962:E962)=MIN(E962:E962)</f>
        <v>1</v>
      </c>
    </row>
    <row r="963" spans="2:7" ht="11.25">
      <c r="B963" s="144"/>
      <c r="C963" s="4" t="s">
        <v>11</v>
      </c>
      <c r="D963" s="12">
        <v>0.17</v>
      </c>
      <c r="E963" s="271">
        <f>MAX(-10%,IF(decBusAEmp3HrsCurrProjV2/MAX(1,0+capBusAEmp1HrsCurrProjV2)&gt;cap!$D963,(cap!$D963-decBusAEmp3HrsCurrProjV2/MAX(1,0+capBusAEmp1HrsCurrProjV2))*0.02,(decBusAEmp3HrsCurrProjV2/MAX(1,0+capBusAEmp1HrsCurrProjV2)-cap!$D963)*0.07))</f>
        <v>-8.1660946167929307E-2</v>
      </c>
      <c r="G963" t="b">
        <f>MAX(E963:E963)=MIN(E963:E963)</f>
        <v>1</v>
      </c>
    </row>
    <row r="964" spans="2:7" ht="11.25">
      <c r="B964" s="144"/>
      <c r="C964" s="4" t="s">
        <v>12</v>
      </c>
      <c r="D964" s="12">
        <v>0.17</v>
      </c>
      <c r="E964" s="271">
        <f>MAX(-10%,IF(decBusAEmp3HrsCurrProjV3/MAX(1,0+capBusAEmp1HrsCurrProjV3)&gt;cap!$D964,(cap!$D964-decBusAEmp3HrsCurrProjV3/MAX(1,0+capBusAEmp1HrsCurrProjV3))*0.02,(decBusAEmp3HrsCurrProjV3/MAX(1,0+capBusAEmp1HrsCurrProjV3)-cap!$D964)*0.07))</f>
        <v>-5.9926409645878718E-2</v>
      </c>
      <c r="G964" t="b">
        <f>MAX(E964:E964)=MIN(E964:E964)</f>
        <v>1</v>
      </c>
    </row>
    <row r="965" spans="2:7" ht="11.25">
      <c r="B965" s="4"/>
      <c r="D965" s="12"/>
      <c r="G965" t="b">
        <f>MAX(E965:E965)=MIN(E965:E965)</f>
        <v>1</v>
      </c>
    </row>
    <row r="966" spans="2:7" ht="11.25">
      <c r="C966" t="s">
        <v>3208</v>
      </c>
      <c r="D966" s="271">
        <v>0.91</v>
      </c>
      <c r="E966" s="378">
        <f>IF(capBusAOverallConsUtil&gt;$D$966,0.5*(capBusAOverallConsUtil-$D$966),0)+IF(capBusAOverallConsUtil&lt;$D$966,0.5*($D$966-capBusAOverallConsUtil),0)</f>
        <v>0.16190247452692869</v>
      </c>
      <c r="G966" t="b">
        <f>MAX(E966:E966)=MIN(E966:E966)</f>
        <v>1</v>
      </c>
    </row>
    <row r="967" spans="2:7" ht="11.25">
      <c r="C967" t="s">
        <v>3209</v>
      </c>
      <c r="D967" s="271">
        <v>0.91</v>
      </c>
      <c r="E967" s="378">
        <f>IF(capBusAOverallSolnWFUtil&gt;$D$967,0.5*(capBusAOverallSolnWFUtil-$D$967),0)+IF(capBusAOverallSolnWFUtil&lt;$D$967,0.4*($D$967-capBusAOverallSolnWFUtil),0)</f>
        <v>0.23742088027360364</v>
      </c>
      <c r="G967" t="b">
        <f>MAX(E967:E967)=MIN(E967:E967)</f>
        <v>1</v>
      </c>
    </row>
    <row r="968" spans="2:7" ht="11.25">
      <c r="C968" t="s">
        <v>2718</v>
      </c>
      <c r="E968" s="271">
        <f>-DataTableQualityCostReduceFromTraining</f>
        <v>-5.2999999999999999E-2</v>
      </c>
      <c r="G968" t="b">
        <f>MAX(E968:E968)=MIN(E968:E968)</f>
        <v>1</v>
      </c>
    </row>
    <row r="969" spans="2:7" ht="11.25">
      <c r="C969" t="s">
        <v>945</v>
      </c>
      <c r="D969">
        <v>4.0000000000000001E-3</v>
      </c>
      <c r="E969" s="376">
        <f>-(cbalBusACompDevV1+cbalBusACompDevV2+cbalBusACompDevV3)*$D$969</f>
        <v>-3.6000000000000004E-2</v>
      </c>
      <c r="G969" t="b">
        <f>MAX(E969:E969)=MIN(E969:E969)</f>
        <v>1</v>
      </c>
    </row>
    <row r="970" spans="2:7" ht="11.25">
      <c r="C970" s="4" t="s">
        <v>1340</v>
      </c>
      <c r="E970" s="64"/>
      <c r="F970" t="s">
        <v>507</v>
      </c>
      <c r="G970" t="b">
        <f>MAX(E970:E970)=MIN(E970:E970)</f>
        <v>1</v>
      </c>
    </row>
    <row r="971" spans="2:7" ht="11.25">
      <c r="E971" s="378"/>
      <c r="G971" t="b">
        <f>MAX(E971:E971)=MIN(E971:E971)</f>
        <v>1</v>
      </c>
    </row>
    <row r="972" spans="2:7" ht="11.25">
      <c r="E972" s="378"/>
      <c r="G972" t="b">
        <f>MAX(E972:E972)=MIN(E972:E972)</f>
        <v>1</v>
      </c>
    </row>
    <row r="973" spans="2:7" ht="11.25">
      <c r="B973" t="s">
        <v>635</v>
      </c>
      <c r="E973" s="378"/>
      <c r="G973" t="b">
        <f>MAX(E973:E973)=MIN(E973:E973)</f>
        <v>1</v>
      </c>
    </row>
    <row r="974" spans="2:7" ht="11.25">
      <c r="C974" t="s">
        <v>3187</v>
      </c>
      <c r="D974" s="271">
        <v>0.91</v>
      </c>
      <c r="E974" s="378">
        <f>IF(capBusBOverallConsUtil&gt;$D$974,0.5*(capBusBOverallConsUtil-$D$974),0)+IF(capBusBOverallConsUtil&lt;$D$974,0.5*($D$974-capBusBOverallConsUtil),0)</f>
        <v>0.32308510638297872</v>
      </c>
      <c r="G974" t="b">
        <f>MAX(E974:E974)=MIN(E974:E974)</f>
        <v>1</v>
      </c>
    </row>
    <row r="975" spans="2:7" ht="11.25">
      <c r="C975" t="s">
        <v>506</v>
      </c>
      <c r="D975" s="271">
        <v>0.91</v>
      </c>
      <c r="E975" s="271">
        <f>IF(capBusBOverallSolnWFUtil&gt;$D$975,0.5*(capBusBOverallSolnWFUtil-$D$975),0)+IF(capBusBOverallSolnWFUtil&lt;$D$975,0.5*($D$975-capBusBOverallSolnWFUtil),0)</f>
        <v>0.28709876543209878</v>
      </c>
      <c r="G975" t="b">
        <f>MAX(E975:E975)=MIN(E975:E975)</f>
        <v>1</v>
      </c>
    </row>
    <row r="976" spans="2:7" ht="11.25">
      <c r="C976" t="s">
        <v>2718</v>
      </c>
      <c r="E976" s="271">
        <f>-DataTableQualityCostReduceFromTraining</f>
        <v>-5.2999999999999999E-2</v>
      </c>
      <c r="G976" t="b">
        <f>MAX(E976:E976)=MIN(E976:E976)</f>
        <v>1</v>
      </c>
    </row>
    <row r="977" spans="1:7" ht="11.25">
      <c r="C977" t="s">
        <v>945</v>
      </c>
      <c r="D977">
        <v>5.0000000000000001E-3</v>
      </c>
      <c r="E977" s="271">
        <f>-(cbalV1Competency+cbalV2Competency+cbalV3Competency)*$D$977</f>
        <v>-0.12</v>
      </c>
      <c r="G977" t="b">
        <f>MAX(E977:E977)=MIN(E977:E977)</f>
        <v>1</v>
      </c>
    </row>
    <row r="978" spans="1:7" ht="11.25">
      <c r="C978" t="s">
        <v>3207</v>
      </c>
      <c r="E978" s="441">
        <f>-capBusBGenOpsPctCostReduce</f>
        <v>-3.7559972464384347E-2</v>
      </c>
      <c r="G978" t="b">
        <f>MAX(E978:E978)=MIN(E978:E978)</f>
        <v>1</v>
      </c>
    </row>
    <row r="979" spans="1:7" ht="11.25">
      <c r="C979" s="4" t="s">
        <v>1340</v>
      </c>
      <c r="E979" s="271">
        <f>MAX(0,SUM(E974:E978))</f>
        <v>0.39962389935069309</v>
      </c>
      <c r="F979" t="s">
        <v>508</v>
      </c>
      <c r="G979" t="b">
        <f>MAX(E979:E979)=MIN(E979:E979)</f>
        <v>1</v>
      </c>
    </row>
    <row r="980" spans="1:7" ht="11.25">
      <c r="G980" t="b">
        <f>MAX(E980:E980)=MIN(E980:E980)</f>
        <v>1</v>
      </c>
    </row>
    <row r="981" spans="1:7" ht="11.25">
      <c r="E981" s="271"/>
      <c r="G981" t="b">
        <f>MAX(E981:E981)=MIN(E981:E981)</f>
        <v>1</v>
      </c>
    </row>
    <row r="982" spans="1:7" ht="11.25">
      <c r="E982" s="271"/>
      <c r="G982" t="b">
        <f>MAX(E982:E982)=MIN(E982:E982)</f>
        <v>1</v>
      </c>
    </row>
    <row r="983" spans="1:7" ht="11.25">
      <c r="G983" t="b">
        <f>MAX(E983:E983)=MIN(E983:E983)</f>
        <v>1</v>
      </c>
    </row>
    <row r="984" spans="1:7" ht="15.75">
      <c r="A984" s="22" t="s">
        <v>2911</v>
      </c>
      <c r="B984" s="23"/>
      <c r="C984" s="23"/>
      <c r="D984" s="23"/>
      <c r="E984" s="23"/>
      <c r="G984" t="b">
        <f>MAX(E984:E984)=MIN(E984:E984)</f>
        <v>1</v>
      </c>
    </row>
    <row r="985" spans="1:7" ht="11.25">
      <c r="G985" t="b">
        <f>MAX(E985:E985)=MIN(E985:E985)</f>
        <v>1</v>
      </c>
    </row>
    <row r="986" spans="1:7" s="2" customFormat="1" ht="11.25">
      <c r="A986" s="2" t="s">
        <v>635</v>
      </c>
      <c r="G986" t="b">
        <f>MAX(E986:E986)=MIN(E986:E986)</f>
        <v>1</v>
      </c>
    </row>
    <row r="987" spans="1:7" ht="11.25">
      <c r="A987" s="2" t="s">
        <v>4405</v>
      </c>
      <c r="G987" t="b">
        <f>MAX(E987:E987)=MIN(E987:E987)</f>
        <v>1</v>
      </c>
    </row>
    <row r="988" spans="1:7" ht="11.25">
      <c r="A988" s="2"/>
      <c r="C988" t="s">
        <v>2022</v>
      </c>
      <c r="D988" s="171">
        <v>0.6</v>
      </c>
      <c r="E988" s="87">
        <f>(decEmp1BusBOpsImprove/paramEmp1HoursPYear)*(paramEmp1BusBGenOpsPctCostReducPerHr)^$D$988</f>
        <v>8.8468260122999444E-3</v>
      </c>
      <c r="G988" t="b">
        <f>MAX(E988:E988)=MIN(E988:E988)</f>
        <v>1</v>
      </c>
    </row>
    <row r="989" spans="1:7" ht="11.25">
      <c r="A989" s="2"/>
      <c r="C989" t="s">
        <v>3861</v>
      </c>
      <c r="D989" s="171">
        <v>0.65</v>
      </c>
      <c r="E989" s="87">
        <f>(decEmp2BusBOpsImprove/paramEmp2HoursPYear)*(paramEmp2BusBGenOpsPctCostReducPerHr)^$D989</f>
        <v>1.2767159958896735E-2</v>
      </c>
      <c r="G989" t="b">
        <f>MAX(E989:E989)=MIN(E989:E989)</f>
        <v>1</v>
      </c>
    </row>
    <row r="990" spans="1:7" ht="11.25">
      <c r="A990" s="2"/>
      <c r="C990" t="s">
        <v>3860</v>
      </c>
      <c r="D990" s="171">
        <v>0.7</v>
      </c>
      <c r="E990" s="87">
        <f>(decEmp3BusBOpsImprove/paramEmp3HoursPYear)*(paramEmp3BusBGenOpsPctCostReducPerHr)^$D990</f>
        <v>6.1926765178008615E-3</v>
      </c>
      <c r="G990" t="b">
        <f>MAX(E990:E990)=MIN(E990:E990)</f>
        <v>1</v>
      </c>
    </row>
    <row r="991" spans="1:7" ht="11.25">
      <c r="C991" s="57" t="s">
        <v>3071</v>
      </c>
      <c r="D991" s="171">
        <v>0.6</v>
      </c>
      <c r="E991" s="376">
        <f>(decEmp4BusBOpsImprove/paramEmp4HoursPYear)*(paramEmp4BusBGenOpsPctCostReducPerHr)^$D991</f>
        <v>9.753309975386806E-3</v>
      </c>
      <c r="G991" t="b">
        <f>MAX(E991:E991)=MIN(E991:E991)</f>
        <v>1</v>
      </c>
    </row>
    <row r="992" spans="1:7" ht="11.25">
      <c r="C992" s="4" t="s">
        <v>3561</v>
      </c>
      <c r="E992" s="64">
        <f>SUM(E988:E991)</f>
        <v>3.7559972464384347E-2</v>
      </c>
      <c r="F992" t="s">
        <v>3562</v>
      </c>
      <c r="G992" t="b">
        <f>MAX(E992:E992)=MIN(E992:E992)</f>
        <v>1</v>
      </c>
    </row>
    <row r="993" spans="1:7" ht="11.25">
      <c r="C993" s="4"/>
      <c r="E993" s="64"/>
      <c r="G993" t="b">
        <f>MAX(E993:E993)=MIN(E993:E993)</f>
        <v>1</v>
      </c>
    </row>
    <row r="994" spans="1:7" s="2" customFormat="1" ht="11.25">
      <c r="A994" s="2" t="s">
        <v>3293</v>
      </c>
      <c r="C994" s="43"/>
      <c r="E994" s="772"/>
      <c r="G994" t="b">
        <f>MAX(E994:E994)=MIN(E994:E994)</f>
        <v>1</v>
      </c>
    </row>
    <row r="995" spans="1:7" ht="11.25">
      <c r="A995" s="2" t="s">
        <v>4405</v>
      </c>
      <c r="G995" t="b">
        <f>MAX(E995:E995)=MIN(E995:E995)</f>
        <v>1</v>
      </c>
    </row>
    <row r="996" spans="1:7" ht="11.25">
      <c r="A996" s="2"/>
      <c r="C996" s="773" t="s">
        <v>2022</v>
      </c>
      <c r="D996" s="824">
        <v>0.01</v>
      </c>
      <c r="E996" s="775">
        <f>(decEmp1BusALocalPer)*$D$996</f>
        <v>0</v>
      </c>
      <c r="G996" t="b">
        <f>MAX(E996:E996)=MIN(E996:E996)</f>
        <v>1</v>
      </c>
    </row>
    <row r="997" spans="1:7" ht="11.25">
      <c r="A997" s="2"/>
      <c r="C997" s="773" t="s">
        <v>3861</v>
      </c>
      <c r="D997" s="824">
        <v>0.01</v>
      </c>
      <c r="E997" s="775">
        <f>(decEmp2BusALocalPer)*$D$997</f>
        <v>0</v>
      </c>
      <c r="G997" t="b">
        <f>MAX(E997:E997)=MIN(E997:E997)</f>
        <v>1</v>
      </c>
    </row>
    <row r="998" spans="1:7" ht="11.25">
      <c r="A998" s="2"/>
      <c r="C998" s="773" t="s">
        <v>3860</v>
      </c>
      <c r="D998" s="824">
        <v>0.01</v>
      </c>
      <c r="E998" s="775">
        <f>(decEmp3BusALocalPer)*$D$998</f>
        <v>0</v>
      </c>
      <c r="G998" t="b">
        <f>MAX(E998:E998)=MIN(E998:E998)</f>
        <v>1</v>
      </c>
    </row>
    <row r="999" spans="1:7" ht="11.25">
      <c r="C999" s="776" t="s">
        <v>3071</v>
      </c>
      <c r="D999" s="824">
        <v>0.01</v>
      </c>
      <c r="E999" s="825">
        <f>(decEmp4BusALocalPer)*$D$999</f>
        <v>0</v>
      </c>
      <c r="G999" t="b">
        <f>MAX(E999:E999)=MIN(E999:E999)</f>
        <v>1</v>
      </c>
    </row>
    <row r="1000" spans="1:7" ht="11.25">
      <c r="C1000" s="777" t="s">
        <v>3561</v>
      </c>
      <c r="D1000" s="773"/>
      <c r="E1000" s="778">
        <f>SUM(E996:E999)+obalBusALocalPerCostReduce</f>
        <v>0</v>
      </c>
      <c r="F1000" t="s">
        <v>4610</v>
      </c>
      <c r="G1000" t="b">
        <f>MAX(E1000:E1000)=MIN(E1000:E1000)</f>
        <v>1</v>
      </c>
    </row>
    <row r="1001" spans="1:7" s="19" customFormat="1">
      <c r="A1001" s="552" t="s">
        <v>4619</v>
      </c>
      <c r="B1001" s="552"/>
      <c r="C1001" s="553"/>
      <c r="D1001" s="552"/>
      <c r="E1001" s="554"/>
      <c r="G1001" t="b">
        <f>MAX(E1001:E1001)=MIN(E1001:E1001)</f>
        <v>1</v>
      </c>
    </row>
    <row r="1002" spans="1:7" ht="11.25">
      <c r="A1002" s="2"/>
      <c r="G1002" t="b">
        <f>MAX(E1002:E1002)=MIN(E1002:E1002)</f>
        <v>1</v>
      </c>
    </row>
    <row r="1003" spans="1:7" ht="11.25">
      <c r="C1003" t="s">
        <v>4605</v>
      </c>
      <c r="D1003" s="773">
        <v>1.5</v>
      </c>
      <c r="E1003" s="841">
        <f>DataTableBusARelationReduceFromLocalEmp4*$D$1003</f>
        <v>0</v>
      </c>
      <c r="F1003" s="26"/>
      <c r="G1003" t="b">
        <f>MAX(E1003:E1003)=MIN(E1003:E1003)</f>
        <v>1</v>
      </c>
    </row>
    <row r="1004" spans="1:7" ht="11.25">
      <c r="C1004" t="s">
        <v>3084</v>
      </c>
      <c r="D1004" s="773">
        <v>1.25</v>
      </c>
      <c r="E1004" s="842">
        <f>DataTableBusARelationReduceFromLocalEmp3*$D$1004</f>
        <v>0</v>
      </c>
      <c r="F1004" s="26"/>
      <c r="G1004" t="b">
        <f>MAX(E1004:E1004)=MIN(E1004:E1004)</f>
        <v>1</v>
      </c>
    </row>
    <row r="1005" spans="1:7" ht="11.25">
      <c r="C1005" t="s">
        <v>3085</v>
      </c>
      <c r="D1005" s="773">
        <v>1.1000000000000001</v>
      </c>
      <c r="E1005" s="842">
        <f>DataTableBusARelationReduceFromLocalEmp2*$D$1005</f>
        <v>0</v>
      </c>
      <c r="F1005" s="26"/>
      <c r="G1005" t="b">
        <f>MAX(E1005:E1005)=MIN(E1005:E1005)</f>
        <v>1</v>
      </c>
    </row>
    <row r="1006" spans="1:7" ht="11.25">
      <c r="C1006" t="s">
        <v>3086</v>
      </c>
      <c r="D1006" s="775">
        <v>0.01</v>
      </c>
      <c r="E1006" s="842">
        <f>DataTableBusARelationReduceFromLocalEmp1*$D$1006</f>
        <v>0</v>
      </c>
      <c r="G1006" t="b">
        <f>MAX(E1006:E1006)=MIN(E1006:E1006)</f>
        <v>1</v>
      </c>
    </row>
    <row r="1007" spans="1:7" ht="11.25">
      <c r="C1007" s="826" t="s">
        <v>4620</v>
      </c>
      <c r="D1007" s="827"/>
      <c r="E1007" s="843">
        <f>AVERAGE(E1003:E1006)</f>
        <v>0</v>
      </c>
      <c r="F1007" t="s">
        <v>4622</v>
      </c>
      <c r="G1007" t="b">
        <f>MAX(E1007:E1007)=MIN(E1007:E1007)</f>
        <v>1</v>
      </c>
    </row>
    <row r="1008" spans="1:7" ht="11.25">
      <c r="D1008" s="87"/>
      <c r="E1008" s="324"/>
      <c r="G1008" t="b">
        <f>MAX(E1008:E1008)=MIN(E1008:E1008)</f>
        <v>1</v>
      </c>
    </row>
    <row r="1009" spans="1:7" s="19" customFormat="1">
      <c r="A1009" s="552" t="s">
        <v>4589</v>
      </c>
      <c r="B1009" s="552"/>
      <c r="C1009" s="553"/>
      <c r="D1009" s="552"/>
      <c r="E1009" s="554"/>
      <c r="G1009" t="b">
        <f>MAX(E1009:E1009)=MIN(E1009:E1009)</f>
        <v>1</v>
      </c>
    </row>
    <row r="1010" spans="1:7" ht="11.25">
      <c r="A1010" s="2" t="s">
        <v>4602</v>
      </c>
      <c r="G1010" t="b">
        <f>MAX(E1010:E1010)=MIN(E1010:E1010)</f>
        <v>1</v>
      </c>
    </row>
    <row r="1011" spans="1:7" ht="11.25">
      <c r="C1011" t="s">
        <v>10</v>
      </c>
      <c r="E1011" s="781">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capBusALocalPerCostReduce)</f>
        <v>0</v>
      </c>
      <c r="F1011" s="26" t="s">
        <v>4591</v>
      </c>
      <c r="G1011" t="b">
        <f>MAX(E1011:E1011)=MIN(E1011:E1011)</f>
        <v>1</v>
      </c>
    </row>
    <row r="1012" spans="1:7" ht="11.25">
      <c r="C1012" t="s">
        <v>11</v>
      </c>
      <c r="E1012" s="781">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capBusALocalPerCostReduce)</f>
        <v>0</v>
      </c>
      <c r="F1012" s="26" t="s">
        <v>4592</v>
      </c>
      <c r="G1012" t="b">
        <f>MAX(E1012:E1012)=MIN(E1012:E1012)</f>
        <v>1</v>
      </c>
    </row>
    <row r="1013" spans="1:7" ht="11.25">
      <c r="C1013" t="s">
        <v>12</v>
      </c>
      <c r="E1013" s="782">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capBusALocalPerCostReduce)</f>
        <v>0</v>
      </c>
      <c r="F1013" s="26" t="s">
        <v>4593</v>
      </c>
      <c r="G1013" t="b">
        <f>MAX(E1013:E1013)=MIN(E1013:E1013)</f>
        <v>1</v>
      </c>
    </row>
    <row r="1014" spans="1:7" ht="11.25">
      <c r="C1014" t="s">
        <v>4590</v>
      </c>
      <c r="D1014" s="87"/>
      <c r="E1014" s="783">
        <f>SUM(E1011:E1013)</f>
        <v>0</v>
      </c>
      <c r="F1014" t="s">
        <v>4594</v>
      </c>
      <c r="G1014" t="b">
        <f>MAX(E1014:E1014)=MIN(E1014:E1014)</f>
        <v>1</v>
      </c>
    </row>
    <row r="1015" spans="1:7" ht="11.25">
      <c r="D1015" s="87"/>
      <c r="E1015" s="324"/>
      <c r="G1015" t="b">
        <f>MAX(E1015:E1015)=MIN(E1015:E1015)</f>
        <v>1</v>
      </c>
    </row>
    <row r="1016" spans="1:7" s="19" customFormat="1">
      <c r="A1016" s="552" t="s">
        <v>4589</v>
      </c>
      <c r="B1016" s="552"/>
      <c r="C1016" s="553"/>
      <c r="D1016" s="552"/>
      <c r="E1016" s="554"/>
      <c r="G1016" t="b">
        <f>MAX(E1016:E1016)=MIN(E1016:E1016)</f>
        <v>1</v>
      </c>
    </row>
    <row r="1017" spans="1:7" ht="11.25">
      <c r="A1017" s="2" t="s">
        <v>4603</v>
      </c>
      <c r="G1017" t="b">
        <f>MAX(E1017:E1017)=MIN(E1017:E1017)</f>
        <v>1</v>
      </c>
    </row>
    <row r="1018" spans="1:7" ht="11.25">
      <c r="C1018" t="s">
        <v>10</v>
      </c>
      <c r="E1018" s="779">
        <f t="shared" ref="E1018:E1020" si="24">MAX(0,(finPNLBusAV1Emp1SalaryExp+finPNLBusAV1LoadExp)*paramBusAQualityCostPctCOS-(((finPNLBusAV1Emp3SalaryExp*paramEmp3LoadPctSalary)+(finPNLBusAV1Emp8SalaryExp*paramEmp8LoadPctSalary))*0.2))*(paramBusALocalPerQualityCost-1)</f>
        <v>0</v>
      </c>
      <c r="F1018" s="26" t="s">
        <v>4596</v>
      </c>
      <c r="G1018" t="b">
        <f>MAX(E1018:E1018)=MIN(E1018:E1018)</f>
        <v>1</v>
      </c>
    </row>
    <row r="1019" spans="1:7" ht="11.25">
      <c r="C1019" t="s">
        <v>11</v>
      </c>
      <c r="E1019" s="779">
        <f t="shared" si="24"/>
        <v>0</v>
      </c>
      <c r="F1019" s="26" t="s">
        <v>4597</v>
      </c>
      <c r="G1019" t="b">
        <f>MAX(E1019:E1019)=MIN(E1019:E1019)</f>
        <v>1</v>
      </c>
    </row>
    <row r="1020" spans="1:7" ht="11.25">
      <c r="C1020" t="s">
        <v>12</v>
      </c>
      <c r="E1020" s="779">
        <f t="shared" si="24"/>
        <v>0</v>
      </c>
      <c r="F1020" s="26" t="s">
        <v>4598</v>
      </c>
      <c r="G1020" t="b">
        <f>MAX(E1020:E1020)=MIN(E1020:E1020)</f>
        <v>1</v>
      </c>
    </row>
    <row r="1021" spans="1:7" ht="11.25">
      <c r="C1021" t="s">
        <v>4590</v>
      </c>
      <c r="D1021" s="87"/>
      <c r="E1021" s="823">
        <f>SUM(E1018:E1020)</f>
        <v>0</v>
      </c>
      <c r="F1021" t="s">
        <v>4599</v>
      </c>
      <c r="G1021" t="b">
        <f>MAX(E1021:E1021)=MIN(E1021:E1021)</f>
        <v>1</v>
      </c>
    </row>
    <row r="1022" spans="1:7" ht="11.25">
      <c r="D1022" s="87"/>
      <c r="E1022" s="324"/>
      <c r="G1022" t="b">
        <f>MAX(E1022:E1022)=MIN(E1022:E1022)</f>
        <v>1</v>
      </c>
    </row>
    <row r="1023" spans="1:7" s="19" customFormat="1">
      <c r="A1023" s="552" t="s">
        <v>3708</v>
      </c>
      <c r="B1023" s="552"/>
      <c r="C1023" s="553"/>
      <c r="D1023" s="552"/>
      <c r="E1023" s="554"/>
      <c r="G1023" t="b">
        <f>MAX(E1023:E1023)=MIN(E1023:E1023)</f>
        <v>1</v>
      </c>
    </row>
    <row r="1024" spans="1:7" ht="11.25">
      <c r="A1024" s="2" t="s">
        <v>2016</v>
      </c>
      <c r="G1024" t="b">
        <f>MAX(E1024:E1024)=MIN(E1024:E1024)</f>
        <v>1</v>
      </c>
    </row>
    <row r="1025" spans="2:7" ht="11.25">
      <c r="B1025" t="s">
        <v>1701</v>
      </c>
      <c r="G1025" t="b">
        <f>MAX(E1025:E1025)=MIN(E1025:E1025)</f>
        <v>1</v>
      </c>
    </row>
    <row r="1026" spans="2:7" ht="11.25">
      <c r="C1026" t="s">
        <v>1702</v>
      </c>
      <c r="E1026" s="324">
        <f>obalY1V1H1COS</f>
        <v>350494849.90157366</v>
      </c>
      <c r="G1026" t="b">
        <f>MAX(E1026:E1026)=MIN(E1026:E1026)</f>
        <v>1</v>
      </c>
    </row>
    <row r="1027" spans="2:7" ht="11.25">
      <c r="C1027" t="s">
        <v>1714</v>
      </c>
      <c r="E1027" s="87">
        <f>(decV1H1Dev+decV1H2Dev+decV1H3Dev)*paramV1PctCostReducPerVCompLvl</f>
        <v>0</v>
      </c>
      <c r="F1027" s="451"/>
      <c r="G1027" t="b">
        <f>MAX(E1027:E1027)=MIN(E1027:E1027)</f>
        <v>1</v>
      </c>
    </row>
    <row r="1028" spans="2:7" ht="11.25">
      <c r="C1028" t="s">
        <v>1715</v>
      </c>
      <c r="E1028" s="87">
        <f>(decV1H1Dev+decV2H1Dev+decV3H1Dev)*paramH1PctCostReducPerHCompLvl</f>
        <v>0</v>
      </c>
      <c r="G1028" t="b">
        <f>MAX(E1028:E1028)=MIN(E1028:E1028)</f>
        <v>1</v>
      </c>
    </row>
    <row r="1029" spans="2:7" ht="11.25">
      <c r="C1029" t="s">
        <v>2228</v>
      </c>
      <c r="E1029" s="64">
        <f>capBusBGenOpsPctCostReduce</f>
        <v>3.7559972464384347E-2</v>
      </c>
      <c r="G1029" t="b">
        <f>MAX(E1029:E1029)=MIN(E1029:E1029)</f>
        <v>1</v>
      </c>
    </row>
    <row r="1030" spans="2:7" ht="11.25">
      <c r="C1030" t="s">
        <v>2229</v>
      </c>
      <c r="E1030" s="64">
        <f>paramSpecProgramBPOV1CostReducPct+paramSpecProgramBPOH1CostReducPct</f>
        <v>0</v>
      </c>
      <c r="G1030" t="b">
        <f>MAX(E1030:E1030)=MIN(E1030:E1030)</f>
        <v>1</v>
      </c>
    </row>
    <row r="1031" spans="2:7" ht="11.25">
      <c r="C1031" t="s">
        <v>2797</v>
      </c>
      <c r="E1031" s="64">
        <f>IF(xxYear=1,DataTableBid1COSReducPursuit,0)</f>
        <v>5.1401060881722194E-2</v>
      </c>
      <c r="G1031" t="b">
        <f>MAX(E1031:E1031)=MIN(E1031:E1031)</f>
        <v>1</v>
      </c>
    </row>
    <row r="1032" spans="2:7" ht="11.25">
      <c r="C1032" t="s">
        <v>3563</v>
      </c>
      <c r="E1032" s="171">
        <v>0.8</v>
      </c>
      <c r="G1032" t="b">
        <f>MAX(E1032:E1032)=MIN(E1032:E1032)</f>
        <v>1</v>
      </c>
    </row>
    <row r="1033" spans="2:7" ht="11.25">
      <c r="C1033" t="s">
        <v>1719</v>
      </c>
      <c r="D1033" s="87">
        <f>(E1026-E1033)/E1026</f>
        <v>7.1168826676885219E-2</v>
      </c>
      <c r="E1033" s="324">
        <f>E1026-E1026*(E1032*(E1027+E1028+E1029+E1030+E1031))</f>
        <v>325550542.67778766</v>
      </c>
      <c r="F1033" t="s">
        <v>871</v>
      </c>
      <c r="G1033" t="b">
        <f>MAX(E1033:E1033)=MIN(E1033:E1033)</f>
        <v>1</v>
      </c>
    </row>
    <row r="1034" spans="2:7" ht="11.25">
      <c r="B1034" t="s">
        <v>2160</v>
      </c>
      <c r="G1034" t="b">
        <f>MAX(E1034:E1034)=MIN(E1034:E1034)</f>
        <v>1</v>
      </c>
    </row>
    <row r="1035" spans="2:7" ht="11.25">
      <c r="C1035" t="s">
        <v>1702</v>
      </c>
      <c r="E1035" s="324">
        <f>obalY1V1H2COS</f>
        <v>716064747.11074233</v>
      </c>
      <c r="G1035" t="b">
        <f>MAX(E1035:E1035)=MIN(E1035:E1035)</f>
        <v>1</v>
      </c>
    </row>
    <row r="1036" spans="2:7" ht="11.25">
      <c r="C1036" t="s">
        <v>1714</v>
      </c>
      <c r="E1036" s="87">
        <f>(decV1H2Dev+decV1H2Dev+decV1H3Dev)*paramV1PctCostReducPerVCompLvl</f>
        <v>0</v>
      </c>
      <c r="G1036" t="b">
        <f>MAX(E1036:E1036)=MIN(E1036:E1036)</f>
        <v>1</v>
      </c>
    </row>
    <row r="1037" spans="2:7" ht="11.25">
      <c r="C1037" t="s">
        <v>1715</v>
      </c>
      <c r="E1037" s="87">
        <f>(decV1H2Dev+decV2H2Dev+decV3H2Dev)*paramH2PctCostReducPerHCompLvl</f>
        <v>0</v>
      </c>
      <c r="G1037" t="b">
        <f>MAX(E1037:E1037)=MIN(E1037:E1037)</f>
        <v>1</v>
      </c>
    </row>
    <row r="1038" spans="2:7" ht="11.25">
      <c r="C1038" t="s">
        <v>2558</v>
      </c>
      <c r="E1038" s="64">
        <f>capBusBGenOpsPctCostReduce</f>
        <v>3.7559972464384347E-2</v>
      </c>
      <c r="G1038" t="b">
        <f>MAX(E1038:E1038)=MIN(E1038:E1038)</f>
        <v>1</v>
      </c>
    </row>
    <row r="1039" spans="2:7" ht="11.25">
      <c r="C1039" t="s">
        <v>1718</v>
      </c>
      <c r="E1039" s="64">
        <f>paramSpecProgramBPOV1CostReducPct+paramSpecProgramBPOH2CostReducPct</f>
        <v>0</v>
      </c>
      <c r="G1039" t="b">
        <f>MAX(E1039:E1039)=MIN(E1039:E1039)</f>
        <v>1</v>
      </c>
    </row>
    <row r="1040" spans="2:7" ht="11.25">
      <c r="C1040" t="s">
        <v>2797</v>
      </c>
      <c r="E1040" s="64">
        <f>IF(xxYear=1,DataTableBid2COSReducPursuit,0)</f>
        <v>0</v>
      </c>
      <c r="G1040" t="b">
        <f>MAX(E1040:E1040)=MIN(E1040:E1040)</f>
        <v>1</v>
      </c>
    </row>
    <row r="1041" spans="2:7" ht="11.25">
      <c r="C1041" t="s">
        <v>3563</v>
      </c>
      <c r="E1041" s="171">
        <v>0.8</v>
      </c>
      <c r="G1041" t="b">
        <f>MAX(E1041:E1041)=MIN(E1041:E1041)</f>
        <v>1</v>
      </c>
    </row>
    <row r="1042" spans="2:7" ht="11.25">
      <c r="C1042" t="s">
        <v>1719</v>
      </c>
      <c r="E1042" s="324">
        <f>E1035-E1035*(E1041*(E1036+E1037+E1038+E1039+E1040))</f>
        <v>694548449.36338568</v>
      </c>
      <c r="F1042" t="s">
        <v>872</v>
      </c>
      <c r="G1042" t="b">
        <f>MAX(E1042:E1042)=MIN(E1042:E1042)</f>
        <v>1</v>
      </c>
    </row>
    <row r="1043" spans="2:7" ht="11.25">
      <c r="B1043" t="s">
        <v>2559</v>
      </c>
      <c r="G1043" t="b">
        <f>MAX(E1043:E1043)=MIN(E1043:E1043)</f>
        <v>1</v>
      </c>
    </row>
    <row r="1044" spans="2:7" ht="11.25">
      <c r="C1044" t="s">
        <v>1702</v>
      </c>
      <c r="E1044" s="324">
        <f>obalY1V1H3COS</f>
        <v>184977573.81431642</v>
      </c>
      <c r="G1044" t="b">
        <f>MAX(E1044:E1044)=MIN(E1044:E1044)</f>
        <v>1</v>
      </c>
    </row>
    <row r="1045" spans="2:7" ht="11.25">
      <c r="C1045" t="s">
        <v>1714</v>
      </c>
      <c r="E1045" s="87">
        <f>(decV1H1Dev+decV1H2Dev+decV1H3Dev)*paramV1PctCostReducPerVCompLvl</f>
        <v>0</v>
      </c>
      <c r="G1045" t="b">
        <f>MAX(E1045:E1045)=MIN(E1045:E1045)</f>
        <v>1</v>
      </c>
    </row>
    <row r="1046" spans="2:7" ht="11.25">
      <c r="C1046" t="s">
        <v>1715</v>
      </c>
      <c r="E1046" s="87">
        <f>(decV1H3Dev+decV2H3Dev+decV3H3Dev)*paramH3PctCostReducPerHCompLvl</f>
        <v>0</v>
      </c>
      <c r="G1046" t="b">
        <f>MAX(E1046:E1046)=MIN(E1046:E1046)</f>
        <v>1</v>
      </c>
    </row>
    <row r="1047" spans="2:7" ht="11.25">
      <c r="C1047" t="s">
        <v>2558</v>
      </c>
      <c r="E1047" s="64">
        <f>capBusBGenOpsPctCostReduce</f>
        <v>3.7559972464384347E-2</v>
      </c>
      <c r="G1047" t="b">
        <f>MAX(E1047:E1047)=MIN(E1047:E1047)</f>
        <v>1</v>
      </c>
    </row>
    <row r="1048" spans="2:7" ht="11.25">
      <c r="C1048" t="s">
        <v>1718</v>
      </c>
      <c r="E1048" s="64">
        <f>paramSpecProgramBPOV1CostReducPct+paramSpecProgramBPOH3CostReducPct</f>
        <v>0</v>
      </c>
      <c r="G1048" t="b">
        <f>MAX(E1048:E1048)=MIN(E1048:E1048)</f>
        <v>1</v>
      </c>
    </row>
    <row r="1049" spans="2:7" ht="11.25">
      <c r="C1049" t="s">
        <v>2797</v>
      </c>
      <c r="E1049" s="64">
        <f>IF(xxYear=1,DataTableBid3COSReducPursuit,0)</f>
        <v>0</v>
      </c>
      <c r="G1049" t="b">
        <f>MAX(E1049:E1049)=MIN(E1049:E1049)</f>
        <v>1</v>
      </c>
    </row>
    <row r="1050" spans="2:7" ht="11.25">
      <c r="C1050" t="s">
        <v>3563</v>
      </c>
      <c r="E1050" s="171">
        <v>1</v>
      </c>
      <c r="G1050" t="b">
        <f>MAX(E1050:E1050)=MIN(E1050:E1050)</f>
        <v>1</v>
      </c>
    </row>
    <row r="1051" spans="2:7" ht="11.25">
      <c r="C1051" t="s">
        <v>1719</v>
      </c>
      <c r="E1051" s="324">
        <f>E1044-E1044*(E1050*(E1045+E1046+E1047+E1048+E1049))</f>
        <v>178029821.23532209</v>
      </c>
      <c r="F1051" t="s">
        <v>2317</v>
      </c>
      <c r="G1051" t="b">
        <f>MAX(E1051:E1051)=MIN(E1051:E1051)</f>
        <v>1</v>
      </c>
    </row>
    <row r="1052" spans="2:7" ht="11.25">
      <c r="B1052" t="s">
        <v>2560</v>
      </c>
      <c r="G1052" t="b">
        <f>MAX(E1052:E1052)=MIN(E1052:E1052)</f>
        <v>1</v>
      </c>
    </row>
    <row r="1053" spans="2:7" ht="11.25">
      <c r="C1053" t="s">
        <v>1702</v>
      </c>
      <c r="E1053" s="324">
        <f>obalY1V2H1COS</f>
        <v>305829588.70633566</v>
      </c>
      <c r="G1053" t="b">
        <f>MAX(E1053:E1053)=MIN(E1053:E1053)</f>
        <v>1</v>
      </c>
    </row>
    <row r="1054" spans="2:7" ht="11.25">
      <c r="C1054" t="s">
        <v>1714</v>
      </c>
      <c r="E1054" s="87">
        <f>(decV2H1Dev+decV2H2Dev+decV2H3Dev)*paramV2PctCostReducPerVCompLvl</f>
        <v>0</v>
      </c>
      <c r="G1054" t="b">
        <f>MAX(E1054:E1054)=MIN(E1054:E1054)</f>
        <v>1</v>
      </c>
    </row>
    <row r="1055" spans="2:7" ht="11.25">
      <c r="C1055" t="s">
        <v>1715</v>
      </c>
      <c r="E1055" s="87">
        <f>(decV1H1Dev+decV2H1Dev+decV3H1Dev)*paramH1PctCostReducPerHCompLvl</f>
        <v>0</v>
      </c>
      <c r="G1055" t="b">
        <f>MAX(E1055:E1055)=MIN(E1055:E1055)</f>
        <v>1</v>
      </c>
    </row>
    <row r="1056" spans="2:7" ht="11.25">
      <c r="C1056" t="s">
        <v>2558</v>
      </c>
      <c r="E1056" s="64">
        <f>capBusBGenOpsPctCostReduce</f>
        <v>3.7559972464384347E-2</v>
      </c>
      <c r="G1056" t="b">
        <f>MAX(E1056:E1056)=MIN(E1056:E1056)</f>
        <v>1</v>
      </c>
    </row>
    <row r="1057" spans="2:7" ht="11.25">
      <c r="C1057" t="s">
        <v>1718</v>
      </c>
      <c r="E1057" s="64">
        <f>paramSpecProgramBPOV2CostReducPct+paramSpecProgramBPOH1CostReducPct</f>
        <v>0</v>
      </c>
      <c r="G1057" t="b">
        <f>MAX(E1057:E1057)=MIN(E1057:E1057)</f>
        <v>1</v>
      </c>
    </row>
    <row r="1058" spans="2:7" ht="11.25">
      <c r="C1058" t="s">
        <v>2797</v>
      </c>
      <c r="E1058" s="64">
        <f>IF(xxYear=1,DataTableBid4COSReducPursuit,0)</f>
        <v>0</v>
      </c>
      <c r="G1058" t="b">
        <f>MAX(E1058:E1058)=MIN(E1058:E1058)</f>
        <v>1</v>
      </c>
    </row>
    <row r="1059" spans="2:7" ht="11.25">
      <c r="C1059" t="s">
        <v>3563</v>
      </c>
      <c r="E1059" s="171">
        <v>1</v>
      </c>
      <c r="G1059" t="b">
        <f>MAX(E1059:E1059)=MIN(E1059:E1059)</f>
        <v>1</v>
      </c>
    </row>
    <row r="1060" spans="2:7" ht="11.25">
      <c r="C1060" t="s">
        <v>1719</v>
      </c>
      <c r="E1060" s="324">
        <f>E1053-E1053*(E1059*(E1054+E1055+E1056+E1057+E1058))</f>
        <v>294342637.77573168</v>
      </c>
      <c r="F1060" t="s">
        <v>2366</v>
      </c>
      <c r="G1060" t="b">
        <f>MAX(E1060:E1060)=MIN(E1060:E1060)</f>
        <v>1</v>
      </c>
    </row>
    <row r="1061" spans="2:7" ht="11.25">
      <c r="B1061" t="s">
        <v>2561</v>
      </c>
      <c r="G1061" t="b">
        <f>MAX(E1061:E1061)=MIN(E1061:E1061)</f>
        <v>1</v>
      </c>
    </row>
    <row r="1062" spans="2:7" ht="11.25">
      <c r="C1062" t="s">
        <v>1702</v>
      </c>
      <c r="E1062" s="324">
        <f>obalY1V2H2COS</f>
        <v>480875592.5943976</v>
      </c>
      <c r="G1062" t="b">
        <f>MAX(E1062:E1062)=MIN(E1062:E1062)</f>
        <v>1</v>
      </c>
    </row>
    <row r="1063" spans="2:7" ht="11.25">
      <c r="C1063" t="s">
        <v>1714</v>
      </c>
      <c r="E1063" s="87">
        <f>(decV2H1Dev+decV2H2Dev+decV2H3Dev)*paramV2PctCostReducPerVCompLvl</f>
        <v>0</v>
      </c>
      <c r="G1063" t="b">
        <f>MAX(E1063:E1063)=MIN(E1063:E1063)</f>
        <v>1</v>
      </c>
    </row>
    <row r="1064" spans="2:7" ht="11.25">
      <c r="C1064" t="s">
        <v>1715</v>
      </c>
      <c r="E1064" s="87">
        <f>(decV1H2Dev+decV2H2Dev+decV3H2Dev)*paramH2PctCostReducPerHCompLvl</f>
        <v>0</v>
      </c>
      <c r="G1064" t="b">
        <f>MAX(E1064:E1064)=MIN(E1064:E1064)</f>
        <v>1</v>
      </c>
    </row>
    <row r="1065" spans="2:7" ht="11.25">
      <c r="C1065" t="s">
        <v>2558</v>
      </c>
      <c r="E1065" s="64">
        <f>capBusBGenOpsPctCostReduce</f>
        <v>3.7559972464384347E-2</v>
      </c>
      <c r="G1065" t="b">
        <f>MAX(E1065:E1065)=MIN(E1065:E1065)</f>
        <v>1</v>
      </c>
    </row>
    <row r="1066" spans="2:7" ht="11.25">
      <c r="C1066" t="s">
        <v>1718</v>
      </c>
      <c r="E1066" s="64">
        <f>paramSpecProgramBPOV2CostReducPct+paramSpecProgramBPOH2CostReducPct</f>
        <v>0</v>
      </c>
      <c r="G1066" t="b">
        <f>MAX(E1066:E1066)=MIN(E1066:E1066)</f>
        <v>1</v>
      </c>
    </row>
    <row r="1067" spans="2:7" ht="11.25">
      <c r="C1067" t="s">
        <v>2797</v>
      </c>
      <c r="E1067" s="64">
        <f>IF(xxYear=1,DataTableBid5COSReducPursuit,0)</f>
        <v>0</v>
      </c>
      <c r="G1067" t="b">
        <f>MAX(E1067:E1067)=MIN(E1067:E1067)</f>
        <v>1</v>
      </c>
    </row>
    <row r="1068" spans="2:7" ht="11.25">
      <c r="C1068" t="s">
        <v>3563</v>
      </c>
      <c r="E1068" s="171">
        <v>0.75</v>
      </c>
      <c r="G1068" t="b">
        <f>MAX(E1068:E1068)=MIN(E1068:E1068)</f>
        <v>1</v>
      </c>
    </row>
    <row r="1069" spans="2:7" ht="11.25">
      <c r="C1069" t="s">
        <v>1719</v>
      </c>
      <c r="E1069" s="324">
        <f>E1062-E1062*(E1068*(E1063+E1064+E1065+E1066+E1067))</f>
        <v>467329337.08191752</v>
      </c>
      <c r="F1069" t="s">
        <v>2367</v>
      </c>
      <c r="G1069" t="b">
        <f>MAX(E1069:E1069)=MIN(E1069:E1069)</f>
        <v>1</v>
      </c>
    </row>
    <row r="1070" spans="2:7" ht="11.25">
      <c r="B1070" t="s">
        <v>2562</v>
      </c>
      <c r="G1070" t="b">
        <f>MAX(E1070:E1070)=MIN(E1070:E1070)</f>
        <v>1</v>
      </c>
    </row>
    <row r="1071" spans="2:7" ht="11.25">
      <c r="C1071" t="s">
        <v>1702</v>
      </c>
      <c r="E1071" s="324">
        <f>obalY1V2H3COS</f>
        <v>150750473.07594559</v>
      </c>
      <c r="G1071" t="b">
        <f>MAX(E1071:E1071)=MIN(E1071:E1071)</f>
        <v>1</v>
      </c>
    </row>
    <row r="1072" spans="2:7" ht="11.25">
      <c r="C1072" t="s">
        <v>1714</v>
      </c>
      <c r="E1072" s="87">
        <f>(decV2H1Dev+decV2H2Dev+decV2H3Dev)*paramV2PctCostReducPerVCompLvl</f>
        <v>0</v>
      </c>
      <c r="G1072" t="b">
        <f>MAX(E1072:E1072)=MIN(E1072:E1072)</f>
        <v>1</v>
      </c>
    </row>
    <row r="1073" spans="2:7" ht="11.25">
      <c r="C1073" t="s">
        <v>1715</v>
      </c>
      <c r="E1073" s="87">
        <f>(decV1H3Dev+decV2H3Dev+decV3H3Dev)*paramH3PctCostReducPerHCompLvl</f>
        <v>0</v>
      </c>
      <c r="G1073" t="b">
        <f>MAX(E1073:E1073)=MIN(E1073:E1073)</f>
        <v>1</v>
      </c>
    </row>
    <row r="1074" spans="2:7" ht="11.25">
      <c r="C1074" t="s">
        <v>2558</v>
      </c>
      <c r="E1074" s="64">
        <f>capBusBGenOpsPctCostReduce</f>
        <v>3.7559972464384347E-2</v>
      </c>
      <c r="G1074" t="b">
        <f>MAX(E1074:E1074)=MIN(E1074:E1074)</f>
        <v>1</v>
      </c>
    </row>
    <row r="1075" spans="2:7" ht="11.25">
      <c r="C1075" t="s">
        <v>1718</v>
      </c>
      <c r="E1075" s="64">
        <f>paramSpecProgramBPOV2CostReducPct+paramSpecProgramBPOH3CostReducPct</f>
        <v>0</v>
      </c>
      <c r="G1075" t="b">
        <f>MAX(E1075:E1075)=MIN(E1075:E1075)</f>
        <v>1</v>
      </c>
    </row>
    <row r="1076" spans="2:7" ht="11.25">
      <c r="C1076" t="s">
        <v>2797</v>
      </c>
      <c r="E1076" s="64">
        <f>IF(xxYear=1,DataTableBid6COSReducPursuit,0)</f>
        <v>0</v>
      </c>
      <c r="G1076" t="b">
        <f>MAX(E1076:E1076)=MIN(E1076:E1076)</f>
        <v>1</v>
      </c>
    </row>
    <row r="1077" spans="2:7" ht="11.25">
      <c r="C1077" t="s">
        <v>3563</v>
      </c>
      <c r="E1077" s="171">
        <v>0.8</v>
      </c>
      <c r="G1077" t="b">
        <f>MAX(E1077:E1077)=MIN(E1077:E1077)</f>
        <v>1</v>
      </c>
    </row>
    <row r="1078" spans="2:7" ht="11.25">
      <c r="C1078" t="s">
        <v>1719</v>
      </c>
      <c r="E1078" s="324">
        <f>E1071-E1071*(E1077*(E1072+E1073+E1074+E1075+E1076))</f>
        <v>146220726.18176523</v>
      </c>
      <c r="F1078" t="s">
        <v>1523</v>
      </c>
      <c r="G1078" t="b">
        <f>MAX(E1078:E1078)=MIN(E1078:E1078)</f>
        <v>1</v>
      </c>
    </row>
    <row r="1079" spans="2:7" ht="11.25">
      <c r="B1079" t="s">
        <v>2563</v>
      </c>
      <c r="G1079" t="b">
        <f>MAX(E1079:E1079)=MIN(E1079:E1079)</f>
        <v>1</v>
      </c>
    </row>
    <row r="1080" spans="2:7" ht="11.25">
      <c r="C1080" t="s">
        <v>1702</v>
      </c>
      <c r="E1080" s="324">
        <f>obalY1V3H1COS</f>
        <v>313834597.27213341</v>
      </c>
      <c r="G1080" t="b">
        <f>MAX(E1080:E1080)=MIN(E1080:E1080)</f>
        <v>1</v>
      </c>
    </row>
    <row r="1081" spans="2:7" ht="11.25">
      <c r="C1081" t="s">
        <v>1714</v>
      </c>
      <c r="E1081" s="87">
        <f>(decV3H1Dev+decV3H2Dev+decV3H3Dev)*paramV3PctCostReducPerVCompLvl</f>
        <v>0</v>
      </c>
      <c r="G1081" t="b">
        <f>MAX(E1081:E1081)=MIN(E1081:E1081)</f>
        <v>1</v>
      </c>
    </row>
    <row r="1082" spans="2:7" ht="11.25">
      <c r="C1082" t="s">
        <v>1715</v>
      </c>
      <c r="E1082" s="87">
        <f>(decV1H1Dev+decV2H1Dev+decV3H1Dev)*paramH1PctCostReducPerHCompLvl</f>
        <v>0</v>
      </c>
      <c r="G1082" t="b">
        <f>MAX(E1082:E1082)=MIN(E1082:E1082)</f>
        <v>1</v>
      </c>
    </row>
    <row r="1083" spans="2:7" ht="11.25">
      <c r="C1083" t="s">
        <v>2558</v>
      </c>
      <c r="E1083" s="64">
        <f>capBusBGenOpsPctCostReduce</f>
        <v>3.7559972464384347E-2</v>
      </c>
      <c r="G1083" t="b">
        <f>MAX(E1083:E1083)=MIN(E1083:E1083)</f>
        <v>1</v>
      </c>
    </row>
    <row r="1084" spans="2:7" ht="11.25">
      <c r="C1084" t="s">
        <v>1718</v>
      </c>
      <c r="E1084" s="64">
        <f>paramSpecProgramBPOV3CostReducPct+paramSpecProgramBPOH1CostReducPct</f>
        <v>0</v>
      </c>
      <c r="G1084" t="b">
        <f>MAX(E1084:E1084)=MIN(E1084:E1084)</f>
        <v>1</v>
      </c>
    </row>
    <row r="1085" spans="2:7" ht="11.25">
      <c r="C1085" t="s">
        <v>2797</v>
      </c>
      <c r="E1085" s="64">
        <f>IF(xxYear=1,DataTableBid7COSReducPursuit,0)</f>
        <v>0</v>
      </c>
      <c r="G1085" t="b">
        <f>MAX(E1085:E1085)=MIN(E1085:E1085)</f>
        <v>1</v>
      </c>
    </row>
    <row r="1086" spans="2:7" ht="11.25">
      <c r="C1086" t="s">
        <v>3563</v>
      </c>
      <c r="E1086" s="171">
        <v>0.75</v>
      </c>
      <c r="G1086" t="b">
        <f>MAX(E1086:E1086)=MIN(E1086:E1086)</f>
        <v>1</v>
      </c>
    </row>
    <row r="1087" spans="2:7" ht="11.25">
      <c r="C1087" t="s">
        <v>1719</v>
      </c>
      <c r="E1087" s="324">
        <f>E1080-E1080*(E1086*(E1081+E1082+E1083+E1084+E1085))</f>
        <v>304993883.14819902</v>
      </c>
      <c r="F1087" t="s">
        <v>1524</v>
      </c>
      <c r="G1087" t="b">
        <f>MAX(E1087:E1087)=MIN(E1087:E1087)</f>
        <v>1</v>
      </c>
    </row>
    <row r="1088" spans="2:7" ht="11.25">
      <c r="B1088" t="s">
        <v>2564</v>
      </c>
      <c r="G1088" t="b">
        <f>MAX(E1088:E1088)=MIN(E1088:E1088)</f>
        <v>1</v>
      </c>
    </row>
    <row r="1089" spans="2:7" ht="11.25">
      <c r="C1089" t="s">
        <v>1702</v>
      </c>
      <c r="E1089" s="324">
        <f>obalY1V3H2COS</f>
        <v>400729660.49533105</v>
      </c>
      <c r="G1089" t="b">
        <f>MAX(E1089:E1089)=MIN(E1089:E1089)</f>
        <v>1</v>
      </c>
    </row>
    <row r="1090" spans="2:7" ht="11.25">
      <c r="C1090" t="s">
        <v>1714</v>
      </c>
      <c r="E1090" s="87">
        <f>(decV3H1Dev+decV3H2Dev+decV3H3Dev)*paramV3PctCostReducPerVCompLvl</f>
        <v>0</v>
      </c>
      <c r="G1090" t="b">
        <f>MAX(E1090:E1090)=MIN(E1090:E1090)</f>
        <v>1</v>
      </c>
    </row>
    <row r="1091" spans="2:7" ht="11.25">
      <c r="C1091" t="s">
        <v>1715</v>
      </c>
      <c r="E1091" s="87">
        <f>(decV1H2Dev+decV2H2Dev+decV3H2Dev)*paramH2PctCostReducPerHCompLvl</f>
        <v>0</v>
      </c>
      <c r="G1091" t="b">
        <f>MAX(E1091:E1091)=MIN(E1091:E1091)</f>
        <v>1</v>
      </c>
    </row>
    <row r="1092" spans="2:7" ht="11.25">
      <c r="C1092" t="s">
        <v>2558</v>
      </c>
      <c r="E1092" s="64">
        <f>capBusBGenOpsPctCostReduce</f>
        <v>3.7559972464384347E-2</v>
      </c>
      <c r="G1092" t="b">
        <f>MAX(E1092:E1092)=MIN(E1092:E1092)</f>
        <v>1</v>
      </c>
    </row>
    <row r="1093" spans="2:7" ht="11.25">
      <c r="C1093" t="s">
        <v>1718</v>
      </c>
      <c r="E1093" s="64">
        <f>paramSpecProgramBPOV3CostReducPct+paramSpecProgramBPOH2CostReducPct</f>
        <v>0</v>
      </c>
      <c r="G1093" t="b">
        <f>MAX(E1093:E1093)=MIN(E1093:E1093)</f>
        <v>1</v>
      </c>
    </row>
    <row r="1094" spans="2:7" ht="11.25">
      <c r="C1094" t="s">
        <v>2797</v>
      </c>
      <c r="E1094" s="64">
        <f>IF(xxYear=1,DataTableBid8COSReducPursuit,0)</f>
        <v>0</v>
      </c>
      <c r="G1094" t="b">
        <f>MAX(E1094:E1094)=MIN(E1094:E1094)</f>
        <v>1</v>
      </c>
    </row>
    <row r="1095" spans="2:7" ht="11.25">
      <c r="C1095" t="s">
        <v>3563</v>
      </c>
      <c r="E1095" s="171">
        <v>0.75</v>
      </c>
      <c r="G1095" t="b">
        <f>MAX(E1095:E1095)=MIN(E1095:E1095)</f>
        <v>1</v>
      </c>
    </row>
    <row r="1096" spans="2:7" ht="11.25">
      <c r="C1096" t="s">
        <v>1719</v>
      </c>
      <c r="E1096" s="324">
        <f>E1089-E1089*(E1095*(E1090+E1091+E1092+E1093+E1094))</f>
        <v>389441114.23493099</v>
      </c>
      <c r="F1096" t="s">
        <v>1525</v>
      </c>
      <c r="G1096" t="b">
        <f>MAX(E1096:E1096)=MIN(E1096:E1096)</f>
        <v>1</v>
      </c>
    </row>
    <row r="1097" spans="2:7" ht="11.25">
      <c r="B1097" t="s">
        <v>2565</v>
      </c>
      <c r="G1097" t="b">
        <f>MAX(E1097:E1097)=MIN(E1097:E1097)</f>
        <v>1</v>
      </c>
    </row>
    <row r="1098" spans="2:7" ht="11.25">
      <c r="C1098" t="s">
        <v>1702</v>
      </c>
      <c r="E1098" s="324">
        <f>obalY1V3H3COS</f>
        <v>110986544.28858933</v>
      </c>
      <c r="G1098" t="b">
        <f>MAX(E1098:E1098)=MIN(E1098:E1098)</f>
        <v>1</v>
      </c>
    </row>
    <row r="1099" spans="2:7" ht="11.25">
      <c r="C1099" t="s">
        <v>1714</v>
      </c>
      <c r="E1099" s="87">
        <f>(decV3H1Dev+decV3H2Dev+decV3H3Dev)*paramV3PctCostReducPerVCompLvl</f>
        <v>0</v>
      </c>
      <c r="G1099" t="b">
        <f>MAX(E1099:E1099)=MIN(E1099:E1099)</f>
        <v>1</v>
      </c>
    </row>
    <row r="1100" spans="2:7" ht="11.25">
      <c r="C1100" t="s">
        <v>1715</v>
      </c>
      <c r="E1100" s="87">
        <f>(decV1H3Dev+decV2H3Dev+decV3H3Dev)*paramH3PctCostReducPerHCompLvl</f>
        <v>0</v>
      </c>
      <c r="G1100" t="b">
        <f>MAX(E1100:E1100)=MIN(E1100:E1100)</f>
        <v>1</v>
      </c>
    </row>
    <row r="1101" spans="2:7" ht="11.25">
      <c r="C1101" t="s">
        <v>2558</v>
      </c>
      <c r="E1101" s="64">
        <f>capBusBGenOpsPctCostReduce</f>
        <v>3.7559972464384347E-2</v>
      </c>
      <c r="G1101" t="b">
        <f>MAX(E1101:E1101)=MIN(E1101:E1101)</f>
        <v>1</v>
      </c>
    </row>
    <row r="1102" spans="2:7" ht="11.25">
      <c r="C1102" t="s">
        <v>1718</v>
      </c>
      <c r="E1102" s="64">
        <f>paramSpecProgramBPOV3CostReducPct+paramSpecProgramBPOH3CostReducPct</f>
        <v>0</v>
      </c>
      <c r="G1102" t="b">
        <f>MAX(E1102:E1102)=MIN(E1102:E1102)</f>
        <v>1</v>
      </c>
    </row>
    <row r="1103" spans="2:7" ht="11.25">
      <c r="C1103" t="s">
        <v>2797</v>
      </c>
      <c r="E1103" s="64">
        <f>IF(xxYear=1,DataTableBid9COSReducPursuit,0)</f>
        <v>0</v>
      </c>
      <c r="G1103" t="b">
        <f>MAX(E1103:E1103)=MIN(E1103:E1103)</f>
        <v>1</v>
      </c>
    </row>
    <row r="1104" spans="2:7" ht="11.25">
      <c r="C1104" t="s">
        <v>3563</v>
      </c>
      <c r="E1104" s="171">
        <v>1</v>
      </c>
      <c r="G1104" t="b">
        <f>MAX(E1104:E1104)=MIN(E1104:E1104)</f>
        <v>1</v>
      </c>
    </row>
    <row r="1105" spans="1:7" ht="11.25">
      <c r="C1105" t="s">
        <v>1719</v>
      </c>
      <c r="E1105" s="324">
        <f>E1098-E1098*(E1104*(E1099+E1100+E1101+E1102+E1103))</f>
        <v>106817892.74119274</v>
      </c>
      <c r="F1105" t="s">
        <v>1526</v>
      </c>
      <c r="G1105" t="b">
        <f>MAX(E1105:E1105)=MIN(E1105:E1105)</f>
        <v>1</v>
      </c>
    </row>
    <row r="1106" spans="1:7" ht="11.25">
      <c r="A1106" s="2" t="s">
        <v>2017</v>
      </c>
      <c r="G1106" t="b">
        <f>MAX(E1106:E1106)=MIN(E1106:E1106)</f>
        <v>1</v>
      </c>
    </row>
    <row r="1107" spans="1:7" ht="11.25">
      <c r="B1107" t="s">
        <v>2566</v>
      </c>
      <c r="G1107" t="b">
        <f>MAX(E1107:E1107)=MIN(E1107:E1107)</f>
        <v>1</v>
      </c>
    </row>
    <row r="1108" spans="1:7" ht="11.25">
      <c r="C1108" t="s">
        <v>1702</v>
      </c>
      <c r="E1108" s="324">
        <f>obalY2V1H1COS</f>
        <v>311550977.69028759</v>
      </c>
      <c r="G1108" t="b">
        <f>MAX(E1108:E1108)=MIN(E1108:E1108)</f>
        <v>1</v>
      </c>
    </row>
    <row r="1109" spans="1:7" ht="11.25">
      <c r="C1109" t="s">
        <v>1714</v>
      </c>
      <c r="E1109" s="87">
        <f>(decV1H1Dev+decV1H2Dev+decV1H3Dev)*paramV1PctCostReducPerVCompLvl</f>
        <v>0</v>
      </c>
      <c r="G1109" t="b">
        <f>MAX(E1109:E1109)=MIN(E1109:E1109)</f>
        <v>1</v>
      </c>
    </row>
    <row r="1110" spans="1:7" ht="11.25">
      <c r="C1110" t="s">
        <v>1715</v>
      </c>
      <c r="E1110" s="87">
        <f>(decV1H1Dev+decV2H1Dev+decV3H1Dev)*paramH1PctCostReducPerHCompLvl</f>
        <v>0</v>
      </c>
      <c r="G1110" t="b">
        <f>MAX(E1110:E1110)=MIN(E1110:E1110)</f>
        <v>1</v>
      </c>
    </row>
    <row r="1111" spans="1:7" ht="11.25">
      <c r="C1111" t="s">
        <v>2558</v>
      </c>
      <c r="E1111" s="64">
        <f>capBusBGenOpsPctCostReduce</f>
        <v>3.7559972464384347E-2</v>
      </c>
      <c r="G1111" t="b">
        <f>MAX(E1111:E1111)=MIN(E1111:E1111)</f>
        <v>1</v>
      </c>
    </row>
    <row r="1112" spans="1:7" ht="11.25">
      <c r="C1112" t="s">
        <v>1718</v>
      </c>
      <c r="E1112" s="64">
        <f>paramSpecProgramBPOV1CostReducPct+paramSpecProgramBPOH1CostReducPct</f>
        <v>0</v>
      </c>
      <c r="G1112" t="b">
        <f>MAX(E1112:E1112)=MIN(E1112:E1112)</f>
        <v>1</v>
      </c>
    </row>
    <row r="1113" spans="1:7" ht="11.25">
      <c r="C1113" t="s">
        <v>2797</v>
      </c>
      <c r="E1113" s="64">
        <f>IF(xxYear=2,DataTableBid1COSReducPursuit,0)</f>
        <v>0</v>
      </c>
      <c r="G1113" t="b">
        <f>MAX(E1113:E1113)=MIN(E1113:E1113)</f>
        <v>1</v>
      </c>
    </row>
    <row r="1114" spans="1:7" ht="11.25">
      <c r="C1114" t="s">
        <v>3563</v>
      </c>
      <c r="E1114" s="171">
        <v>0.8</v>
      </c>
      <c r="G1114" t="b">
        <f>MAX(E1114:E1114)=MIN(E1114:E1114)</f>
        <v>1</v>
      </c>
    </row>
    <row r="1115" spans="1:7" ht="11.25">
      <c r="C1115" t="s">
        <v>1719</v>
      </c>
      <c r="E1115" s="324">
        <f>E1108-E1108*(E1114*(E1109+E1110+E1111+E1112+E1113))</f>
        <v>302189500.77564824</v>
      </c>
      <c r="F1115" t="s">
        <v>1527</v>
      </c>
      <c r="G1115" t="b">
        <f>MAX(E1115:E1115)=MIN(E1115:E1115)</f>
        <v>1</v>
      </c>
    </row>
    <row r="1116" spans="1:7" ht="11.25">
      <c r="B1116" t="s">
        <v>2567</v>
      </c>
      <c r="G1116" t="b">
        <f>MAX(E1116:E1116)=MIN(E1116:E1116)</f>
        <v>1</v>
      </c>
    </row>
    <row r="1117" spans="1:7" ht="11.25">
      <c r="C1117" t="s">
        <v>1702</v>
      </c>
      <c r="E1117" s="324">
        <f>obalY2V1H2COS</f>
        <v>480875592.5943976</v>
      </c>
      <c r="G1117" t="b">
        <f>MAX(E1117:E1117)=MIN(E1117:E1117)</f>
        <v>1</v>
      </c>
    </row>
    <row r="1118" spans="1:7" ht="11.25">
      <c r="C1118" t="s">
        <v>1714</v>
      </c>
      <c r="E1118" s="87">
        <f>(decV1H2Dev+decV1H2Dev+decV1H3Dev)*paramV1PctCostReducPerVCompLvl</f>
        <v>0</v>
      </c>
      <c r="G1118" t="b">
        <f>MAX(E1118:E1118)=MIN(E1118:E1118)</f>
        <v>1</v>
      </c>
    </row>
    <row r="1119" spans="1:7" ht="11.25">
      <c r="C1119" t="s">
        <v>1715</v>
      </c>
      <c r="E1119" s="87">
        <f>(decV1H2Dev+decV2H2Dev+decV3H2Dev)*paramH2PctCostReducPerHCompLvl</f>
        <v>0</v>
      </c>
      <c r="G1119" t="b">
        <f>MAX(E1119:E1119)=MIN(E1119:E1119)</f>
        <v>1</v>
      </c>
    </row>
    <row r="1120" spans="1:7" ht="11.25">
      <c r="C1120" t="s">
        <v>2558</v>
      </c>
      <c r="E1120" s="64">
        <f>capBusBGenOpsPctCostReduce</f>
        <v>3.7559972464384347E-2</v>
      </c>
      <c r="G1120" t="b">
        <f>MAX(E1120:E1120)=MIN(E1120:E1120)</f>
        <v>1</v>
      </c>
    </row>
    <row r="1121" spans="2:7" ht="11.25">
      <c r="C1121" t="s">
        <v>1718</v>
      </c>
      <c r="E1121" s="64">
        <f>paramSpecProgramBPOV1CostReducPct+paramSpecProgramBPOH2CostReducPct</f>
        <v>0</v>
      </c>
      <c r="G1121" t="b">
        <f>MAX(E1121:E1121)=MIN(E1121:E1121)</f>
        <v>1</v>
      </c>
    </row>
    <row r="1122" spans="2:7" ht="11.25">
      <c r="C1122" t="s">
        <v>2797</v>
      </c>
      <c r="E1122" s="64">
        <f>IF(xxYear=2,DataTableBid2COSReducPursuit,0)</f>
        <v>0</v>
      </c>
      <c r="G1122" t="b">
        <f>MAX(E1122:E1122)=MIN(E1122:E1122)</f>
        <v>1</v>
      </c>
    </row>
    <row r="1123" spans="2:7" ht="11.25">
      <c r="C1123" t="s">
        <v>3563</v>
      </c>
      <c r="E1123" s="171">
        <v>0.75</v>
      </c>
      <c r="G1123" t="b">
        <f>MAX(E1123:E1123)=MIN(E1123:E1123)</f>
        <v>1</v>
      </c>
    </row>
    <row r="1124" spans="2:7" ht="11.25">
      <c r="C1124" t="s">
        <v>1719</v>
      </c>
      <c r="E1124" s="324">
        <f>E1117-E1117*(E1123*(E1118+E1119+E1120+E1121+E1122))</f>
        <v>467329337.08191752</v>
      </c>
      <c r="F1124" t="s">
        <v>1528</v>
      </c>
      <c r="G1124" t="b">
        <f>MAX(E1124:E1124)=MIN(E1124:E1124)</f>
        <v>1</v>
      </c>
    </row>
    <row r="1125" spans="2:7" ht="11.25">
      <c r="B1125" t="s">
        <v>2568</v>
      </c>
      <c r="G1125" t="b">
        <f>MAX(E1125:E1125)=MIN(E1125:E1125)</f>
        <v>1</v>
      </c>
    </row>
    <row r="1126" spans="2:7" ht="11.25">
      <c r="C1126" t="s">
        <v>1702</v>
      </c>
      <c r="E1126" s="324">
        <f>obalY2V1H3COS</f>
        <v>150750473.07594559</v>
      </c>
      <c r="G1126" t="b">
        <f>MAX(E1126:E1126)=MIN(E1126:E1126)</f>
        <v>1</v>
      </c>
    </row>
    <row r="1127" spans="2:7" ht="11.25">
      <c r="C1127" t="s">
        <v>1714</v>
      </c>
      <c r="E1127" s="87">
        <f>(decV1H1Dev+decV1H2Dev+decV1H3Dev)*paramV1PctCostReducPerVCompLvl</f>
        <v>0</v>
      </c>
      <c r="G1127" t="b">
        <f>MAX(E1127:E1127)=MIN(E1127:E1127)</f>
        <v>1</v>
      </c>
    </row>
    <row r="1128" spans="2:7" ht="11.25">
      <c r="C1128" t="s">
        <v>1715</v>
      </c>
      <c r="E1128" s="87">
        <f>(decV1H3Dev+decV2H3Dev+decV3H3Dev)*paramH3PctCostReducPerHCompLvl</f>
        <v>0</v>
      </c>
      <c r="G1128" t="b">
        <f>MAX(E1128:E1128)=MIN(E1128:E1128)</f>
        <v>1</v>
      </c>
    </row>
    <row r="1129" spans="2:7" ht="11.25">
      <c r="C1129" t="s">
        <v>2558</v>
      </c>
      <c r="E1129" s="64">
        <f>capBusBGenOpsPctCostReduce</f>
        <v>3.7559972464384347E-2</v>
      </c>
      <c r="G1129" t="b">
        <f>MAX(E1129:E1129)=MIN(E1129:E1129)</f>
        <v>1</v>
      </c>
    </row>
    <row r="1130" spans="2:7" ht="11.25">
      <c r="C1130" t="s">
        <v>1718</v>
      </c>
      <c r="E1130" s="64">
        <f>paramSpecProgramBPOV1CostReducPct+paramSpecProgramBPOH3CostReducPct</f>
        <v>0</v>
      </c>
      <c r="G1130" t="b">
        <f>MAX(E1130:E1130)=MIN(E1130:E1130)</f>
        <v>1</v>
      </c>
    </row>
    <row r="1131" spans="2:7" ht="11.25">
      <c r="C1131" t="s">
        <v>2797</v>
      </c>
      <c r="E1131" s="64">
        <f>IF(xxYear=2,DataTableBid3COSReducPursuit,0)</f>
        <v>0</v>
      </c>
      <c r="G1131" t="b">
        <f>MAX(E1131:E1131)=MIN(E1131:E1131)</f>
        <v>1</v>
      </c>
    </row>
    <row r="1132" spans="2:7" ht="11.25">
      <c r="C1132" t="s">
        <v>3563</v>
      </c>
      <c r="E1132" s="171">
        <v>0.8</v>
      </c>
      <c r="G1132" t="b">
        <f>MAX(E1132:E1132)=MIN(E1132:E1132)</f>
        <v>1</v>
      </c>
    </row>
    <row r="1133" spans="2:7" ht="11.25">
      <c r="C1133" t="s">
        <v>1719</v>
      </c>
      <c r="E1133" s="324">
        <f>E1126-E1126*(E1132*(E1127+E1128+E1129+E1130+E1131))</f>
        <v>146220726.18176523</v>
      </c>
      <c r="F1133" t="s">
        <v>1529</v>
      </c>
      <c r="G1133" t="b">
        <f>MAX(E1133:E1133)=MIN(E1133:E1133)</f>
        <v>1</v>
      </c>
    </row>
    <row r="1134" spans="2:7" ht="11.25">
      <c r="B1134" t="s">
        <v>2128</v>
      </c>
      <c r="G1134" t="b">
        <f>MAX(E1134:E1134)=MIN(E1134:E1134)</f>
        <v>1</v>
      </c>
    </row>
    <row r="1135" spans="2:7" ht="11.25">
      <c r="C1135" t="s">
        <v>1702</v>
      </c>
      <c r="E1135" s="324">
        <f>obalY2V2H1COS</f>
        <v>313834597.27213341</v>
      </c>
      <c r="G1135" t="b">
        <f>MAX(E1135:E1135)=MIN(E1135:E1135)</f>
        <v>1</v>
      </c>
    </row>
    <row r="1136" spans="2:7" ht="11.25">
      <c r="C1136" t="s">
        <v>1714</v>
      </c>
      <c r="E1136" s="87">
        <f>(decV2H1Dev+decV2H2Dev+decV2H3Dev)*paramV2PctCostReducPerVCompLvl</f>
        <v>0</v>
      </c>
      <c r="G1136" t="b">
        <f>MAX(E1136:E1136)=MIN(E1136:E1136)</f>
        <v>1</v>
      </c>
    </row>
    <row r="1137" spans="2:7" ht="11.25">
      <c r="C1137" t="s">
        <v>1715</v>
      </c>
      <c r="E1137" s="87">
        <f>(decV1H1Dev+decV2H1Dev+decV3H1Dev)*paramH1PctCostReducPerHCompLvl</f>
        <v>0</v>
      </c>
      <c r="G1137" t="b">
        <f>MAX(E1137:E1137)=MIN(E1137:E1137)</f>
        <v>1</v>
      </c>
    </row>
    <row r="1138" spans="2:7" ht="11.25">
      <c r="C1138" t="s">
        <v>2558</v>
      </c>
      <c r="E1138" s="64">
        <f>capBusBGenOpsPctCostReduce</f>
        <v>3.7559972464384347E-2</v>
      </c>
      <c r="G1138" t="b">
        <f>MAX(E1138:E1138)=MIN(E1138:E1138)</f>
        <v>1</v>
      </c>
    </row>
    <row r="1139" spans="2:7" ht="11.25">
      <c r="C1139" t="s">
        <v>1718</v>
      </c>
      <c r="E1139" s="64">
        <f>paramSpecProgramBPOV2CostReducPct+paramSpecProgramBPOH1CostReducPct</f>
        <v>0</v>
      </c>
      <c r="G1139" t="b">
        <f>MAX(E1139:E1139)=MIN(E1139:E1139)</f>
        <v>1</v>
      </c>
    </row>
    <row r="1140" spans="2:7" ht="11.25">
      <c r="C1140" t="s">
        <v>2797</v>
      </c>
      <c r="E1140" s="64">
        <f>IF(xxYear=2,DataTableBid4COSReducPursuit,0)</f>
        <v>0</v>
      </c>
      <c r="G1140" t="b">
        <f>MAX(E1140:E1140)=MIN(E1140:E1140)</f>
        <v>1</v>
      </c>
    </row>
    <row r="1141" spans="2:7" ht="11.25">
      <c r="C1141" t="s">
        <v>3563</v>
      </c>
      <c r="E1141" s="171">
        <v>0.75</v>
      </c>
      <c r="G1141" t="b">
        <f>MAX(E1141:E1141)=MIN(E1141:E1141)</f>
        <v>1</v>
      </c>
    </row>
    <row r="1142" spans="2:7" ht="11.25">
      <c r="C1142" t="s">
        <v>1719</v>
      </c>
      <c r="E1142" s="324">
        <f>E1135-E1135*(E1141*(E1136+E1137+E1138+E1139+E1140))</f>
        <v>304993883.14819902</v>
      </c>
      <c r="F1142" t="s">
        <v>1530</v>
      </c>
      <c r="G1142" t="b">
        <f>MAX(E1142:E1142)=MIN(E1142:E1142)</f>
        <v>1</v>
      </c>
    </row>
    <row r="1143" spans="2:7" ht="11.25">
      <c r="B1143" t="s">
        <v>2129</v>
      </c>
      <c r="G1143" t="b">
        <f>MAX(E1143:E1143)=MIN(E1143:E1143)</f>
        <v>1</v>
      </c>
    </row>
    <row r="1144" spans="2:7" ht="11.25">
      <c r="C1144" t="s">
        <v>1702</v>
      </c>
      <c r="E1144" s="324">
        <f>obalY2V2H2COS</f>
        <v>390508211.38577855</v>
      </c>
      <c r="G1144" t="b">
        <f>MAX(E1144:E1144)=MIN(E1144:E1144)</f>
        <v>1</v>
      </c>
    </row>
    <row r="1145" spans="2:7" ht="11.25">
      <c r="C1145" t="s">
        <v>1714</v>
      </c>
      <c r="E1145" s="87">
        <f>(decV2H1Dev+decV2H2Dev+decV2H3Dev)*paramV2PctCostReducPerVCompLvl</f>
        <v>0</v>
      </c>
      <c r="G1145" t="b">
        <f>MAX(E1145:E1145)=MIN(E1145:E1145)</f>
        <v>1</v>
      </c>
    </row>
    <row r="1146" spans="2:7" ht="11.25">
      <c r="C1146" t="s">
        <v>1715</v>
      </c>
      <c r="E1146" s="87">
        <f>(decV1H2Dev+decV2H2Dev+decV3H2Dev)*paramH2PctCostReducPerHCompLvl</f>
        <v>0</v>
      </c>
      <c r="G1146" t="b">
        <f>MAX(E1146:E1146)=MIN(E1146:E1146)</f>
        <v>1</v>
      </c>
    </row>
    <row r="1147" spans="2:7" ht="11.25">
      <c r="C1147" t="s">
        <v>2558</v>
      </c>
      <c r="E1147" s="64">
        <f>capBusBGenOpsPctCostReduce</f>
        <v>3.7559972464384347E-2</v>
      </c>
      <c r="G1147" t="b">
        <f>MAX(E1147:E1147)=MIN(E1147:E1147)</f>
        <v>1</v>
      </c>
    </row>
    <row r="1148" spans="2:7" ht="11.25">
      <c r="C1148" t="s">
        <v>1718</v>
      </c>
      <c r="E1148" s="64">
        <f>paramSpecProgramBPOV2CostReducPct+paramSpecProgramBPOH2CostReducPct</f>
        <v>0</v>
      </c>
      <c r="G1148" t="b">
        <f>MAX(E1148:E1148)=MIN(E1148:E1148)</f>
        <v>1</v>
      </c>
    </row>
    <row r="1149" spans="2:7" ht="11.25">
      <c r="C1149" t="s">
        <v>2797</v>
      </c>
      <c r="E1149" s="64">
        <f>IF(xxYear=2,DataTableBid5COSReducPursuit,0)</f>
        <v>0</v>
      </c>
      <c r="G1149" t="b">
        <f>MAX(E1149:E1149)=MIN(E1149:E1149)</f>
        <v>1</v>
      </c>
    </row>
    <row r="1150" spans="2:7" ht="11.25">
      <c r="C1150" t="s">
        <v>3563</v>
      </c>
      <c r="E1150" s="171">
        <v>1</v>
      </c>
      <c r="G1150" t="b">
        <f>MAX(E1150:E1150)=MIN(E1150:E1150)</f>
        <v>1</v>
      </c>
    </row>
    <row r="1151" spans="2:7" ht="11.25">
      <c r="C1151" t="s">
        <v>1719</v>
      </c>
      <c r="E1151" s="324">
        <f>E1144-E1144*(E1150*(E1145+E1146+E1147+E1148+E1149))</f>
        <v>375840733.71901274</v>
      </c>
      <c r="F1151" t="s">
        <v>1531</v>
      </c>
      <c r="G1151" t="b">
        <f>MAX(E1151:E1151)=MIN(E1151:E1151)</f>
        <v>1</v>
      </c>
    </row>
    <row r="1152" spans="2:7" ht="11.25">
      <c r="B1152" t="s">
        <v>2130</v>
      </c>
      <c r="G1152" t="b">
        <f>MAX(E1152:E1152)=MIN(E1152:E1152)</f>
        <v>1</v>
      </c>
    </row>
    <row r="1153" spans="2:7" ht="11.25">
      <c r="C1153" t="s">
        <v>1702</v>
      </c>
      <c r="E1153" s="324">
        <f>obalY2V2H3COS</f>
        <v>226125709.61391839</v>
      </c>
      <c r="G1153" t="b">
        <f>MAX(E1153:E1153)=MIN(E1153:E1153)</f>
        <v>1</v>
      </c>
    </row>
    <row r="1154" spans="2:7" ht="11.25">
      <c r="C1154" t="s">
        <v>1714</v>
      </c>
      <c r="E1154" s="87">
        <f>(decV2H1Dev+decV2H2Dev+decV2H3Dev)*paramV2PctCostReducPerVCompLvl</f>
        <v>0</v>
      </c>
      <c r="G1154" t="b">
        <f>MAX(E1154:E1154)=MIN(E1154:E1154)</f>
        <v>1</v>
      </c>
    </row>
    <row r="1155" spans="2:7" ht="11.25">
      <c r="C1155" t="s">
        <v>1715</v>
      </c>
      <c r="E1155" s="87">
        <f>(decV1H3Dev+decV2H3Dev+decV3H3Dev)*paramH3PctCostReducPerHCompLvl</f>
        <v>0</v>
      </c>
      <c r="G1155" t="b">
        <f>MAX(E1155:E1155)=MIN(E1155:E1155)</f>
        <v>1</v>
      </c>
    </row>
    <row r="1156" spans="2:7" ht="11.25">
      <c r="C1156" t="s">
        <v>2558</v>
      </c>
      <c r="E1156" s="64">
        <f>capBusBGenOpsPctCostReduce</f>
        <v>3.7559972464384347E-2</v>
      </c>
      <c r="G1156" t="b">
        <f>MAX(E1156:E1156)=MIN(E1156:E1156)</f>
        <v>1</v>
      </c>
    </row>
    <row r="1157" spans="2:7" ht="11.25">
      <c r="C1157" t="s">
        <v>1718</v>
      </c>
      <c r="E1157" s="64">
        <f>paramSpecProgramBPOV2CostReducPct+paramSpecProgramBPOH3CostReducPct</f>
        <v>0</v>
      </c>
      <c r="G1157" t="b">
        <f>MAX(E1157:E1157)=MIN(E1157:E1157)</f>
        <v>1</v>
      </c>
    </row>
    <row r="1158" spans="2:7" ht="11.25">
      <c r="C1158" t="s">
        <v>2797</v>
      </c>
      <c r="E1158" s="64">
        <f>IF(xxYear=2,DataTableBid6COSReducPursuit,0)</f>
        <v>0</v>
      </c>
      <c r="G1158" t="b">
        <f>MAX(E1158:E1158)=MIN(E1158:E1158)</f>
        <v>1</v>
      </c>
    </row>
    <row r="1159" spans="2:7" ht="11.25">
      <c r="C1159" t="s">
        <v>3563</v>
      </c>
      <c r="E1159" s="171">
        <v>0.8</v>
      </c>
      <c r="G1159" t="b">
        <f>MAX(E1159:E1159)=MIN(E1159:E1159)</f>
        <v>1</v>
      </c>
    </row>
    <row r="1160" spans="2:7" ht="11.25">
      <c r="C1160" t="s">
        <v>1719</v>
      </c>
      <c r="E1160" s="324">
        <f>E1153-E1153*(E1159*(E1154+E1155+E1156+E1157+E1158))</f>
        <v>219331089.27264789</v>
      </c>
      <c r="F1160" t="s">
        <v>1532</v>
      </c>
      <c r="G1160" t="b">
        <f>MAX(E1160:E1160)=MIN(E1160:E1160)</f>
        <v>1</v>
      </c>
    </row>
    <row r="1161" spans="2:7" ht="11.25">
      <c r="B1161" t="s">
        <v>1992</v>
      </c>
      <c r="G1161" t="b">
        <f>MAX(E1161:E1161)=MIN(E1161:E1161)</f>
        <v>1</v>
      </c>
    </row>
    <row r="1162" spans="2:7" ht="11.25">
      <c r="C1162" t="s">
        <v>1702</v>
      </c>
      <c r="E1162" s="324">
        <f>obalY2V3H1COS</f>
        <v>458744383.05950397</v>
      </c>
      <c r="G1162" t="b">
        <f>MAX(E1162:E1162)=MIN(E1162:E1162)</f>
        <v>1</v>
      </c>
    </row>
    <row r="1163" spans="2:7" ht="11.25">
      <c r="C1163" t="s">
        <v>1714</v>
      </c>
      <c r="E1163" s="87">
        <f>(decV3H1Dev+decV3H2Dev+decV3H3Dev)*paramV3PctCostReducPerVCompLvl</f>
        <v>0</v>
      </c>
      <c r="G1163" t="b">
        <f>MAX(E1163:E1163)=MIN(E1163:E1163)</f>
        <v>1</v>
      </c>
    </row>
    <row r="1164" spans="2:7" ht="11.25">
      <c r="C1164" t="s">
        <v>1715</v>
      </c>
      <c r="E1164" s="87">
        <f>(decV1H1Dev+decV2H1Dev+decV3H1Dev)*paramH1PctCostReducPerHCompLvl</f>
        <v>0</v>
      </c>
      <c r="G1164" t="b">
        <f>MAX(E1164:E1164)=MIN(E1164:E1164)</f>
        <v>1</v>
      </c>
    </row>
    <row r="1165" spans="2:7" ht="11.25">
      <c r="C1165" t="s">
        <v>2558</v>
      </c>
      <c r="E1165" s="64">
        <f>capBusBGenOpsPctCostReduce</f>
        <v>3.7559972464384347E-2</v>
      </c>
      <c r="G1165" t="b">
        <f>MAX(E1165:E1165)=MIN(E1165:E1165)</f>
        <v>1</v>
      </c>
    </row>
    <row r="1166" spans="2:7" ht="11.25">
      <c r="C1166" t="s">
        <v>1718</v>
      </c>
      <c r="E1166" s="64">
        <f>paramSpecProgramBPOV3CostReducPct+paramSpecProgramBPOH1CostReducPct</f>
        <v>0</v>
      </c>
      <c r="G1166" t="b">
        <f>MAX(E1166:E1166)=MIN(E1166:E1166)</f>
        <v>1</v>
      </c>
    </row>
    <row r="1167" spans="2:7" ht="11.25">
      <c r="C1167" t="s">
        <v>2797</v>
      </c>
      <c r="E1167" s="64">
        <f>IF(xxYear=2,DataTableBid7COSReducPursuit,0)</f>
        <v>0</v>
      </c>
      <c r="G1167" t="b">
        <f>MAX(E1167:E1167)=MIN(E1167:E1167)</f>
        <v>1</v>
      </c>
    </row>
    <row r="1168" spans="2:7" ht="11.25">
      <c r="C1168" t="s">
        <v>3563</v>
      </c>
      <c r="E1168" s="171">
        <v>1</v>
      </c>
      <c r="G1168" t="b">
        <f>MAX(E1168:E1168)=MIN(E1168:E1168)</f>
        <v>1</v>
      </c>
    </row>
    <row r="1169" spans="2:7" ht="11.25">
      <c r="C1169" t="s">
        <v>1719</v>
      </c>
      <c r="E1169" s="324">
        <f>E1162-E1162*(E1168*(E1163+E1164+E1165+E1166+E1167))</f>
        <v>441513956.663598</v>
      </c>
      <c r="F1169" t="s">
        <v>3044</v>
      </c>
      <c r="G1169" t="b">
        <f>MAX(E1169:E1169)=MIN(E1169:E1169)</f>
        <v>1</v>
      </c>
    </row>
    <row r="1170" spans="2:7" ht="11.25">
      <c r="B1170" t="s">
        <v>1786</v>
      </c>
      <c r="G1170" t="b">
        <f>MAX(E1170:E1170)=MIN(E1170:E1170)</f>
        <v>1</v>
      </c>
    </row>
    <row r="1171" spans="2:7" ht="11.25">
      <c r="C1171" t="s">
        <v>1702</v>
      </c>
      <c r="E1171" s="324">
        <f>obalY2V3H2COS</f>
        <v>400729660.49533105</v>
      </c>
      <c r="G1171" t="b">
        <f>MAX(E1171:E1171)=MIN(E1171:E1171)</f>
        <v>1</v>
      </c>
    </row>
    <row r="1172" spans="2:7" ht="11.25">
      <c r="C1172" t="s">
        <v>1714</v>
      </c>
      <c r="E1172" s="87">
        <f>(decV3H1Dev+decV3H2Dev+decV3H3Dev)*paramV3PctCostReducPerVCompLvl</f>
        <v>0</v>
      </c>
      <c r="G1172" t="b">
        <f>MAX(E1172:E1172)=MIN(E1172:E1172)</f>
        <v>1</v>
      </c>
    </row>
    <row r="1173" spans="2:7" ht="11.25">
      <c r="C1173" t="s">
        <v>1715</v>
      </c>
      <c r="E1173" s="87">
        <f>(decV1H2Dev+decV2H2Dev+decV3H2Dev)*paramH2PctCostReducPerHCompLvl</f>
        <v>0</v>
      </c>
      <c r="G1173" t="b">
        <f>MAX(E1173:E1173)=MIN(E1173:E1173)</f>
        <v>1</v>
      </c>
    </row>
    <row r="1174" spans="2:7" ht="11.25">
      <c r="C1174" t="s">
        <v>2558</v>
      </c>
      <c r="E1174" s="64">
        <f>capBusBGenOpsPctCostReduce</f>
        <v>3.7559972464384347E-2</v>
      </c>
      <c r="G1174" t="b">
        <f>MAX(E1174:E1174)=MIN(E1174:E1174)</f>
        <v>1</v>
      </c>
    </row>
    <row r="1175" spans="2:7" ht="11.25">
      <c r="C1175" t="s">
        <v>1718</v>
      </c>
      <c r="E1175" s="64">
        <f>paramSpecProgramBPOV3CostReducPct+paramSpecProgramBPOH2CostReducPct</f>
        <v>0</v>
      </c>
      <c r="G1175" t="b">
        <f>MAX(E1175:E1175)=MIN(E1175:E1175)</f>
        <v>1</v>
      </c>
    </row>
    <row r="1176" spans="2:7" ht="11.25">
      <c r="C1176" t="s">
        <v>2797</v>
      </c>
      <c r="E1176" s="64">
        <f>IF(xxYear=2,DataTableBid8COSReducPursuit,0)</f>
        <v>0</v>
      </c>
      <c r="G1176" t="b">
        <f>MAX(E1176:E1176)=MIN(E1176:E1176)</f>
        <v>1</v>
      </c>
    </row>
    <row r="1177" spans="2:7" ht="11.25">
      <c r="C1177" t="s">
        <v>3563</v>
      </c>
      <c r="E1177" s="171">
        <v>0.75</v>
      </c>
      <c r="G1177" t="b">
        <f>MAX(E1177:E1177)=MIN(E1177:E1177)</f>
        <v>1</v>
      </c>
    </row>
    <row r="1178" spans="2:7" ht="11.25">
      <c r="C1178" t="s">
        <v>1719</v>
      </c>
      <c r="E1178" s="324">
        <f>E1171-E1171*(E1177*(E1172+E1173+E1174+E1175+E1176))</f>
        <v>389441114.23493099</v>
      </c>
      <c r="F1178" t="s">
        <v>3045</v>
      </c>
      <c r="G1178" t="b">
        <f>MAX(E1178:E1178)=MIN(E1178:E1178)</f>
        <v>1</v>
      </c>
    </row>
    <row r="1179" spans="2:7" ht="11.25">
      <c r="B1179" t="s">
        <v>1787</v>
      </c>
      <c r="G1179" t="b">
        <f>MAX(E1179:E1179)=MIN(E1179:E1179)</f>
        <v>1</v>
      </c>
    </row>
    <row r="1180" spans="2:7" ht="11.25">
      <c r="C1180" t="s">
        <v>1702</v>
      </c>
      <c r="E1180" s="324">
        <f>obalY2V3H3COS</f>
        <v>226125709.61391839</v>
      </c>
      <c r="G1180" t="b">
        <f>MAX(E1180:E1180)=MIN(E1180:E1180)</f>
        <v>1</v>
      </c>
    </row>
    <row r="1181" spans="2:7" ht="11.25">
      <c r="C1181" t="s">
        <v>1714</v>
      </c>
      <c r="E1181" s="87">
        <f>(decV3H1Dev+decV3H2Dev+decV3H3Dev)*paramV3PctCostReducPerVCompLvl</f>
        <v>0</v>
      </c>
      <c r="G1181" t="b">
        <f>MAX(E1181:E1181)=MIN(E1181:E1181)</f>
        <v>1</v>
      </c>
    </row>
    <row r="1182" spans="2:7" ht="11.25">
      <c r="C1182" t="s">
        <v>1715</v>
      </c>
      <c r="E1182" s="87">
        <f>(decV1H3Dev+decV2H3Dev+decV3H3Dev)*paramH3PctCostReducPerHCompLvl</f>
        <v>0</v>
      </c>
      <c r="G1182" t="b">
        <f>MAX(E1182:E1182)=MIN(E1182:E1182)</f>
        <v>1</v>
      </c>
    </row>
    <row r="1183" spans="2:7" ht="11.25">
      <c r="C1183" t="s">
        <v>2558</v>
      </c>
      <c r="E1183" s="64">
        <f>capBusBGenOpsPctCostReduce</f>
        <v>3.7559972464384347E-2</v>
      </c>
      <c r="G1183" t="b">
        <f>MAX(E1183:E1183)=MIN(E1183:E1183)</f>
        <v>1</v>
      </c>
    </row>
    <row r="1184" spans="2:7" ht="11.25">
      <c r="C1184" t="s">
        <v>1718</v>
      </c>
      <c r="E1184" s="64">
        <f>paramSpecProgramBPOV3CostReducPct+paramSpecProgramBPOH3CostReducPct</f>
        <v>0</v>
      </c>
      <c r="G1184" t="b">
        <f>MAX(E1184:E1184)=MIN(E1184:E1184)</f>
        <v>1</v>
      </c>
    </row>
    <row r="1185" spans="1:7" ht="11.25">
      <c r="C1185" t="s">
        <v>2797</v>
      </c>
      <c r="E1185" s="64">
        <f>IF(xxYear=2,DataTableBid9COSReducPursuit,0)</f>
        <v>0</v>
      </c>
      <c r="G1185" t="b">
        <f>MAX(E1185:E1185)=MIN(E1185:E1185)</f>
        <v>1</v>
      </c>
    </row>
    <row r="1186" spans="1:7" ht="11.25">
      <c r="C1186" t="s">
        <v>3563</v>
      </c>
      <c r="E1186" s="171">
        <v>0.8</v>
      </c>
      <c r="G1186" t="b">
        <f>MAX(E1186:E1186)=MIN(E1186:E1186)</f>
        <v>1</v>
      </c>
    </row>
    <row r="1187" spans="1:7" ht="11.25">
      <c r="C1187" t="s">
        <v>1719</v>
      </c>
      <c r="E1187" s="324">
        <f>E1180-E1180*(E1186*(E1181+E1182+E1183+E1184+E1185))</f>
        <v>219331089.27264789</v>
      </c>
      <c r="F1187" t="s">
        <v>4031</v>
      </c>
      <c r="G1187" t="b">
        <f>MAX(E1187:E1187)=MIN(E1187:E1187)</f>
        <v>1</v>
      </c>
    </row>
    <row r="1188" spans="1:7" ht="11.25">
      <c r="A1188" s="2" t="s">
        <v>2018</v>
      </c>
      <c r="G1188" t="b">
        <f>MAX(E1188:E1188)=MIN(E1188:E1188)</f>
        <v>1</v>
      </c>
    </row>
    <row r="1189" spans="1:7" ht="11.25">
      <c r="B1189" t="s">
        <v>1788</v>
      </c>
      <c r="G1189" t="b">
        <f>MAX(E1189:E1189)=MIN(E1189:E1189)</f>
        <v>1</v>
      </c>
    </row>
    <row r="1190" spans="1:7" ht="11.25">
      <c r="C1190" t="s">
        <v>1702</v>
      </c>
      <c r="E1190" s="324">
        <f>obalY3V1H1COS</f>
        <v>155775488.84514424</v>
      </c>
      <c r="G1190" t="b">
        <f>MAX(E1190:E1190)=MIN(E1190:E1190)</f>
        <v>1</v>
      </c>
    </row>
    <row r="1191" spans="1:7" ht="11.25">
      <c r="C1191" t="s">
        <v>1714</v>
      </c>
      <c r="E1191" s="87">
        <f>(decV1H1Dev+decV1H2Dev+decV1H3Dev)*paramV1PctCostReducPerVCompLvl</f>
        <v>0</v>
      </c>
      <c r="G1191" t="b">
        <f>MAX(E1191:E1191)=MIN(E1191:E1191)</f>
        <v>1</v>
      </c>
    </row>
    <row r="1192" spans="1:7" ht="11.25">
      <c r="C1192" t="s">
        <v>1715</v>
      </c>
      <c r="E1192" s="87">
        <f>(decV1H1Dev+decV2H1Dev+decV3H1Dev)*paramH1PctCostReducPerHCompLvl</f>
        <v>0</v>
      </c>
      <c r="G1192" t="b">
        <f>MAX(E1192:E1192)=MIN(E1192:E1192)</f>
        <v>1</v>
      </c>
    </row>
    <row r="1193" spans="1:7" ht="11.25">
      <c r="C1193" t="s">
        <v>2558</v>
      </c>
      <c r="E1193" s="64">
        <f>capBusBGenOpsPctCostReduce</f>
        <v>3.7559972464384347E-2</v>
      </c>
      <c r="G1193" t="b">
        <f>MAX(E1193:E1193)=MIN(E1193:E1193)</f>
        <v>1</v>
      </c>
    </row>
    <row r="1194" spans="1:7" ht="11.25">
      <c r="C1194" t="s">
        <v>1718</v>
      </c>
      <c r="E1194" s="64">
        <f>paramSpecProgramBPOV1CostReducPct+paramSpecProgramBPOH1CostReducPct</f>
        <v>0</v>
      </c>
      <c r="G1194" t="b">
        <f>MAX(E1194:E1194)=MIN(E1194:E1194)</f>
        <v>1</v>
      </c>
    </row>
    <row r="1195" spans="1:7" ht="11.25">
      <c r="C1195" t="s">
        <v>2797</v>
      </c>
      <c r="E1195" s="64">
        <f>IF(xxYear=3,DataTableBid1COSReducPursuit,0)</f>
        <v>0</v>
      </c>
      <c r="G1195" t="b">
        <f>MAX(E1195:E1195)=MIN(E1195:E1195)</f>
        <v>1</v>
      </c>
    </row>
    <row r="1196" spans="1:7" ht="11.25">
      <c r="C1196" t="s">
        <v>3563</v>
      </c>
      <c r="E1196" s="171">
        <v>0.8</v>
      </c>
      <c r="G1196" t="b">
        <f>MAX(E1196:E1196)=MIN(E1196:E1196)</f>
        <v>1</v>
      </c>
    </row>
    <row r="1197" spans="1:7" ht="11.25">
      <c r="C1197" t="s">
        <v>1719</v>
      </c>
      <c r="E1197" s="324">
        <f>E1190-E1190*(E1196*(E1191+E1192+E1193+E1194+E1195))</f>
        <v>151094750.38782454</v>
      </c>
      <c r="F1197" t="s">
        <v>4032</v>
      </c>
      <c r="G1197" t="b">
        <f>MAX(E1197:E1197)=MIN(E1197:E1197)</f>
        <v>1</v>
      </c>
    </row>
    <row r="1198" spans="1:7" ht="11.25">
      <c r="B1198" t="s">
        <v>4505</v>
      </c>
      <c r="G1198" t="b">
        <f>MAX(E1198:E1198)=MIN(E1198:E1198)</f>
        <v>1</v>
      </c>
    </row>
    <row r="1199" spans="1:7" ht="11.25">
      <c r="C1199" t="s">
        <v>1702</v>
      </c>
      <c r="E1199" s="324">
        <f>obalY3V1H2COS</f>
        <v>390508211.38577855</v>
      </c>
      <c r="G1199" t="b">
        <f>MAX(E1199:E1199)=MIN(E1199:E1199)</f>
        <v>1</v>
      </c>
    </row>
    <row r="1200" spans="1:7" ht="11.25">
      <c r="C1200" t="s">
        <v>1714</v>
      </c>
      <c r="E1200" s="87">
        <f>(decV1H2Dev+decV1H2Dev+decV1H3Dev)*paramV1PctCostReducPerVCompLvl</f>
        <v>0</v>
      </c>
      <c r="G1200" t="b">
        <f>MAX(E1200:E1200)=MIN(E1200:E1200)</f>
        <v>1</v>
      </c>
    </row>
    <row r="1201" spans="2:7" ht="11.25">
      <c r="C1201" t="s">
        <v>1715</v>
      </c>
      <c r="E1201" s="87">
        <f>(decV1H2Dev+decV2H2Dev+decV3H2Dev)*paramH2PctCostReducPerHCompLvl</f>
        <v>0</v>
      </c>
      <c r="G1201" t="b">
        <f>MAX(E1201:E1201)=MIN(E1201:E1201)</f>
        <v>1</v>
      </c>
    </row>
    <row r="1202" spans="2:7" ht="11.25">
      <c r="C1202" t="s">
        <v>2558</v>
      </c>
      <c r="E1202" s="64">
        <f>capBusBGenOpsPctCostReduce</f>
        <v>3.7559972464384347E-2</v>
      </c>
      <c r="G1202" t="b">
        <f>MAX(E1202:E1202)=MIN(E1202:E1202)</f>
        <v>1</v>
      </c>
    </row>
    <row r="1203" spans="2:7" ht="11.25">
      <c r="C1203" t="s">
        <v>1718</v>
      </c>
      <c r="E1203" s="64">
        <f>paramSpecProgramBPOV1CostReducPct+paramSpecProgramBPOH2CostReducPct</f>
        <v>0</v>
      </c>
      <c r="G1203" t="b">
        <f>MAX(E1203:E1203)=MIN(E1203:E1203)</f>
        <v>1</v>
      </c>
    </row>
    <row r="1204" spans="2:7" ht="11.25">
      <c r="C1204" t="s">
        <v>2797</v>
      </c>
      <c r="E1204" s="64">
        <f>IF(xxYear=3,DataTableBid2COSReducPursuit,0)</f>
        <v>0</v>
      </c>
      <c r="G1204" t="b">
        <f>MAX(E1204:E1204)=MIN(E1204:E1204)</f>
        <v>1</v>
      </c>
    </row>
    <row r="1205" spans="2:7" ht="11.25">
      <c r="C1205" t="s">
        <v>3563</v>
      </c>
      <c r="E1205" s="171">
        <v>1</v>
      </c>
      <c r="G1205" t="b">
        <f>MAX(E1205:E1205)=MIN(E1205:E1205)</f>
        <v>1</v>
      </c>
    </row>
    <row r="1206" spans="2:7" ht="11.25">
      <c r="C1206" t="s">
        <v>1719</v>
      </c>
      <c r="E1206" s="324">
        <f>E1199-E1199*(E1205*(E1200+E1201+E1202+E1203+E1204))</f>
        <v>375840733.71901274</v>
      </c>
      <c r="F1206" t="s">
        <v>4033</v>
      </c>
      <c r="G1206" t="b">
        <f>MAX(E1206:E1206)=MIN(E1206:E1206)</f>
        <v>1</v>
      </c>
    </row>
    <row r="1207" spans="2:7" ht="11.25">
      <c r="B1207" t="s">
        <v>822</v>
      </c>
      <c r="G1207" t="b">
        <f>MAX(E1207:E1207)=MIN(E1207:E1207)</f>
        <v>1</v>
      </c>
    </row>
    <row r="1208" spans="2:7" ht="11.25">
      <c r="C1208" t="s">
        <v>1702</v>
      </c>
      <c r="E1208" s="324">
        <f>obalY3V1H3COS</f>
        <v>110986544.28858933</v>
      </c>
      <c r="G1208" t="b">
        <f>MAX(E1208:E1208)=MIN(E1208:E1208)</f>
        <v>1</v>
      </c>
    </row>
    <row r="1209" spans="2:7" ht="11.25">
      <c r="C1209" t="s">
        <v>1714</v>
      </c>
      <c r="E1209" s="87">
        <f>(decV1H1Dev+decV1H2Dev+decV1H3Dev)*paramV1PctCostReducPerVCompLvl</f>
        <v>0</v>
      </c>
      <c r="G1209" t="b">
        <f>MAX(E1209:E1209)=MIN(E1209:E1209)</f>
        <v>1</v>
      </c>
    </row>
    <row r="1210" spans="2:7" ht="11.25">
      <c r="C1210" t="s">
        <v>1715</v>
      </c>
      <c r="E1210" s="87">
        <f>(decV1H3Dev+decV2H3Dev+decV3H3Dev)*paramH3PctCostReducPerHCompLvl</f>
        <v>0</v>
      </c>
      <c r="G1210" t="b">
        <f>MAX(E1210:E1210)=MIN(E1210:E1210)</f>
        <v>1</v>
      </c>
    </row>
    <row r="1211" spans="2:7" ht="11.25">
      <c r="C1211" t="s">
        <v>2558</v>
      </c>
      <c r="E1211" s="64">
        <f>capBusBGenOpsPctCostReduce</f>
        <v>3.7559972464384347E-2</v>
      </c>
      <c r="G1211" t="b">
        <f>MAX(E1211:E1211)=MIN(E1211:E1211)</f>
        <v>1</v>
      </c>
    </row>
    <row r="1212" spans="2:7" ht="11.25">
      <c r="C1212" t="s">
        <v>1718</v>
      </c>
      <c r="E1212" s="64">
        <f>paramSpecProgramBPOV1CostReducPct+paramSpecProgramBPOH3CostReducPct</f>
        <v>0</v>
      </c>
      <c r="G1212" t="b">
        <f>MAX(E1212:E1212)=MIN(E1212:E1212)</f>
        <v>1</v>
      </c>
    </row>
    <row r="1213" spans="2:7" ht="11.25">
      <c r="C1213" t="s">
        <v>2797</v>
      </c>
      <c r="E1213" s="64">
        <f>IF(xxYear=3,DataTableBid3COSReducPursuit,0)</f>
        <v>0</v>
      </c>
      <c r="G1213" t="b">
        <f>MAX(E1213:E1213)=MIN(E1213:E1213)</f>
        <v>1</v>
      </c>
    </row>
    <row r="1214" spans="2:7" ht="11.25">
      <c r="C1214" t="s">
        <v>3563</v>
      </c>
      <c r="E1214" s="171">
        <v>1</v>
      </c>
      <c r="G1214" t="b">
        <f>MAX(E1214:E1214)=MIN(E1214:E1214)</f>
        <v>1</v>
      </c>
    </row>
    <row r="1215" spans="2:7" ht="11.25">
      <c r="C1215" t="s">
        <v>1719</v>
      </c>
      <c r="E1215" s="324">
        <f>E1208-E1208*(E1214*(E1209+E1210+E1211+E1212+E1213))</f>
        <v>106817892.74119274</v>
      </c>
      <c r="F1215" t="s">
        <v>3833</v>
      </c>
      <c r="G1215" t="b">
        <f>MAX(E1215:E1215)=MIN(E1215:E1215)</f>
        <v>1</v>
      </c>
    </row>
    <row r="1216" spans="2:7" ht="11.25">
      <c r="B1216" t="s">
        <v>823</v>
      </c>
      <c r="G1216" t="b">
        <f>MAX(E1216:E1216)=MIN(E1216:E1216)</f>
        <v>1</v>
      </c>
    </row>
    <row r="1217" spans="2:7" ht="11.25">
      <c r="C1217" t="s">
        <v>1702</v>
      </c>
      <c r="E1217" s="324">
        <f>obalY3V2H1COS</f>
        <v>305829588.70633566</v>
      </c>
      <c r="G1217" t="b">
        <f>MAX(E1217:E1217)=MIN(E1217:E1217)</f>
        <v>1</v>
      </c>
    </row>
    <row r="1218" spans="2:7" ht="11.25">
      <c r="C1218" t="s">
        <v>1714</v>
      </c>
      <c r="E1218" s="87">
        <f>(decV2H1Dev+decV2H2Dev+decV2H3Dev)*paramV2PctCostReducPerVCompLvl</f>
        <v>0</v>
      </c>
      <c r="G1218" t="b">
        <f>MAX(E1218:E1218)=MIN(E1218:E1218)</f>
        <v>1</v>
      </c>
    </row>
    <row r="1219" spans="2:7" ht="11.25">
      <c r="C1219" t="s">
        <v>1715</v>
      </c>
      <c r="E1219" s="87">
        <f>(decV1H1Dev+decV2H1Dev+decV3H1Dev)*paramH1PctCostReducPerHCompLvl</f>
        <v>0</v>
      </c>
      <c r="G1219" t="b">
        <f>MAX(E1219:E1219)=MIN(E1219:E1219)</f>
        <v>1</v>
      </c>
    </row>
    <row r="1220" spans="2:7" ht="11.25">
      <c r="C1220" t="s">
        <v>2558</v>
      </c>
      <c r="E1220" s="64">
        <f>capBusBGenOpsPctCostReduce</f>
        <v>3.7559972464384347E-2</v>
      </c>
      <c r="G1220" t="b">
        <f>MAX(E1220:E1220)=MIN(E1220:E1220)</f>
        <v>1</v>
      </c>
    </row>
    <row r="1221" spans="2:7" ht="11.25">
      <c r="C1221" t="s">
        <v>1718</v>
      </c>
      <c r="E1221" s="64">
        <f>paramSpecProgramBPOV2CostReducPct+paramSpecProgramBPOH1CostReducPct</f>
        <v>0</v>
      </c>
      <c r="G1221" t="b">
        <f>MAX(E1221:E1221)=MIN(E1221:E1221)</f>
        <v>1</v>
      </c>
    </row>
    <row r="1222" spans="2:7" ht="11.25">
      <c r="C1222" t="s">
        <v>2797</v>
      </c>
      <c r="E1222" s="64">
        <f>IF(xxYear=3,DataTableBid4COSReducPursuit,0)</f>
        <v>0</v>
      </c>
      <c r="G1222" t="b">
        <f>MAX(E1222:E1222)=MIN(E1222:E1222)</f>
        <v>1</v>
      </c>
    </row>
    <row r="1223" spans="2:7" ht="11.25">
      <c r="C1223" t="s">
        <v>3563</v>
      </c>
      <c r="E1223" s="171">
        <v>1</v>
      </c>
      <c r="G1223" t="b">
        <f>MAX(E1223:E1223)=MIN(E1223:E1223)</f>
        <v>1</v>
      </c>
    </row>
    <row r="1224" spans="2:7" ht="11.25">
      <c r="C1224" t="s">
        <v>1719</v>
      </c>
      <c r="E1224" s="324">
        <f>E1217-E1217*(E1223*(E1218+E1219+E1220+E1221+E1222))</f>
        <v>294342637.77573168</v>
      </c>
      <c r="F1224" t="s">
        <v>3834</v>
      </c>
      <c r="G1224" t="b">
        <f>MAX(E1224:E1224)=MIN(E1224:E1224)</f>
        <v>1</v>
      </c>
    </row>
    <row r="1225" spans="2:7" ht="11.25">
      <c r="B1225" t="s">
        <v>824</v>
      </c>
      <c r="G1225" t="b">
        <f>MAX(E1225:E1225)=MIN(E1225:E1225)</f>
        <v>1</v>
      </c>
    </row>
    <row r="1226" spans="2:7" ht="11.25">
      <c r="C1226" t="s">
        <v>1702</v>
      </c>
      <c r="E1226" s="324">
        <f>obalY3V2H2COS</f>
        <v>397813748.39485663</v>
      </c>
      <c r="G1226" t="b">
        <f>MAX(E1226:E1226)=MIN(E1226:E1226)</f>
        <v>1</v>
      </c>
    </row>
    <row r="1227" spans="2:7" ht="11.25">
      <c r="C1227" t="s">
        <v>1714</v>
      </c>
      <c r="E1227" s="87">
        <f>(decV2H1Dev+decV2H2Dev+decV2H3Dev)*paramV2PctCostReducPerVCompLvl</f>
        <v>0</v>
      </c>
      <c r="G1227" t="b">
        <f>MAX(E1227:E1227)=MIN(E1227:E1227)</f>
        <v>1</v>
      </c>
    </row>
    <row r="1228" spans="2:7" ht="11.25">
      <c r="C1228" t="s">
        <v>1715</v>
      </c>
      <c r="E1228" s="87">
        <f>(decV1H2Dev+decV2H2Dev+decV3H2Dev)*paramH2PctCostReducPerHCompLvl</f>
        <v>0</v>
      </c>
      <c r="G1228" t="b">
        <f>MAX(E1228:E1228)=MIN(E1228:E1228)</f>
        <v>1</v>
      </c>
    </row>
    <row r="1229" spans="2:7" ht="11.25">
      <c r="C1229" t="s">
        <v>2558</v>
      </c>
      <c r="E1229" s="64">
        <f>capBusBGenOpsPctCostReduce</f>
        <v>3.7559972464384347E-2</v>
      </c>
      <c r="G1229" t="b">
        <f>MAX(E1229:E1229)=MIN(E1229:E1229)</f>
        <v>1</v>
      </c>
    </row>
    <row r="1230" spans="2:7" ht="11.25">
      <c r="C1230" t="s">
        <v>1718</v>
      </c>
      <c r="E1230" s="64">
        <f>paramSpecProgramBPOV2CostReducPct+paramSpecProgramBPOH2CostReducPct</f>
        <v>0</v>
      </c>
      <c r="G1230" t="b">
        <f>MAX(E1230:E1230)=MIN(E1230:E1230)</f>
        <v>1</v>
      </c>
    </row>
    <row r="1231" spans="2:7" ht="11.25">
      <c r="C1231" t="s">
        <v>2797</v>
      </c>
      <c r="E1231" s="64">
        <f>IF(xxYear=3,DataTableBid5COSReducPursuit,0)</f>
        <v>0</v>
      </c>
      <c r="G1231" t="b">
        <f>MAX(E1231:E1231)=MIN(E1231:E1231)</f>
        <v>1</v>
      </c>
    </row>
    <row r="1232" spans="2:7" ht="11.25">
      <c r="C1232" t="s">
        <v>3563</v>
      </c>
      <c r="E1232" s="171">
        <v>0.8</v>
      </c>
      <c r="G1232" t="b">
        <f>MAX(E1232:E1232)=MIN(E1232:E1232)</f>
        <v>1</v>
      </c>
    </row>
    <row r="1233" spans="2:7" ht="11.25">
      <c r="C1233" t="s">
        <v>1719</v>
      </c>
      <c r="E1233" s="324">
        <f>E1226-E1226*(E1232*(E1227+E1228+E1229+E1230+E1231))</f>
        <v>385860249.64632517</v>
      </c>
      <c r="F1233" t="s">
        <v>3835</v>
      </c>
      <c r="G1233" t="b">
        <f>MAX(E1233:E1233)=MIN(E1233:E1233)</f>
        <v>1</v>
      </c>
    </row>
    <row r="1234" spans="2:7" ht="11.25">
      <c r="B1234" t="s">
        <v>825</v>
      </c>
      <c r="G1234" t="b">
        <f>MAX(E1234:E1234)=MIN(E1234:E1234)</f>
        <v>1</v>
      </c>
    </row>
    <row r="1235" spans="2:7" ht="11.25">
      <c r="C1235" t="s">
        <v>1702</v>
      </c>
      <c r="E1235" s="324">
        <f>obalY3V2H3COS</f>
        <v>303710900.58593518</v>
      </c>
      <c r="G1235" t="b">
        <f>MAX(E1235:E1235)=MIN(E1235:E1235)</f>
        <v>1</v>
      </c>
    </row>
    <row r="1236" spans="2:7" ht="11.25">
      <c r="C1236" t="s">
        <v>1714</v>
      </c>
      <c r="E1236" s="87">
        <f>(decV2H1Dev+decV2H2Dev+decV2H3Dev)*paramV2PctCostReducPerVCompLvl</f>
        <v>0</v>
      </c>
      <c r="G1236" t="b">
        <f>MAX(E1236:E1236)=MIN(E1236:E1236)</f>
        <v>1</v>
      </c>
    </row>
    <row r="1237" spans="2:7" ht="11.25">
      <c r="C1237" t="s">
        <v>1715</v>
      </c>
      <c r="E1237" s="87">
        <f>(decV1H3Dev+decV2H3Dev+decV3H3Dev)*paramH3PctCostReducPerHCompLvl</f>
        <v>0</v>
      </c>
      <c r="G1237" t="b">
        <f>MAX(E1237:E1237)=MIN(E1237:E1237)</f>
        <v>1</v>
      </c>
    </row>
    <row r="1238" spans="2:7" ht="11.25">
      <c r="C1238" t="s">
        <v>2558</v>
      </c>
      <c r="E1238" s="64">
        <f>capBusBGenOpsPctCostReduce</f>
        <v>3.7559972464384347E-2</v>
      </c>
      <c r="G1238" t="b">
        <f>MAX(E1238:E1238)=MIN(E1238:E1238)</f>
        <v>1</v>
      </c>
    </row>
    <row r="1239" spans="2:7" ht="11.25">
      <c r="C1239" t="s">
        <v>1718</v>
      </c>
      <c r="E1239" s="64">
        <f>paramSpecProgramBPOV2CostReducPct+paramSpecProgramBPOH3CostReducPct</f>
        <v>0</v>
      </c>
      <c r="G1239" t="b">
        <f>MAX(E1239:E1239)=MIN(E1239:E1239)</f>
        <v>1</v>
      </c>
    </row>
    <row r="1240" spans="2:7" ht="11.25">
      <c r="C1240" t="s">
        <v>2797</v>
      </c>
      <c r="E1240" s="64">
        <f>IF(xxYear=3,DataTableBid6COSReducPursuit,0)</f>
        <v>0</v>
      </c>
      <c r="G1240" t="b">
        <f>MAX(E1240:E1240)=MIN(E1240:E1240)</f>
        <v>1</v>
      </c>
    </row>
    <row r="1241" spans="2:7" ht="11.25">
      <c r="C1241" t="s">
        <v>3563</v>
      </c>
      <c r="E1241" s="171">
        <v>0.75</v>
      </c>
      <c r="G1241" t="b">
        <f>MAX(E1241:E1241)=MIN(E1241:E1241)</f>
        <v>1</v>
      </c>
    </row>
    <row r="1242" spans="2:7" ht="11.25">
      <c r="C1242" t="s">
        <v>1719</v>
      </c>
      <c r="E1242" s="324">
        <f>E1235-E1235*(E1241*(E1236+E1237+E1238+E1239+E1240))</f>
        <v>295155370.78857934</v>
      </c>
      <c r="F1242" t="s">
        <v>3836</v>
      </c>
      <c r="G1242" t="b">
        <f>MAX(E1242:E1242)=MIN(E1242:E1242)</f>
        <v>1</v>
      </c>
    </row>
    <row r="1243" spans="2:7" ht="11.25">
      <c r="B1243" t="s">
        <v>826</v>
      </c>
      <c r="G1243" t="b">
        <f>MAX(E1243:E1243)=MIN(E1243:E1243)</f>
        <v>1</v>
      </c>
    </row>
    <row r="1244" spans="2:7" ht="11.25">
      <c r="C1244" t="s">
        <v>1702</v>
      </c>
      <c r="E1244" s="324">
        <f>obalY3V3H1COS</f>
        <v>382286985.88292027</v>
      </c>
      <c r="G1244" t="b">
        <f>MAX(E1244:E1244)=MIN(E1244:E1244)</f>
        <v>1</v>
      </c>
    </row>
    <row r="1245" spans="2:7" ht="11.25">
      <c r="C1245" t="s">
        <v>1714</v>
      </c>
      <c r="E1245" s="87">
        <f>(decV3H1Dev+decV3H2Dev+decV3H3Dev)*paramV3PctCostReducPerVCompLvl</f>
        <v>0</v>
      </c>
      <c r="G1245" t="b">
        <f>MAX(E1245:E1245)=MIN(E1245:E1245)</f>
        <v>1</v>
      </c>
    </row>
    <row r="1246" spans="2:7" ht="11.25">
      <c r="C1246" t="s">
        <v>1715</v>
      </c>
      <c r="E1246" s="87">
        <f>(decV1H1Dev+decV2H1Dev+decV3H1Dev)*paramH1PctCostReducPerHCompLvl</f>
        <v>0</v>
      </c>
      <c r="G1246" t="b">
        <f>MAX(E1246:E1246)=MIN(E1246:E1246)</f>
        <v>1</v>
      </c>
    </row>
    <row r="1247" spans="2:7" ht="11.25">
      <c r="C1247" t="s">
        <v>2558</v>
      </c>
      <c r="E1247" s="64">
        <f>capBusBGenOpsPctCostReduce</f>
        <v>3.7559972464384347E-2</v>
      </c>
      <c r="G1247" t="b">
        <f>MAX(E1247:E1247)=MIN(E1247:E1247)</f>
        <v>1</v>
      </c>
    </row>
    <row r="1248" spans="2:7" ht="11.25">
      <c r="C1248" t="s">
        <v>1718</v>
      </c>
      <c r="E1248" s="64">
        <f>paramSpecProgramBPOV3CostReducPct+paramSpecProgramBPOH1CostReducPct</f>
        <v>0</v>
      </c>
      <c r="G1248" t="b">
        <f>MAX(E1248:E1248)=MIN(E1248:E1248)</f>
        <v>1</v>
      </c>
    </row>
    <row r="1249" spans="2:7" ht="11.25">
      <c r="C1249" t="s">
        <v>2797</v>
      </c>
      <c r="E1249" s="64">
        <f>IF(xxYear=3,DataTableBid7COSReducPursuit,0)</f>
        <v>0</v>
      </c>
      <c r="G1249" t="b">
        <f>MAX(E1249:E1249)=MIN(E1249:E1249)</f>
        <v>1</v>
      </c>
    </row>
    <row r="1250" spans="2:7" ht="11.25">
      <c r="C1250" t="s">
        <v>3563</v>
      </c>
      <c r="E1250" s="171">
        <v>1</v>
      </c>
      <c r="G1250" t="b">
        <f>MAX(E1250:E1250)=MIN(E1250:E1250)</f>
        <v>1</v>
      </c>
    </row>
    <row r="1251" spans="2:7" ht="11.25">
      <c r="C1251" t="s">
        <v>1719</v>
      </c>
      <c r="E1251" s="324">
        <f>E1244-E1244*(E1250*(E1245+E1246+E1247+E1248+E1249))</f>
        <v>367928297.21966529</v>
      </c>
      <c r="F1251" t="s">
        <v>3837</v>
      </c>
      <c r="G1251" t="b">
        <f>MAX(E1251:E1251)=MIN(E1251:E1251)</f>
        <v>1</v>
      </c>
    </row>
    <row r="1252" spans="2:7" ht="11.25">
      <c r="B1252" t="s">
        <v>827</v>
      </c>
      <c r="G1252" t="b">
        <f>MAX(E1252:E1252)=MIN(E1252:E1252)</f>
        <v>1</v>
      </c>
    </row>
    <row r="1253" spans="2:7" ht="11.25">
      <c r="C1253" t="s">
        <v>1702</v>
      </c>
      <c r="E1253" s="324">
        <f>obalY3V3H2COS</f>
        <v>546711495.94008923</v>
      </c>
      <c r="G1253" t="b">
        <f>MAX(E1253:E1253)=MIN(E1253:E1253)</f>
        <v>1</v>
      </c>
    </row>
    <row r="1254" spans="2:7" ht="11.25">
      <c r="C1254" t="s">
        <v>1714</v>
      </c>
      <c r="E1254" s="87">
        <f>(decV3H1Dev+decV3H2Dev+decV3H3Dev)*paramV3PctCostReducPerVCompLvl</f>
        <v>0</v>
      </c>
      <c r="G1254" t="b">
        <f>MAX(E1254:E1254)=MIN(E1254:E1254)</f>
        <v>1</v>
      </c>
    </row>
    <row r="1255" spans="2:7" ht="11.25">
      <c r="C1255" t="s">
        <v>1715</v>
      </c>
      <c r="E1255" s="87">
        <f>(decV1H2Dev+decV2H2Dev+decV3H2Dev)*paramH2PctCostReducPerHCompLvl</f>
        <v>0</v>
      </c>
      <c r="G1255" t="b">
        <f>MAX(E1255:E1255)=MIN(E1255:E1255)</f>
        <v>1</v>
      </c>
    </row>
    <row r="1256" spans="2:7" ht="11.25">
      <c r="C1256" t="s">
        <v>2558</v>
      </c>
      <c r="E1256" s="64">
        <f>capBusBGenOpsPctCostReduce</f>
        <v>3.7559972464384347E-2</v>
      </c>
      <c r="G1256" t="b">
        <f>MAX(E1256:E1256)=MIN(E1256:E1256)</f>
        <v>1</v>
      </c>
    </row>
    <row r="1257" spans="2:7" ht="11.25">
      <c r="C1257" t="s">
        <v>1718</v>
      </c>
      <c r="E1257" s="64">
        <f>paramSpecProgramBPOV3CostReducPct+paramSpecProgramBPOH2CostReducPct</f>
        <v>0</v>
      </c>
      <c r="G1257" t="b">
        <f>MAX(E1257:E1257)=MIN(E1257:E1257)</f>
        <v>1</v>
      </c>
    </row>
    <row r="1258" spans="2:7" ht="11.25">
      <c r="C1258" t="s">
        <v>2797</v>
      </c>
      <c r="E1258" s="64">
        <f>IF(xxYear=3,DataTableBid8COSReducPursuit,0)</f>
        <v>0</v>
      </c>
      <c r="G1258" t="b">
        <f>MAX(E1258:E1258)=MIN(E1258:E1258)</f>
        <v>1</v>
      </c>
    </row>
    <row r="1259" spans="2:7" ht="11.25">
      <c r="C1259" t="s">
        <v>3563</v>
      </c>
      <c r="E1259" s="171">
        <v>1</v>
      </c>
      <c r="G1259" t="b">
        <f>MAX(E1259:E1259)=MIN(E1259:E1259)</f>
        <v>1</v>
      </c>
    </row>
    <row r="1260" spans="2:7" ht="11.25">
      <c r="C1260" t="s">
        <v>1719</v>
      </c>
      <c r="E1260" s="324">
        <f>E1253-E1253*(E1259*(E1254+E1255+E1256+E1257+E1258))</f>
        <v>526177027.20661712</v>
      </c>
      <c r="F1260" t="s">
        <v>3838</v>
      </c>
      <c r="G1260" t="b">
        <f>MAX(E1260:E1260)=MIN(E1260:E1260)</f>
        <v>1</v>
      </c>
    </row>
    <row r="1261" spans="2:7" ht="11.25">
      <c r="B1261" t="s">
        <v>828</v>
      </c>
      <c r="G1261" t="b">
        <f>MAX(E1261:E1261)=MIN(E1261:E1261)</f>
        <v>1</v>
      </c>
    </row>
    <row r="1262" spans="2:7" ht="11.25">
      <c r="C1262" t="s">
        <v>1702</v>
      </c>
      <c r="E1262" s="324">
        <f>obalY3V3H3COS</f>
        <v>295964118.10290575</v>
      </c>
      <c r="G1262" t="b">
        <f>MAX(E1262:E1262)=MIN(E1262:E1262)</f>
        <v>1</v>
      </c>
    </row>
    <row r="1263" spans="2:7" ht="11.25">
      <c r="C1263" t="s">
        <v>1714</v>
      </c>
      <c r="E1263" s="87">
        <f>(decV3H1Dev+decV3H2Dev+decV3H3Dev)*paramV3PctCostReducPerVCompLvl</f>
        <v>0</v>
      </c>
      <c r="G1263" t="b">
        <f>MAX(E1263:E1263)=MIN(E1263:E1263)</f>
        <v>1</v>
      </c>
    </row>
    <row r="1264" spans="2:7" ht="11.25">
      <c r="C1264" t="s">
        <v>1715</v>
      </c>
      <c r="E1264" s="87">
        <f>(decV1H3Dev+decV2H3Dev+decV3H3Dev)*paramH3PctCostReducPerHCompLvl</f>
        <v>0</v>
      </c>
      <c r="G1264" t="b">
        <f>MAX(E1264:E1264)=MIN(E1264:E1264)</f>
        <v>1</v>
      </c>
    </row>
    <row r="1265" spans="1:7" ht="11.25">
      <c r="C1265" t="s">
        <v>2558</v>
      </c>
      <c r="E1265" s="64">
        <f>capBusBGenOpsPctCostReduce</f>
        <v>3.7559972464384347E-2</v>
      </c>
      <c r="G1265" t="b">
        <f>MAX(E1265:E1265)=MIN(E1265:E1265)</f>
        <v>1</v>
      </c>
    </row>
    <row r="1266" spans="1:7" ht="11.25">
      <c r="C1266" t="s">
        <v>1718</v>
      </c>
      <c r="E1266" s="64">
        <f>paramSpecProgramBPOV3CostReducPct+paramSpecProgramBPOH3CostReducPct</f>
        <v>0</v>
      </c>
      <c r="G1266" t="b">
        <f>MAX(E1266:E1266)=MIN(E1266:E1266)</f>
        <v>1</v>
      </c>
    </row>
    <row r="1267" spans="1:7" ht="11.25">
      <c r="C1267" t="s">
        <v>2797</v>
      </c>
      <c r="E1267" s="64">
        <f>IF(xxYear=3,DataTableBid9COSReducPursuit,0)</f>
        <v>0</v>
      </c>
      <c r="G1267" t="b">
        <f>MAX(E1267:E1267)=MIN(E1267:E1267)</f>
        <v>1</v>
      </c>
    </row>
    <row r="1268" spans="1:7" ht="11.25">
      <c r="C1268" t="s">
        <v>3563</v>
      </c>
      <c r="E1268" s="171">
        <v>1</v>
      </c>
      <c r="G1268" t="b">
        <f>MAX(E1268:E1268)=MIN(E1268:E1268)</f>
        <v>1</v>
      </c>
    </row>
    <row r="1269" spans="1:7" ht="11.25">
      <c r="C1269" t="s">
        <v>1719</v>
      </c>
      <c r="E1269" s="324">
        <f>E1262-E1262*(E1268*(E1263+E1264+E1265+E1266+E1267))</f>
        <v>284847713.97651482</v>
      </c>
      <c r="F1269" t="s">
        <v>3839</v>
      </c>
      <c r="G1269" t="b">
        <f>MAX(E1269:E1269)=MIN(E1269:E1269)</f>
        <v>1</v>
      </c>
    </row>
    <row r="1270" spans="1:7" ht="11.25">
      <c r="E1270" s="324"/>
      <c r="G1270" t="b">
        <f>MAX(E1270:E1270)=MIN(E1270:E1270)</f>
        <v>1</v>
      </c>
    </row>
    <row r="1271" spans="1:7" ht="11.25">
      <c r="A1271" s="2" t="s">
        <v>1151</v>
      </c>
      <c r="E1271" s="324"/>
      <c r="G1271" t="b">
        <f>MAX(E1271:E1271)=MIN(E1271:E1271)</f>
        <v>1</v>
      </c>
    </row>
    <row r="1272" spans="1:7" ht="11.25">
      <c r="C1272" t="s">
        <v>1891</v>
      </c>
      <c r="E1272" s="324">
        <f>IF(obalY1V1H1BidWon=1,capBusBGenOpsPctCostReduce*obalY1V1H1COS*E1032,0)</f>
        <v>0</v>
      </c>
      <c r="F1272" t="s">
        <v>3015</v>
      </c>
      <c r="G1272" t="b">
        <f>MAX(E1272:E1272)=MIN(E1272:E1272)</f>
        <v>1</v>
      </c>
    </row>
    <row r="1273" spans="1:7" ht="11.25">
      <c r="C1273" t="s">
        <v>1892</v>
      </c>
      <c r="E1273" s="324">
        <f>IF(obalY1V1H2BidWon=1,capBusBGenOpsPctCostReduce*obalY1V1H2COS*E1041,0)</f>
        <v>0</v>
      </c>
      <c r="F1273" t="s">
        <v>3016</v>
      </c>
      <c r="G1273" t="b">
        <f>MAX(E1273:E1273)=MIN(E1273:E1273)</f>
        <v>1</v>
      </c>
    </row>
    <row r="1274" spans="1:7" ht="11.25">
      <c r="C1274" t="s">
        <v>1893</v>
      </c>
      <c r="E1274" s="324">
        <f>IF(obalY1V1H3BidWon=1,capBusBGenOpsPctCostReduce*obalY1V1H3COS*E1050,0)</f>
        <v>0</v>
      </c>
      <c r="F1274" t="s">
        <v>740</v>
      </c>
      <c r="G1274" t="b">
        <f>MAX(E1274:E1274)=MIN(E1274:E1274)</f>
        <v>1</v>
      </c>
    </row>
    <row r="1275" spans="1:7" ht="11.25">
      <c r="C1275" t="s">
        <v>1894</v>
      </c>
      <c r="E1275" s="324">
        <f>IF(obalY1V2H1BidWon=1,capBusBGenOpsPctCostReduce*obalY1V2H1COS*E1059,0)</f>
        <v>0</v>
      </c>
      <c r="F1275" t="s">
        <v>741</v>
      </c>
      <c r="G1275" t="b">
        <f>MAX(E1275:E1275)=MIN(E1275:E1275)</f>
        <v>1</v>
      </c>
    </row>
    <row r="1276" spans="1:7" ht="11.25">
      <c r="C1276" t="s">
        <v>1895</v>
      </c>
      <c r="E1276" s="324">
        <f>IF(obalY1V2H2BidWon=1,capBusBGenOpsPctCostReduce*obalY1V2H2COS*E1068,0)</f>
        <v>0</v>
      </c>
      <c r="F1276" t="s">
        <v>742</v>
      </c>
      <c r="G1276" t="b">
        <f>MAX(E1276:E1276)=MIN(E1276:E1276)</f>
        <v>1</v>
      </c>
    </row>
    <row r="1277" spans="1:7" ht="11.25">
      <c r="C1277" t="s">
        <v>1896</v>
      </c>
      <c r="E1277" s="324">
        <f>IF(obalY1V2H3BidWon=1,capBusBGenOpsPctCostReduce*obalY1V2H3COS*E1077,0)</f>
        <v>0</v>
      </c>
      <c r="F1277" t="s">
        <v>743</v>
      </c>
      <c r="G1277" t="b">
        <f>MAX(E1277:E1277)=MIN(E1277:E1277)</f>
        <v>1</v>
      </c>
    </row>
    <row r="1278" spans="1:7" ht="11.25">
      <c r="C1278" t="s">
        <v>1897</v>
      </c>
      <c r="E1278" s="324">
        <f>IF(obalY1V3H1BidWon=1,capBusBGenOpsPctCostReduce*obalY1V3H1COS*E1086,0)</f>
        <v>0</v>
      </c>
      <c r="F1278" t="s">
        <v>744</v>
      </c>
      <c r="G1278" t="b">
        <f>MAX(E1278:E1278)=MIN(E1278:E1278)</f>
        <v>1</v>
      </c>
    </row>
    <row r="1279" spans="1:7" ht="11.25">
      <c r="C1279" t="s">
        <v>1898</v>
      </c>
      <c r="E1279" s="324">
        <f>IF(obalY1V3H2BidWon=1,capBusBGenOpsPctCostReduce*obalY1V3H2COS*E1095,0)</f>
        <v>0</v>
      </c>
      <c r="F1279" t="s">
        <v>745</v>
      </c>
      <c r="G1279" t="b">
        <f>MAX(E1279:E1279)=MIN(E1279:E1279)</f>
        <v>1</v>
      </c>
    </row>
    <row r="1280" spans="1:7" ht="11.25">
      <c r="C1280" t="s">
        <v>1899</v>
      </c>
      <c r="E1280" s="401">
        <f>IF(obalY1V3H3BidWon=1,capBusBGenOpsPctCostReduce*obalY1V3H3COS*E1104,0)</f>
        <v>0</v>
      </c>
      <c r="F1280" t="s">
        <v>3552</v>
      </c>
      <c r="G1280" t="b">
        <f>MAX(E1280:E1280)=MIN(E1280:E1280)</f>
        <v>1</v>
      </c>
    </row>
    <row r="1281" spans="1:7" ht="11.25">
      <c r="D1281" t="s">
        <v>3515</v>
      </c>
      <c r="E1281" s="324">
        <f>SUM(E1272:E1280)</f>
        <v>0</v>
      </c>
      <c r="F1281" t="s">
        <v>3516</v>
      </c>
      <c r="G1281" t="b">
        <f>MAX(E1281:E1281)=MIN(E1281:E1281)</f>
        <v>1</v>
      </c>
    </row>
    <row r="1282" spans="1:7" ht="11.25">
      <c r="D1282" t="s">
        <v>2331</v>
      </c>
      <c r="E1282" s="331">
        <f>E1272+E1273+E1274</f>
        <v>0</v>
      </c>
      <c r="F1282" t="s">
        <v>2334</v>
      </c>
      <c r="G1282" t="b">
        <f>MAX(E1282:E1282)=MIN(E1282:E1282)</f>
        <v>1</v>
      </c>
    </row>
    <row r="1283" spans="1:7" ht="11.25">
      <c r="D1283" t="s">
        <v>2332</v>
      </c>
      <c r="E1283" s="331">
        <f>E1275+E1276+E1277</f>
        <v>0</v>
      </c>
      <c r="F1283" t="s">
        <v>2335</v>
      </c>
      <c r="G1283" t="b">
        <f>MAX(E1283:E1283)=MIN(E1283:E1283)</f>
        <v>1</v>
      </c>
    </row>
    <row r="1284" spans="1:7" ht="11.25">
      <c r="D1284" t="s">
        <v>2333</v>
      </c>
      <c r="E1284" s="331">
        <f>E1278+E1279+E1280</f>
        <v>0</v>
      </c>
      <c r="F1284" t="s">
        <v>2336</v>
      </c>
      <c r="G1284" t="b">
        <f>MAX(E1284:E1284)=MIN(E1284:E1284)</f>
        <v>1</v>
      </c>
    </row>
    <row r="1285" spans="1:7" ht="11.25">
      <c r="G1285" t="b">
        <f>MAX(E1285:E1285)=MIN(E1285:E1285)</f>
        <v>1</v>
      </c>
    </row>
    <row r="1286" spans="1:7" ht="11.25">
      <c r="A1286" s="2" t="s">
        <v>3513</v>
      </c>
      <c r="E1286" s="324"/>
      <c r="G1286" t="b">
        <f>MAX(E1286:E1286)=MIN(E1286:E1286)</f>
        <v>1</v>
      </c>
    </row>
    <row r="1287" spans="1:7" ht="11.25">
      <c r="C1287" t="s">
        <v>1891</v>
      </c>
      <c r="E1287" s="324">
        <f>IF(obalY2V1H1BidWon=1,capBusBGenOpsPctCostReduce*obalY2V1H1COS*E1114,0)</f>
        <v>0</v>
      </c>
      <c r="F1287" t="s">
        <v>3553</v>
      </c>
      <c r="G1287" t="b">
        <f>MAX(E1287:E1287)=MIN(E1287:E1287)</f>
        <v>1</v>
      </c>
    </row>
    <row r="1288" spans="1:7" ht="11.25">
      <c r="C1288" t="s">
        <v>1892</v>
      </c>
      <c r="E1288" s="324">
        <f>IF(obalY2V1H2BidWon=1,capBusBGenOpsPctCostReduce*obalY2V1H2COS*E1123,0)</f>
        <v>0</v>
      </c>
      <c r="F1288" t="s">
        <v>2360</v>
      </c>
      <c r="G1288" t="b">
        <f>MAX(E1288:E1288)=MIN(E1288:E1288)</f>
        <v>1</v>
      </c>
    </row>
    <row r="1289" spans="1:7" ht="11.25">
      <c r="C1289" t="s">
        <v>1893</v>
      </c>
      <c r="E1289" s="324">
        <f>IF(obalY2V1H3BidWon=1,capBusBGenOpsPctCostReduce*obalY2V1H3COS*E1132,0)</f>
        <v>0</v>
      </c>
      <c r="F1289" t="s">
        <v>3493</v>
      </c>
      <c r="G1289" t="b">
        <f>MAX(E1289:E1289)=MIN(E1289:E1289)</f>
        <v>1</v>
      </c>
    </row>
    <row r="1290" spans="1:7" ht="11.25">
      <c r="C1290" t="s">
        <v>1894</v>
      </c>
      <c r="E1290" s="324">
        <f>IF(obalY2V2H1BidWon=1,capBusBGenOpsPctCostReduce*obalY2V2H1COS*E1141,0)</f>
        <v>0</v>
      </c>
      <c r="F1290" t="s">
        <v>3494</v>
      </c>
      <c r="G1290" t="b">
        <f>MAX(E1290:E1290)=MIN(E1290:E1290)</f>
        <v>1</v>
      </c>
    </row>
    <row r="1291" spans="1:7" ht="11.25">
      <c r="C1291" t="s">
        <v>1895</v>
      </c>
      <c r="E1291" s="324">
        <f>IF(obalY2V2H2BidWon=1,capBusBGenOpsPctCostReduce*obalY2V2H2COS*E1150,0)</f>
        <v>0</v>
      </c>
      <c r="F1291" t="s">
        <v>3495</v>
      </c>
      <c r="G1291" t="b">
        <f>MAX(E1291:E1291)=MIN(E1291:E1291)</f>
        <v>1</v>
      </c>
    </row>
    <row r="1292" spans="1:7" ht="11.25">
      <c r="C1292" t="s">
        <v>1896</v>
      </c>
      <c r="E1292" s="324">
        <f>IF(obalY2V2H3BidWon=1,capBusBGenOpsPctCostReduce*obalY2V2H3COS*E1159,0)</f>
        <v>0</v>
      </c>
      <c r="F1292" t="s">
        <v>3496</v>
      </c>
      <c r="G1292" t="b">
        <f>MAX(E1292:E1292)=MIN(E1292:E1292)</f>
        <v>1</v>
      </c>
    </row>
    <row r="1293" spans="1:7" ht="11.25">
      <c r="C1293" t="s">
        <v>1897</v>
      </c>
      <c r="E1293" s="324">
        <f>IF(obalY2V3H1BidWon=1,capBusBGenOpsPctCostReduce*obalY2V3H1COS*E1168,)</f>
        <v>0</v>
      </c>
      <c r="F1293" t="s">
        <v>3497</v>
      </c>
      <c r="G1293" t="b">
        <f>MAX(E1293:E1293)=MIN(E1293:E1293)</f>
        <v>1</v>
      </c>
    </row>
    <row r="1294" spans="1:7" ht="11.25">
      <c r="C1294" t="s">
        <v>1898</v>
      </c>
      <c r="E1294" s="324">
        <f>IF(obalY2V3H2BidWon=1,capBusBGenOpsPctCostReduce*obalY2V3H2COS*E1177,0)</f>
        <v>0</v>
      </c>
      <c r="F1294" t="s">
        <v>3498</v>
      </c>
      <c r="G1294" t="b">
        <f>MAX(E1294:E1294)=MIN(E1294:E1294)</f>
        <v>1</v>
      </c>
    </row>
    <row r="1295" spans="1:7" ht="11.25">
      <c r="C1295" t="s">
        <v>1899</v>
      </c>
      <c r="E1295" s="401">
        <f>IF(obalY2V3H3BidWon=1,capBusBGenOpsPctCostReduce*obalY2V3H3COS*E1186,0)</f>
        <v>0</v>
      </c>
      <c r="F1295" t="s">
        <v>3499</v>
      </c>
      <c r="G1295" t="b">
        <f>MAX(E1295:E1295)=MIN(E1295:E1295)</f>
        <v>1</v>
      </c>
    </row>
    <row r="1296" spans="1:7" ht="11.25">
      <c r="D1296" t="s">
        <v>3515</v>
      </c>
      <c r="E1296" s="324">
        <f>SUM(E1287:E1295)</f>
        <v>0</v>
      </c>
      <c r="F1296" t="s">
        <v>1135</v>
      </c>
      <c r="G1296" t="b">
        <f>MAX(E1296:E1296)=MIN(E1296:E1296)</f>
        <v>1</v>
      </c>
    </row>
    <row r="1297" spans="1:7" ht="11.25">
      <c r="D1297" t="s">
        <v>2337</v>
      </c>
      <c r="E1297" s="331">
        <f>E1287+E1288+E1289</f>
        <v>0</v>
      </c>
      <c r="F1297" t="s">
        <v>2338</v>
      </c>
      <c r="G1297" t="b">
        <f>MAX(E1297:E1297)=MIN(E1297:E1297)</f>
        <v>1</v>
      </c>
    </row>
    <row r="1298" spans="1:7" ht="11.25">
      <c r="D1298" t="s">
        <v>2339</v>
      </c>
      <c r="E1298" s="331">
        <f>E1290+E1291+E1292</f>
        <v>0</v>
      </c>
      <c r="F1298" t="s">
        <v>2340</v>
      </c>
      <c r="G1298" t="b">
        <f>MAX(E1298:E1298)=MIN(E1298:E1298)</f>
        <v>1</v>
      </c>
    </row>
    <row r="1299" spans="1:7" ht="11.25">
      <c r="D1299" t="s">
        <v>2341</v>
      </c>
      <c r="E1299" s="331">
        <f>E1293+E1294+E1295</f>
        <v>0</v>
      </c>
      <c r="F1299" t="s">
        <v>2342</v>
      </c>
      <c r="G1299" t="b">
        <f>MAX(E1299:E1299)=MIN(E1299:E1299)</f>
        <v>1</v>
      </c>
    </row>
    <row r="1300" spans="1:7" ht="11.25">
      <c r="E1300" s="324"/>
      <c r="G1300" t="b">
        <f>MAX(E1300:E1300)=MIN(E1300:E1300)</f>
        <v>1</v>
      </c>
    </row>
    <row r="1301" spans="1:7" ht="11.25">
      <c r="A1301" s="2" t="s">
        <v>3514</v>
      </c>
      <c r="E1301" s="324"/>
      <c r="G1301" t="b">
        <f>MAX(E1301:E1301)=MIN(E1301:E1301)</f>
        <v>1</v>
      </c>
    </row>
    <row r="1302" spans="1:7" ht="11.25">
      <c r="C1302" t="s">
        <v>1891</v>
      </c>
      <c r="E1302" s="324">
        <f>IF(obalY3V1H1BidWon=1,capBusBGenOpsPctCostReduce*obalY3V1H1COS*E1196,0)</f>
        <v>0</v>
      </c>
      <c r="F1302" t="s">
        <v>3500</v>
      </c>
      <c r="G1302" t="b">
        <f>MAX(E1302:E1302)=MIN(E1302:E1302)</f>
        <v>1</v>
      </c>
    </row>
    <row r="1303" spans="1:7" ht="11.25">
      <c r="C1303" t="s">
        <v>1892</v>
      </c>
      <c r="E1303" s="324">
        <f>IF(obalY3V1H2BidWon=1,capBusBGenOpsPctCostReduce*obalY3V1H2COS*E1205,0)</f>
        <v>0</v>
      </c>
      <c r="F1303" t="s">
        <v>29</v>
      </c>
      <c r="G1303" t="b">
        <f>MAX(E1303:E1303)=MIN(E1303:E1303)</f>
        <v>1</v>
      </c>
    </row>
    <row r="1304" spans="1:7" ht="11.25">
      <c r="C1304" t="s">
        <v>1893</v>
      </c>
      <c r="E1304" s="324">
        <f>IF(obalY3V1H3BidWon=1,capBusBGenOpsPctCostReduce*obalY3V1H3COS*E1214,0)</f>
        <v>0</v>
      </c>
      <c r="F1304" t="s">
        <v>30</v>
      </c>
      <c r="G1304" t="b">
        <f>MAX(E1304:E1304)=MIN(E1304:E1304)</f>
        <v>1</v>
      </c>
    </row>
    <row r="1305" spans="1:7" ht="11.25">
      <c r="C1305" t="s">
        <v>1894</v>
      </c>
      <c r="E1305" s="324">
        <f>IF(obalY3V2H1BidWon=1,capBusBGenOpsPctCostReduce*obalY3V2H1COS*E1223,0)</f>
        <v>0</v>
      </c>
      <c r="F1305" t="s">
        <v>31</v>
      </c>
      <c r="G1305" t="b">
        <f>MAX(E1305:E1305)=MIN(E1305:E1305)</f>
        <v>1</v>
      </c>
    </row>
    <row r="1306" spans="1:7" ht="11.25">
      <c r="C1306" t="s">
        <v>1895</v>
      </c>
      <c r="E1306" s="324">
        <f>IF(obalY3V2H2BidWon=1,capBusBGenOpsPctCostReduce*obalY3V2H2COS*E1232,0)</f>
        <v>0</v>
      </c>
      <c r="F1306" t="s">
        <v>32</v>
      </c>
      <c r="G1306" t="b">
        <f>MAX(E1306:E1306)=MIN(E1306:E1306)</f>
        <v>1</v>
      </c>
    </row>
    <row r="1307" spans="1:7" ht="11.25">
      <c r="C1307" t="s">
        <v>1896</v>
      </c>
      <c r="E1307" s="324">
        <f>IF(obalY3V2H3BidWon=1,capBusBGenOpsPctCostReduce*obalY3V2H3COS*E1241,0)</f>
        <v>0</v>
      </c>
      <c r="F1307" t="s">
        <v>33</v>
      </c>
      <c r="G1307" t="b">
        <f>MAX(E1307:E1307)=MIN(E1307:E1307)</f>
        <v>1</v>
      </c>
    </row>
    <row r="1308" spans="1:7" ht="11.25">
      <c r="C1308" t="s">
        <v>1897</v>
      </c>
      <c r="E1308" s="324">
        <f>IF(obalY3V3H1BidWon=1,capBusBGenOpsPctCostReduce*obalY3V3H1COS*E1250,0)</f>
        <v>0</v>
      </c>
      <c r="F1308" t="s">
        <v>34</v>
      </c>
      <c r="G1308" t="b">
        <f>MAX(E1308:E1308)=MIN(E1308:E1308)</f>
        <v>1</v>
      </c>
    </row>
    <row r="1309" spans="1:7" ht="11.25">
      <c r="C1309" t="s">
        <v>1898</v>
      </c>
      <c r="E1309" s="324">
        <f>IF(obalY3V3H2BidWon=1,capBusBGenOpsPctCostReduce*obalY3V3H2COS*E1259,0)</f>
        <v>0</v>
      </c>
      <c r="F1309" t="s">
        <v>35</v>
      </c>
      <c r="G1309" t="b">
        <f>MAX(E1309:E1309)=MIN(E1309:E1309)</f>
        <v>1</v>
      </c>
    </row>
    <row r="1310" spans="1:7" ht="11.25">
      <c r="C1310" t="s">
        <v>1899</v>
      </c>
      <c r="E1310" s="401">
        <f>IF(obalY3V3H3BidWon=1,capBusBGenOpsPctCostReduce*obalY3V3H3COS*E1268,0)</f>
        <v>0</v>
      </c>
      <c r="F1310" t="s">
        <v>36</v>
      </c>
      <c r="G1310" t="b">
        <f>MAX(E1310:E1310)=MIN(E1310:E1310)</f>
        <v>1</v>
      </c>
    </row>
    <row r="1311" spans="1:7" ht="11.25">
      <c r="D1311" t="s">
        <v>3515</v>
      </c>
      <c r="E1311" s="324">
        <f>SUM(E1302:E1310)</f>
        <v>0</v>
      </c>
      <c r="F1311" t="s">
        <v>1136</v>
      </c>
      <c r="G1311" t="b">
        <f>MAX(E1311:E1311)=MIN(E1311:E1311)</f>
        <v>1</v>
      </c>
    </row>
    <row r="1312" spans="1:7" ht="11.25">
      <c r="D1312" t="s">
        <v>2343</v>
      </c>
      <c r="E1312" s="331">
        <f>E1302+E1303+E1304</f>
        <v>0</v>
      </c>
      <c r="F1312" t="s">
        <v>2344</v>
      </c>
      <c r="G1312" t="b">
        <f>MAX(E1312:E1312)=MIN(E1312:E1312)</f>
        <v>1</v>
      </c>
    </row>
    <row r="1313" spans="1:7" ht="11.25">
      <c r="D1313" t="s">
        <v>2345</v>
      </c>
      <c r="E1313" s="331">
        <f>E1305+E1306+E1307</f>
        <v>0</v>
      </c>
      <c r="F1313" t="s">
        <v>2346</v>
      </c>
      <c r="G1313" t="b">
        <f>MAX(E1313:E1313)=MIN(E1313:E1313)</f>
        <v>1</v>
      </c>
    </row>
    <row r="1314" spans="1:7" ht="11.25">
      <c r="D1314" t="s">
        <v>2347</v>
      </c>
      <c r="E1314" s="331">
        <f>E1308+E1309+E1310</f>
        <v>0</v>
      </c>
      <c r="F1314" t="s">
        <v>1801</v>
      </c>
      <c r="G1314" t="b">
        <f>MAX(E1314:E1314)=MIN(E1314:E1314)</f>
        <v>1</v>
      </c>
    </row>
    <row r="1315" spans="1:7" ht="11.25">
      <c r="E1315" s="324"/>
      <c r="G1315" t="b">
        <f>MAX(E1315:E1315)=MIN(E1315:E1315)</f>
        <v>1</v>
      </c>
    </row>
    <row r="1316" spans="1:7" ht="11.25">
      <c r="G1316" t="b">
        <f>MAX(E1316:E1316)=MIN(E1316:E1316)</f>
        <v>1</v>
      </c>
    </row>
    <row r="1317" spans="1:7">
      <c r="A1317" s="552" t="s">
        <v>3709</v>
      </c>
      <c r="B1317" s="552"/>
      <c r="C1317" s="552"/>
      <c r="D1317" s="552"/>
      <c r="E1317" s="552"/>
      <c r="G1317" t="b">
        <f>MAX(E1317:E1317)=MIN(E1317:E1317)</f>
        <v>1</v>
      </c>
    </row>
    <row r="1318" spans="1:7" ht="11.25">
      <c r="A1318" s="2" t="s">
        <v>2016</v>
      </c>
      <c r="G1318" t="b">
        <f>MAX(E1318:E1318)=MIN(E1318:E1318)</f>
        <v>1</v>
      </c>
    </row>
    <row r="1319" spans="1:7" ht="11.25">
      <c r="B1319" t="s">
        <v>1701</v>
      </c>
      <c r="G1319" t="b">
        <f>MAX(E1319:E1319)=MIN(E1319:E1319)</f>
        <v>1</v>
      </c>
    </row>
    <row r="1320" spans="1:7" ht="11.25">
      <c r="C1320" t="s">
        <v>1702</v>
      </c>
      <c r="E1320" s="324">
        <f>obalY1V1H1COSRealized</f>
        <v>0</v>
      </c>
      <c r="G1320" t="b">
        <f>MAX(E1320:E1320)=MIN(E1320:E1320)</f>
        <v>1</v>
      </c>
    </row>
    <row r="1321" spans="1:7" ht="11.25">
      <c r="C1321" t="s">
        <v>1714</v>
      </c>
      <c r="E1321" s="87">
        <f>(decV1H1Dev+decV1H2Dev+decV1H3Dev)*paramV1PctCostReducPerVCompLvl</f>
        <v>0</v>
      </c>
      <c r="F1321" s="451"/>
      <c r="G1321" t="b">
        <f>MAX(E1321:E1321)=MIN(E1321:E1321)</f>
        <v>1</v>
      </c>
    </row>
    <row r="1322" spans="1:7" ht="11.25">
      <c r="C1322" t="s">
        <v>1715</v>
      </c>
      <c r="E1322" s="87">
        <f>(decV1H1Dev+decV2H1Dev+decV3H1Dev)*paramH1PctCostReducPerHCompLvl</f>
        <v>0</v>
      </c>
      <c r="G1322" t="b">
        <f>MAX(E1322:E1322)=MIN(E1322:E1322)</f>
        <v>1</v>
      </c>
    </row>
    <row r="1323" spans="1:7" ht="11.25">
      <c r="C1323" t="s">
        <v>2228</v>
      </c>
      <c r="E1323" s="64">
        <f>capBusBGenOpsPctCostReduce</f>
        <v>3.7559972464384347E-2</v>
      </c>
      <c r="G1323" t="b">
        <f>MAX(E1323:E1323)=MIN(E1323:E1323)</f>
        <v>1</v>
      </c>
    </row>
    <row r="1324" spans="1:7" ht="11.25">
      <c r="C1324" t="s">
        <v>2229</v>
      </c>
      <c r="E1324" s="64">
        <f>paramSpecProgramBPOV1CostReducPct+paramSpecProgramBPOH1CostReducPct</f>
        <v>0</v>
      </c>
      <c r="G1324" t="b">
        <f>MAX(E1324:E1324)=MIN(E1324:E1324)</f>
        <v>1</v>
      </c>
    </row>
    <row r="1325" spans="1:7" ht="11.25">
      <c r="C1325" t="s">
        <v>2797</v>
      </c>
      <c r="E1325" s="64">
        <f>IF(xxYear=1,DataTableBid1COSReducPursuit,0)</f>
        <v>5.1401060881722194E-2</v>
      </c>
      <c r="G1325" t="b">
        <f>MAX(E1325:E1325)=MIN(E1325:E1325)</f>
        <v>1</v>
      </c>
    </row>
    <row r="1326" spans="1:7" ht="11.25">
      <c r="C1326" t="s">
        <v>3563</v>
      </c>
      <c r="E1326" s="171">
        <v>1</v>
      </c>
      <c r="G1326" t="b">
        <f>MAX(E1326:E1326)=MIN(E1326:E1326)</f>
        <v>1</v>
      </c>
    </row>
    <row r="1327" spans="1:7" ht="11.25">
      <c r="C1327" t="s">
        <v>1719</v>
      </c>
      <c r="D1327" s="87" t="e">
        <f>(E1320-E1327)/E1320</f>
        <v>#DIV/0!</v>
      </c>
      <c r="E1327" s="324">
        <f>E1320-E1320*(E1326*(E1321+E1322+E1323+E1324+E1325))</f>
        <v>0</v>
      </c>
      <c r="F1327" t="s">
        <v>1220</v>
      </c>
      <c r="G1327" t="b">
        <f>MAX(E1327:E1327)=MIN(E1327:E1327)</f>
        <v>1</v>
      </c>
    </row>
    <row r="1328" spans="1:7" ht="11.25">
      <c r="B1328" t="s">
        <v>2160</v>
      </c>
      <c r="G1328" t="b">
        <f>MAX(E1328:E1328)=MIN(E1328:E1328)</f>
        <v>1</v>
      </c>
    </row>
    <row r="1329" spans="2:7" ht="11.25">
      <c r="C1329" t="s">
        <v>1702</v>
      </c>
      <c r="E1329" s="324">
        <f>obalY1V1H2COSRealized</f>
        <v>0</v>
      </c>
      <c r="G1329" t="b">
        <f>MAX(E1329:E1329)=MIN(E1329:E1329)</f>
        <v>1</v>
      </c>
    </row>
    <row r="1330" spans="2:7" ht="11.25">
      <c r="C1330" t="s">
        <v>1714</v>
      </c>
      <c r="E1330" s="87">
        <f>(decV1H2Dev+decV1H2Dev+decV1H3Dev)*paramV1PctCostReducPerVCompLvl</f>
        <v>0</v>
      </c>
      <c r="G1330" t="b">
        <f>MAX(E1330:E1330)=MIN(E1330:E1330)</f>
        <v>1</v>
      </c>
    </row>
    <row r="1331" spans="2:7" ht="11.25">
      <c r="C1331" t="s">
        <v>1715</v>
      </c>
      <c r="E1331" s="87">
        <f>(decV1H2Dev+decV2H2Dev+decV3H2Dev)*paramH2PctCostReducPerHCompLvl</f>
        <v>0</v>
      </c>
      <c r="G1331" t="b">
        <f>MAX(E1331:E1331)=MIN(E1331:E1331)</f>
        <v>1</v>
      </c>
    </row>
    <row r="1332" spans="2:7" ht="11.25">
      <c r="C1332" t="s">
        <v>2558</v>
      </c>
      <c r="E1332" s="64">
        <f>capBusBGenOpsPctCostReduce</f>
        <v>3.7559972464384347E-2</v>
      </c>
      <c r="G1332" t="b">
        <f>MAX(E1332:E1332)=MIN(E1332:E1332)</f>
        <v>1</v>
      </c>
    </row>
    <row r="1333" spans="2:7" ht="11.25">
      <c r="C1333" t="s">
        <v>1718</v>
      </c>
      <c r="E1333" s="64">
        <f>paramSpecProgramBPOV1CostReducPct+paramSpecProgramBPOH2CostReducPct</f>
        <v>0</v>
      </c>
      <c r="G1333" t="b">
        <f>MAX(E1333:E1333)=MIN(E1333:E1333)</f>
        <v>1</v>
      </c>
    </row>
    <row r="1334" spans="2:7" ht="11.25">
      <c r="C1334" t="s">
        <v>2797</v>
      </c>
      <c r="E1334" s="64">
        <f>IF(xxYear=1,DataTableBid2COSReducPursuit,0)</f>
        <v>0</v>
      </c>
      <c r="G1334" t="b">
        <f>MAX(E1334:E1334)=MIN(E1334:E1334)</f>
        <v>1</v>
      </c>
    </row>
    <row r="1335" spans="2:7" ht="11.25">
      <c r="C1335" t="s">
        <v>3563</v>
      </c>
      <c r="E1335" s="171">
        <v>1</v>
      </c>
      <c r="G1335" t="b">
        <f>MAX(E1335:E1335)=MIN(E1335:E1335)</f>
        <v>1</v>
      </c>
    </row>
    <row r="1336" spans="2:7" ht="11.25">
      <c r="C1336" t="s">
        <v>1719</v>
      </c>
      <c r="E1336" s="324">
        <f>E1329-E1329*(E1335*(E1330+E1331+E1332+E1333+E1334))</f>
        <v>0</v>
      </c>
      <c r="F1336" t="s">
        <v>3112</v>
      </c>
      <c r="G1336" t="b">
        <f>MAX(E1336:E1336)=MIN(E1336:E1336)</f>
        <v>1</v>
      </c>
    </row>
    <row r="1337" spans="2:7" ht="11.25">
      <c r="B1337" t="s">
        <v>2559</v>
      </c>
      <c r="G1337" t="b">
        <f>MAX(E1337:E1337)=MIN(E1337:E1337)</f>
        <v>1</v>
      </c>
    </row>
    <row r="1338" spans="2:7" ht="11.25">
      <c r="C1338" t="s">
        <v>1702</v>
      </c>
      <c r="E1338" s="324">
        <f>obalY1V1H3COSRealized</f>
        <v>0</v>
      </c>
      <c r="G1338" t="b">
        <f>MAX(E1338:E1338)=MIN(E1338:E1338)</f>
        <v>1</v>
      </c>
    </row>
    <row r="1339" spans="2:7" ht="11.25">
      <c r="C1339" t="s">
        <v>1714</v>
      </c>
      <c r="E1339" s="87">
        <f>(decV1H1Dev+decV1H2Dev+decV1H3Dev)*paramV1PctCostReducPerVCompLvl</f>
        <v>0</v>
      </c>
      <c r="G1339" t="b">
        <f>MAX(E1339:E1339)=MIN(E1339:E1339)</f>
        <v>1</v>
      </c>
    </row>
    <row r="1340" spans="2:7" ht="11.25">
      <c r="C1340" t="s">
        <v>1715</v>
      </c>
      <c r="E1340" s="87">
        <f>(decV1H3Dev+decV2H3Dev+decV3H3Dev)*paramH3PctCostReducPerHCompLvl</f>
        <v>0</v>
      </c>
      <c r="G1340" t="b">
        <f>MAX(E1340:E1340)=MIN(E1340:E1340)</f>
        <v>1</v>
      </c>
    </row>
    <row r="1341" spans="2:7" ht="11.25">
      <c r="C1341" t="s">
        <v>2558</v>
      </c>
      <c r="E1341" s="64">
        <f>capBusBGenOpsPctCostReduce</f>
        <v>3.7559972464384347E-2</v>
      </c>
      <c r="G1341" t="b">
        <f>MAX(E1341:E1341)=MIN(E1341:E1341)</f>
        <v>1</v>
      </c>
    </row>
    <row r="1342" spans="2:7" ht="11.25">
      <c r="C1342" t="s">
        <v>1718</v>
      </c>
      <c r="E1342" s="64">
        <f>paramSpecProgramBPOV1CostReducPct+paramSpecProgramBPOH3CostReducPct</f>
        <v>0</v>
      </c>
      <c r="G1342" t="b">
        <f>MAX(E1342:E1342)=MIN(E1342:E1342)</f>
        <v>1</v>
      </c>
    </row>
    <row r="1343" spans="2:7" ht="11.25">
      <c r="C1343" t="s">
        <v>2797</v>
      </c>
      <c r="E1343" s="64">
        <f>IF(xxYear=1,DataTableBid3COSReducPursuit,0)</f>
        <v>0</v>
      </c>
      <c r="G1343" t="b">
        <f>MAX(E1343:E1343)=MIN(E1343:E1343)</f>
        <v>1</v>
      </c>
    </row>
    <row r="1344" spans="2:7" ht="11.25">
      <c r="C1344" t="s">
        <v>3563</v>
      </c>
      <c r="E1344" s="171">
        <v>1</v>
      </c>
      <c r="G1344" t="b">
        <f>MAX(E1344:E1344)=MIN(E1344:E1344)</f>
        <v>1</v>
      </c>
    </row>
    <row r="1345" spans="2:7" ht="11.25">
      <c r="C1345" t="s">
        <v>1719</v>
      </c>
      <c r="E1345" s="324">
        <f>E1338-E1338*(E1344*(E1339+E1340+E1341+E1342+E1343))</f>
        <v>0</v>
      </c>
      <c r="F1345" t="s">
        <v>3113</v>
      </c>
      <c r="G1345" t="b">
        <f>MAX(E1345:E1345)=MIN(E1345:E1345)</f>
        <v>1</v>
      </c>
    </row>
    <row r="1346" spans="2:7" ht="11.25">
      <c r="B1346" t="s">
        <v>2560</v>
      </c>
      <c r="G1346" t="b">
        <f>MAX(E1346:E1346)=MIN(E1346:E1346)</f>
        <v>1</v>
      </c>
    </row>
    <row r="1347" spans="2:7" ht="11.25">
      <c r="C1347" t="s">
        <v>1702</v>
      </c>
      <c r="E1347" s="324">
        <f>obalY1V2H1COSRealized</f>
        <v>0</v>
      </c>
      <c r="G1347" t="b">
        <f>MAX(E1347:E1347)=MIN(E1347:E1347)</f>
        <v>1</v>
      </c>
    </row>
    <row r="1348" spans="2:7" ht="11.25">
      <c r="C1348" t="s">
        <v>1714</v>
      </c>
      <c r="E1348" s="87">
        <f>(decV2H1Dev+decV2H2Dev+decV2H3Dev)*paramV2PctCostReducPerVCompLvl</f>
        <v>0</v>
      </c>
      <c r="G1348" t="b">
        <f>MAX(E1348:E1348)=MIN(E1348:E1348)</f>
        <v>1</v>
      </c>
    </row>
    <row r="1349" spans="2:7" ht="11.25">
      <c r="C1349" t="s">
        <v>1715</v>
      </c>
      <c r="E1349" s="87">
        <f>(decV1H1Dev+decV2H1Dev+decV3H1Dev)*paramH1PctCostReducPerHCompLvl</f>
        <v>0</v>
      </c>
      <c r="G1349" t="b">
        <f>MAX(E1349:E1349)=MIN(E1349:E1349)</f>
        <v>1</v>
      </c>
    </row>
    <row r="1350" spans="2:7" ht="11.25">
      <c r="C1350" t="s">
        <v>2558</v>
      </c>
      <c r="E1350" s="64">
        <f>capBusBGenOpsPctCostReduce</f>
        <v>3.7559972464384347E-2</v>
      </c>
      <c r="G1350" t="b">
        <f>MAX(E1350:E1350)=MIN(E1350:E1350)</f>
        <v>1</v>
      </c>
    </row>
    <row r="1351" spans="2:7" ht="11.25">
      <c r="C1351" t="s">
        <v>1718</v>
      </c>
      <c r="E1351" s="64">
        <f>paramSpecProgramBPOV2CostReducPct+paramSpecProgramBPOH1CostReducPct</f>
        <v>0</v>
      </c>
      <c r="G1351" t="b">
        <f>MAX(E1351:E1351)=MIN(E1351:E1351)</f>
        <v>1</v>
      </c>
    </row>
    <row r="1352" spans="2:7" ht="11.25">
      <c r="C1352" t="s">
        <v>2797</v>
      </c>
      <c r="E1352" s="64">
        <f>IF(xxYear=1,DataTableBid4COSReducPursuit,0)</f>
        <v>0</v>
      </c>
      <c r="G1352" t="b">
        <f>MAX(E1352:E1352)=MIN(E1352:E1352)</f>
        <v>1</v>
      </c>
    </row>
    <row r="1353" spans="2:7" ht="11.25">
      <c r="C1353" t="s">
        <v>3563</v>
      </c>
      <c r="E1353" s="171">
        <v>1</v>
      </c>
      <c r="G1353" t="b">
        <f>MAX(E1353:E1353)=MIN(E1353:E1353)</f>
        <v>1</v>
      </c>
    </row>
    <row r="1354" spans="2:7" ht="11.25">
      <c r="C1354" t="s">
        <v>1719</v>
      </c>
      <c r="E1354" s="324">
        <f>E1347-E1347*(E1353*(E1348+E1349+E1350+E1351+E1352))</f>
        <v>0</v>
      </c>
      <c r="F1354" t="s">
        <v>3114</v>
      </c>
      <c r="G1354" t="b">
        <f>MAX(E1354:E1354)=MIN(E1354:E1354)</f>
        <v>1</v>
      </c>
    </row>
    <row r="1355" spans="2:7" ht="11.25">
      <c r="B1355" t="s">
        <v>2561</v>
      </c>
      <c r="G1355" t="b">
        <f>MAX(E1355:E1355)=MIN(E1355:E1355)</f>
        <v>1</v>
      </c>
    </row>
    <row r="1356" spans="2:7" ht="11.25">
      <c r="C1356" t="s">
        <v>1702</v>
      </c>
      <c r="E1356" s="324">
        <f>obalY1V2H2COSRealized</f>
        <v>0</v>
      </c>
      <c r="G1356" t="b">
        <f>MAX(E1356:E1356)=MIN(E1356:E1356)</f>
        <v>1</v>
      </c>
    </row>
    <row r="1357" spans="2:7" ht="11.25">
      <c r="C1357" t="s">
        <v>1714</v>
      </c>
      <c r="E1357" s="87">
        <f>(decV2H1Dev+decV2H2Dev+decV2H3Dev)*paramV2PctCostReducPerVCompLvl</f>
        <v>0</v>
      </c>
      <c r="G1357" t="b">
        <f>MAX(E1357:E1357)=MIN(E1357:E1357)</f>
        <v>1</v>
      </c>
    </row>
    <row r="1358" spans="2:7" ht="11.25">
      <c r="C1358" t="s">
        <v>1715</v>
      </c>
      <c r="E1358" s="87">
        <f>(decV1H2Dev+decV2H2Dev+decV3H2Dev)*paramH2PctCostReducPerHCompLvl</f>
        <v>0</v>
      </c>
      <c r="G1358" t="b">
        <f>MAX(E1358:E1358)=MIN(E1358:E1358)</f>
        <v>1</v>
      </c>
    </row>
    <row r="1359" spans="2:7" ht="11.25">
      <c r="C1359" t="s">
        <v>2558</v>
      </c>
      <c r="E1359" s="64">
        <f>capBusBGenOpsPctCostReduce</f>
        <v>3.7559972464384347E-2</v>
      </c>
      <c r="G1359" t="b">
        <f>MAX(E1359:E1359)=MIN(E1359:E1359)</f>
        <v>1</v>
      </c>
    </row>
    <row r="1360" spans="2:7" ht="11.25">
      <c r="C1360" t="s">
        <v>1718</v>
      </c>
      <c r="E1360" s="64">
        <f>paramSpecProgramBPOV2CostReducPct+paramSpecProgramBPOH2CostReducPct</f>
        <v>0</v>
      </c>
      <c r="G1360" t="b">
        <f>MAX(E1360:E1360)=MIN(E1360:E1360)</f>
        <v>1</v>
      </c>
    </row>
    <row r="1361" spans="2:7" ht="11.25">
      <c r="C1361" t="s">
        <v>2797</v>
      </c>
      <c r="E1361" s="64">
        <f>IF(xxYear=1,DataTableBid5COSReducPursuit,0)</f>
        <v>0</v>
      </c>
      <c r="G1361" t="b">
        <f>MAX(E1361:E1361)=MIN(E1361:E1361)</f>
        <v>1</v>
      </c>
    </row>
    <row r="1362" spans="2:7" ht="11.25">
      <c r="C1362" t="s">
        <v>3563</v>
      </c>
      <c r="E1362" s="171">
        <v>1</v>
      </c>
      <c r="G1362" t="b">
        <f>MAX(E1362:E1362)=MIN(E1362:E1362)</f>
        <v>1</v>
      </c>
    </row>
    <row r="1363" spans="2:7" ht="11.25">
      <c r="C1363" t="s">
        <v>1719</v>
      </c>
      <c r="E1363" s="324">
        <f>E1356-E1356*(E1362*(E1357+E1358+E1359+E1360+E1361))</f>
        <v>0</v>
      </c>
      <c r="F1363" t="s">
        <v>3915</v>
      </c>
      <c r="G1363" t="b">
        <f>MAX(E1363:E1363)=MIN(E1363:E1363)</f>
        <v>1</v>
      </c>
    </row>
    <row r="1364" spans="2:7" ht="11.25">
      <c r="B1364" t="s">
        <v>2562</v>
      </c>
      <c r="G1364" t="b">
        <f>MAX(E1364:E1364)=MIN(E1364:E1364)</f>
        <v>1</v>
      </c>
    </row>
    <row r="1365" spans="2:7" ht="11.25">
      <c r="C1365" t="s">
        <v>1702</v>
      </c>
      <c r="E1365" s="324">
        <f>obalY1V2H3COSRealized</f>
        <v>0</v>
      </c>
      <c r="G1365" t="b">
        <f>MAX(E1365:E1365)=MIN(E1365:E1365)</f>
        <v>1</v>
      </c>
    </row>
    <row r="1366" spans="2:7" ht="11.25">
      <c r="C1366" t="s">
        <v>1714</v>
      </c>
      <c r="E1366" s="87">
        <f>(decV2H1Dev+decV2H2Dev+decV2H3Dev)*paramV2PctCostReducPerVCompLvl</f>
        <v>0</v>
      </c>
      <c r="G1366" t="b">
        <f>MAX(E1366:E1366)=MIN(E1366:E1366)</f>
        <v>1</v>
      </c>
    </row>
    <row r="1367" spans="2:7" ht="11.25">
      <c r="C1367" t="s">
        <v>1715</v>
      </c>
      <c r="E1367" s="87">
        <f>(decV1H3Dev+decV2H3Dev+decV3H3Dev)*paramH3PctCostReducPerHCompLvl</f>
        <v>0</v>
      </c>
      <c r="G1367" t="b">
        <f>MAX(E1367:E1367)=MIN(E1367:E1367)</f>
        <v>1</v>
      </c>
    </row>
    <row r="1368" spans="2:7" ht="11.25">
      <c r="C1368" t="s">
        <v>2558</v>
      </c>
      <c r="E1368" s="64">
        <f>capBusBGenOpsPctCostReduce</f>
        <v>3.7559972464384347E-2</v>
      </c>
      <c r="G1368" t="b">
        <f>MAX(E1368:E1368)=MIN(E1368:E1368)</f>
        <v>1</v>
      </c>
    </row>
    <row r="1369" spans="2:7" ht="11.25">
      <c r="C1369" t="s">
        <v>1718</v>
      </c>
      <c r="E1369" s="64">
        <f>paramSpecProgramBPOV2CostReducPct+paramSpecProgramBPOH3CostReducPct</f>
        <v>0</v>
      </c>
      <c r="G1369" t="b">
        <f>MAX(E1369:E1369)=MIN(E1369:E1369)</f>
        <v>1</v>
      </c>
    </row>
    <row r="1370" spans="2:7" ht="11.25">
      <c r="C1370" t="s">
        <v>2797</v>
      </c>
      <c r="E1370" s="64">
        <f>IF(xxYear=1,DataTableBid6COSReducPursuit,0)</f>
        <v>0</v>
      </c>
      <c r="G1370" t="b">
        <f>MAX(E1370:E1370)=MIN(E1370:E1370)</f>
        <v>1</v>
      </c>
    </row>
    <row r="1371" spans="2:7" ht="11.25">
      <c r="C1371" t="s">
        <v>3563</v>
      </c>
      <c r="E1371" s="171">
        <v>1</v>
      </c>
      <c r="G1371" t="b">
        <f>MAX(E1371:E1371)=MIN(E1371:E1371)</f>
        <v>1</v>
      </c>
    </row>
    <row r="1372" spans="2:7" ht="11.25">
      <c r="C1372" t="s">
        <v>1719</v>
      </c>
      <c r="E1372" s="324">
        <f>E1365-E1365*(E1371*(E1366+E1367+E1368+E1369+E1370))</f>
        <v>0</v>
      </c>
      <c r="F1372" t="s">
        <v>3916</v>
      </c>
      <c r="G1372" t="b">
        <f>MAX(E1372:E1372)=MIN(E1372:E1372)</f>
        <v>1</v>
      </c>
    </row>
    <row r="1373" spans="2:7" ht="11.25">
      <c r="B1373" t="s">
        <v>2563</v>
      </c>
      <c r="G1373" t="b">
        <f>MAX(E1373:E1373)=MIN(E1373:E1373)</f>
        <v>1</v>
      </c>
    </row>
    <row r="1374" spans="2:7" ht="11.25">
      <c r="C1374" t="s">
        <v>1702</v>
      </c>
      <c r="E1374" s="324">
        <f>obalY1V3H1COSRealized</f>
        <v>0</v>
      </c>
      <c r="G1374" t="b">
        <f>MAX(E1374:E1374)=MIN(E1374:E1374)</f>
        <v>1</v>
      </c>
    </row>
    <row r="1375" spans="2:7" ht="11.25">
      <c r="C1375" t="s">
        <v>1714</v>
      </c>
      <c r="E1375" s="87">
        <f>(decV3H1Dev+decV3H2Dev+decV3H3Dev)*paramV3PctCostReducPerVCompLvl</f>
        <v>0</v>
      </c>
      <c r="G1375" t="b">
        <f>MAX(E1375:E1375)=MIN(E1375:E1375)</f>
        <v>1</v>
      </c>
    </row>
    <row r="1376" spans="2:7" ht="11.25">
      <c r="C1376" t="s">
        <v>1715</v>
      </c>
      <c r="E1376" s="87">
        <f>(decV1H1Dev+decV2H1Dev+decV3H1Dev)*paramH1PctCostReducPerHCompLvl</f>
        <v>0</v>
      </c>
      <c r="G1376" t="b">
        <f>MAX(E1376:E1376)=MIN(E1376:E1376)</f>
        <v>1</v>
      </c>
    </row>
    <row r="1377" spans="2:7" ht="11.25">
      <c r="C1377" t="s">
        <v>2558</v>
      </c>
      <c r="E1377" s="64">
        <f>capBusBGenOpsPctCostReduce</f>
        <v>3.7559972464384347E-2</v>
      </c>
      <c r="G1377" t="b">
        <f>MAX(E1377:E1377)=MIN(E1377:E1377)</f>
        <v>1</v>
      </c>
    </row>
    <row r="1378" spans="2:7" ht="11.25">
      <c r="C1378" t="s">
        <v>1718</v>
      </c>
      <c r="E1378" s="64">
        <f>paramSpecProgramBPOV3CostReducPct+paramSpecProgramBPOH1CostReducPct</f>
        <v>0</v>
      </c>
      <c r="G1378" t="b">
        <f>MAX(E1378:E1378)=MIN(E1378:E1378)</f>
        <v>1</v>
      </c>
    </row>
    <row r="1379" spans="2:7" ht="11.25">
      <c r="C1379" t="s">
        <v>2797</v>
      </c>
      <c r="E1379" s="64">
        <f>IF(xxYear=1,DataTableBid7COSReducPursuit,0)</f>
        <v>0</v>
      </c>
      <c r="G1379" t="b">
        <f>MAX(E1379:E1379)=MIN(E1379:E1379)</f>
        <v>1</v>
      </c>
    </row>
    <row r="1380" spans="2:7" ht="11.25">
      <c r="C1380" t="s">
        <v>3563</v>
      </c>
      <c r="E1380" s="171">
        <v>1</v>
      </c>
      <c r="G1380" t="b">
        <f>MAX(E1380:E1380)=MIN(E1380:E1380)</f>
        <v>1</v>
      </c>
    </row>
    <row r="1381" spans="2:7" ht="11.25">
      <c r="C1381" t="s">
        <v>1719</v>
      </c>
      <c r="E1381" s="324">
        <f>E1374-E1374*(E1380*(E1375+E1376+E1377+E1378+E1379))</f>
        <v>0</v>
      </c>
      <c r="F1381" t="s">
        <v>3917</v>
      </c>
      <c r="G1381" t="b">
        <f>MAX(E1381:E1381)=MIN(E1381:E1381)</f>
        <v>1</v>
      </c>
    </row>
    <row r="1382" spans="2:7" ht="11.25">
      <c r="B1382" t="s">
        <v>2564</v>
      </c>
      <c r="G1382" t="b">
        <f>MAX(E1382:E1382)=MIN(E1382:E1382)</f>
        <v>1</v>
      </c>
    </row>
    <row r="1383" spans="2:7" ht="11.25">
      <c r="C1383" t="s">
        <v>1702</v>
      </c>
      <c r="E1383" s="324">
        <f>obalY1V3H2COSRealized</f>
        <v>0</v>
      </c>
      <c r="G1383" t="b">
        <f>MAX(E1383:E1383)=MIN(E1383:E1383)</f>
        <v>1</v>
      </c>
    </row>
    <row r="1384" spans="2:7" ht="11.25">
      <c r="C1384" t="s">
        <v>1714</v>
      </c>
      <c r="E1384" s="87">
        <f>(decV3H1Dev+decV3H2Dev+decV3H3Dev)*paramV3PctCostReducPerVCompLvl</f>
        <v>0</v>
      </c>
      <c r="G1384" t="b">
        <f>MAX(E1384:E1384)=MIN(E1384:E1384)</f>
        <v>1</v>
      </c>
    </row>
    <row r="1385" spans="2:7" ht="11.25">
      <c r="C1385" t="s">
        <v>1715</v>
      </c>
      <c r="E1385" s="87">
        <f>(decV1H2Dev+decV2H2Dev+decV3H2Dev)*paramH2PctCostReducPerHCompLvl</f>
        <v>0</v>
      </c>
      <c r="G1385" t="b">
        <f>MAX(E1385:E1385)=MIN(E1385:E1385)</f>
        <v>1</v>
      </c>
    </row>
    <row r="1386" spans="2:7" ht="11.25">
      <c r="C1386" t="s">
        <v>2558</v>
      </c>
      <c r="E1386" s="64">
        <f>capBusBGenOpsPctCostReduce</f>
        <v>3.7559972464384347E-2</v>
      </c>
      <c r="G1386" t="b">
        <f>MAX(E1386:E1386)=MIN(E1386:E1386)</f>
        <v>1</v>
      </c>
    </row>
    <row r="1387" spans="2:7" ht="11.25">
      <c r="C1387" t="s">
        <v>1718</v>
      </c>
      <c r="E1387" s="64">
        <f>paramSpecProgramBPOV3CostReducPct+paramSpecProgramBPOH2CostReducPct</f>
        <v>0</v>
      </c>
      <c r="G1387" t="b">
        <f>MAX(E1387:E1387)=MIN(E1387:E1387)</f>
        <v>1</v>
      </c>
    </row>
    <row r="1388" spans="2:7" ht="11.25">
      <c r="C1388" t="s">
        <v>2797</v>
      </c>
      <c r="E1388" s="64">
        <f>IF(xxYear=1,DataTableBid8COSReducPursuit,0)</f>
        <v>0</v>
      </c>
      <c r="G1388" t="b">
        <f>MAX(E1388:E1388)=MIN(E1388:E1388)</f>
        <v>1</v>
      </c>
    </row>
    <row r="1389" spans="2:7" ht="11.25">
      <c r="C1389" t="s">
        <v>3563</v>
      </c>
      <c r="E1389" s="171">
        <v>1</v>
      </c>
      <c r="G1389" t="b">
        <f>MAX(E1389:E1389)=MIN(E1389:E1389)</f>
        <v>1</v>
      </c>
    </row>
    <row r="1390" spans="2:7" ht="11.25">
      <c r="C1390" t="s">
        <v>1719</v>
      </c>
      <c r="E1390" s="324">
        <f>E1383-E1383*(E1389*(E1384+E1385+E1386+E1387+E1388))</f>
        <v>0</v>
      </c>
      <c r="F1390" t="s">
        <v>3918</v>
      </c>
      <c r="G1390" t="b">
        <f>MAX(E1390:E1390)=MIN(E1390:E1390)</f>
        <v>1</v>
      </c>
    </row>
    <row r="1391" spans="2:7" ht="11.25">
      <c r="B1391" t="s">
        <v>2565</v>
      </c>
      <c r="G1391" t="b">
        <f>MAX(E1391:E1391)=MIN(E1391:E1391)</f>
        <v>1</v>
      </c>
    </row>
    <row r="1392" spans="2:7" ht="11.25">
      <c r="C1392" t="s">
        <v>1702</v>
      </c>
      <c r="E1392" s="324">
        <f>obalY1V3H3COSRealized</f>
        <v>0</v>
      </c>
      <c r="G1392" t="b">
        <f>MAX(E1392:E1392)=MIN(E1392:E1392)</f>
        <v>1</v>
      </c>
    </row>
    <row r="1393" spans="1:7" ht="11.25">
      <c r="C1393" t="s">
        <v>1714</v>
      </c>
      <c r="E1393" s="87">
        <f>(decV3H1Dev+decV3H2Dev+decV3H3Dev)*paramV3PctCostReducPerVCompLvl</f>
        <v>0</v>
      </c>
      <c r="G1393" t="b">
        <f>MAX(E1393:E1393)=MIN(E1393:E1393)</f>
        <v>1</v>
      </c>
    </row>
    <row r="1394" spans="1:7" ht="11.25">
      <c r="C1394" t="s">
        <v>1715</v>
      </c>
      <c r="E1394" s="87">
        <f>(decV1H3Dev+decV2H3Dev+decV3H3Dev)*paramH3PctCostReducPerHCompLvl</f>
        <v>0</v>
      </c>
      <c r="G1394" t="b">
        <f>MAX(E1394:E1394)=MIN(E1394:E1394)</f>
        <v>1</v>
      </c>
    </row>
    <row r="1395" spans="1:7" ht="11.25">
      <c r="C1395" t="s">
        <v>2558</v>
      </c>
      <c r="E1395" s="64">
        <f>capBusBGenOpsPctCostReduce</f>
        <v>3.7559972464384347E-2</v>
      </c>
      <c r="G1395" t="b">
        <f>MAX(E1395:E1395)=MIN(E1395:E1395)</f>
        <v>1</v>
      </c>
    </row>
    <row r="1396" spans="1:7" ht="11.25">
      <c r="C1396" t="s">
        <v>1718</v>
      </c>
      <c r="E1396" s="64">
        <f>paramSpecProgramBPOV3CostReducPct+paramSpecProgramBPOH3CostReducPct</f>
        <v>0</v>
      </c>
      <c r="G1396" t="b">
        <f>MAX(E1396:E1396)=MIN(E1396:E1396)</f>
        <v>1</v>
      </c>
    </row>
    <row r="1397" spans="1:7" ht="11.25">
      <c r="C1397" t="s">
        <v>2797</v>
      </c>
      <c r="E1397" s="64">
        <f>IF(xxYear=1,DataTableBid9COSReducPursuit,0)</f>
        <v>0</v>
      </c>
      <c r="G1397" t="b">
        <f>MAX(E1397:E1397)=MIN(E1397:E1397)</f>
        <v>1</v>
      </c>
    </row>
    <row r="1398" spans="1:7" ht="11.25">
      <c r="C1398" t="s">
        <v>3563</v>
      </c>
      <c r="E1398" s="171">
        <v>1</v>
      </c>
      <c r="G1398" t="b">
        <f>MAX(E1398:E1398)=MIN(E1398:E1398)</f>
        <v>1</v>
      </c>
    </row>
    <row r="1399" spans="1:7" ht="11.25">
      <c r="C1399" t="s">
        <v>1719</v>
      </c>
      <c r="E1399" s="324">
        <f>E1392-E1392*(E1398*(E1393+E1394+E1395+E1396+E1397))</f>
        <v>0</v>
      </c>
      <c r="F1399" t="s">
        <v>3919</v>
      </c>
      <c r="G1399" t="b">
        <f>MAX(E1399:E1399)=MIN(E1399:E1399)</f>
        <v>1</v>
      </c>
    </row>
    <row r="1400" spans="1:7" ht="11.25">
      <c r="A1400" s="2" t="s">
        <v>2017</v>
      </c>
      <c r="G1400" t="b">
        <f>MAX(E1400:E1400)=MIN(E1400:E1400)</f>
        <v>1</v>
      </c>
    </row>
    <row r="1401" spans="1:7" ht="11.25">
      <c r="B1401" t="s">
        <v>2566</v>
      </c>
      <c r="G1401" t="b">
        <f>MAX(E1401:E1401)=MIN(E1401:E1401)</f>
        <v>1</v>
      </c>
    </row>
    <row r="1402" spans="1:7" ht="11.25">
      <c r="C1402" t="s">
        <v>1702</v>
      </c>
      <c r="E1402" s="324">
        <f>obalY2V1H1COSRealized</f>
        <v>0</v>
      </c>
      <c r="G1402" t="b">
        <f>MAX(E1402:E1402)=MIN(E1402:E1402)</f>
        <v>1</v>
      </c>
    </row>
    <row r="1403" spans="1:7" ht="11.25">
      <c r="C1403" t="s">
        <v>1714</v>
      </c>
      <c r="E1403" s="87">
        <f>(decV1H1Dev+decV1H2Dev+decV1H3Dev)*paramV1PctCostReducPerVCompLvl</f>
        <v>0</v>
      </c>
      <c r="G1403" t="b">
        <f>MAX(E1403:E1403)=MIN(E1403:E1403)</f>
        <v>1</v>
      </c>
    </row>
    <row r="1404" spans="1:7" ht="11.25">
      <c r="C1404" t="s">
        <v>1715</v>
      </c>
      <c r="E1404" s="87">
        <f>(decV1H1Dev+decV2H1Dev+decV3H1Dev)*paramH1PctCostReducPerHCompLvl</f>
        <v>0</v>
      </c>
      <c r="G1404" t="b">
        <f>MAX(E1404:E1404)=MIN(E1404:E1404)</f>
        <v>1</v>
      </c>
    </row>
    <row r="1405" spans="1:7" ht="11.25">
      <c r="C1405" t="s">
        <v>2558</v>
      </c>
      <c r="E1405" s="64">
        <f>capBusBGenOpsPctCostReduce</f>
        <v>3.7559972464384347E-2</v>
      </c>
      <c r="G1405" t="b">
        <f>MAX(E1405:E1405)=MIN(E1405:E1405)</f>
        <v>1</v>
      </c>
    </row>
    <row r="1406" spans="1:7" ht="11.25">
      <c r="C1406" t="s">
        <v>1718</v>
      </c>
      <c r="E1406" s="64">
        <f>paramSpecProgramBPOV1CostReducPct+paramSpecProgramBPOH1CostReducPct</f>
        <v>0</v>
      </c>
      <c r="G1406" t="b">
        <f>MAX(E1406:E1406)=MIN(E1406:E1406)</f>
        <v>1</v>
      </c>
    </row>
    <row r="1407" spans="1:7" ht="11.25">
      <c r="C1407" t="s">
        <v>2797</v>
      </c>
      <c r="E1407" s="64">
        <f>IF(xxYear=2,DataTableBid1COSReducPursuit,0)</f>
        <v>0</v>
      </c>
      <c r="G1407" t="b">
        <f>MAX(E1407:E1407)=MIN(E1407:E1407)</f>
        <v>1</v>
      </c>
    </row>
    <row r="1408" spans="1:7" ht="11.25">
      <c r="C1408" t="s">
        <v>3563</v>
      </c>
      <c r="E1408" s="171">
        <v>1</v>
      </c>
      <c r="G1408" t="b">
        <f>MAX(E1408:E1408)=MIN(E1408:E1408)</f>
        <v>1</v>
      </c>
    </row>
    <row r="1409" spans="2:7" ht="11.25">
      <c r="C1409" t="s">
        <v>1719</v>
      </c>
      <c r="E1409" s="324">
        <f>E1402-E1402*(E1408*(E1403+E1404+E1405+E1406+E1407))</f>
        <v>0</v>
      </c>
      <c r="F1409" t="s">
        <v>3920</v>
      </c>
      <c r="G1409" t="b">
        <f>MAX(E1409:E1409)=MIN(E1409:E1409)</f>
        <v>1</v>
      </c>
    </row>
    <row r="1410" spans="2:7" ht="11.25">
      <c r="B1410" t="s">
        <v>2567</v>
      </c>
      <c r="G1410" t="b">
        <f>MAX(E1410:E1410)=MIN(E1410:E1410)</f>
        <v>1</v>
      </c>
    </row>
    <row r="1411" spans="2:7" ht="11.25">
      <c r="C1411" t="s">
        <v>1702</v>
      </c>
      <c r="E1411" s="324">
        <f>obalY2V1H2COSRealized</f>
        <v>0</v>
      </c>
      <c r="G1411" t="b">
        <f>MAX(E1411:E1411)=MIN(E1411:E1411)</f>
        <v>1</v>
      </c>
    </row>
    <row r="1412" spans="2:7" ht="11.25">
      <c r="C1412" t="s">
        <v>1714</v>
      </c>
      <c r="E1412" s="87">
        <f>(decV1H2Dev+decV1H2Dev+decV1H3Dev)*paramV1PctCostReducPerVCompLvl</f>
        <v>0</v>
      </c>
      <c r="G1412" t="b">
        <f>MAX(E1412:E1412)=MIN(E1412:E1412)</f>
        <v>1</v>
      </c>
    </row>
    <row r="1413" spans="2:7" ht="11.25">
      <c r="C1413" t="s">
        <v>1715</v>
      </c>
      <c r="E1413" s="87">
        <f>(decV1H2Dev+decV2H2Dev+decV3H2Dev)*paramH2PctCostReducPerHCompLvl</f>
        <v>0</v>
      </c>
      <c r="G1413" t="b">
        <f>MAX(E1413:E1413)=MIN(E1413:E1413)</f>
        <v>1</v>
      </c>
    </row>
    <row r="1414" spans="2:7" ht="11.25">
      <c r="C1414" t="s">
        <v>2558</v>
      </c>
      <c r="E1414" s="64">
        <f>capBusBGenOpsPctCostReduce</f>
        <v>3.7559972464384347E-2</v>
      </c>
      <c r="G1414" t="b">
        <f>MAX(E1414:E1414)=MIN(E1414:E1414)</f>
        <v>1</v>
      </c>
    </row>
    <row r="1415" spans="2:7" ht="11.25">
      <c r="C1415" t="s">
        <v>1718</v>
      </c>
      <c r="E1415" s="64">
        <f>paramSpecProgramBPOV1CostReducPct+paramSpecProgramBPOH2CostReducPct</f>
        <v>0</v>
      </c>
      <c r="G1415" t="b">
        <f>MAX(E1415:E1415)=MIN(E1415:E1415)</f>
        <v>1</v>
      </c>
    </row>
    <row r="1416" spans="2:7" ht="11.25">
      <c r="C1416" t="s">
        <v>2797</v>
      </c>
      <c r="E1416" s="64">
        <f>IF(xxYear=2,DataTableBid2COSReducPursuit,0)</f>
        <v>0</v>
      </c>
      <c r="G1416" t="b">
        <f>MAX(E1416:E1416)=MIN(E1416:E1416)</f>
        <v>1</v>
      </c>
    </row>
    <row r="1417" spans="2:7" ht="11.25">
      <c r="C1417" t="s">
        <v>3563</v>
      </c>
      <c r="E1417" s="171">
        <v>1</v>
      </c>
      <c r="G1417" t="b">
        <f>MAX(E1417:E1417)=MIN(E1417:E1417)</f>
        <v>1</v>
      </c>
    </row>
    <row r="1418" spans="2:7" ht="11.25">
      <c r="C1418" t="s">
        <v>1719</v>
      </c>
      <c r="E1418" s="324">
        <f>E1411-E1411*(E1417*(E1412+E1413+E1414+E1415+E1416))</f>
        <v>0</v>
      </c>
      <c r="F1418" t="s">
        <v>3921</v>
      </c>
      <c r="G1418" t="b">
        <f>MAX(E1418:E1418)=MIN(E1418:E1418)</f>
        <v>1</v>
      </c>
    </row>
    <row r="1419" spans="2:7" ht="11.25">
      <c r="B1419" t="s">
        <v>2568</v>
      </c>
      <c r="G1419" t="b">
        <f>MAX(E1419:E1419)=MIN(E1419:E1419)</f>
        <v>1</v>
      </c>
    </row>
    <row r="1420" spans="2:7" ht="11.25">
      <c r="C1420" t="s">
        <v>1702</v>
      </c>
      <c r="E1420" s="324">
        <f>obalY2V1H3COSRealized</f>
        <v>0</v>
      </c>
      <c r="G1420" t="b">
        <f>MAX(E1420:E1420)=MIN(E1420:E1420)</f>
        <v>1</v>
      </c>
    </row>
    <row r="1421" spans="2:7" ht="11.25">
      <c r="C1421" t="s">
        <v>1714</v>
      </c>
      <c r="E1421" s="87">
        <f>(decV1H1Dev+decV1H2Dev+decV1H3Dev)*paramV1PctCostReducPerVCompLvl</f>
        <v>0</v>
      </c>
      <c r="G1421" t="b">
        <f>MAX(E1421:E1421)=MIN(E1421:E1421)</f>
        <v>1</v>
      </c>
    </row>
    <row r="1422" spans="2:7" ht="11.25">
      <c r="C1422" t="s">
        <v>1715</v>
      </c>
      <c r="E1422" s="87">
        <f>(decV1H3Dev+decV2H3Dev+decV3H3Dev)*paramH3PctCostReducPerHCompLvl</f>
        <v>0</v>
      </c>
      <c r="G1422" t="b">
        <f>MAX(E1422:E1422)=MIN(E1422:E1422)</f>
        <v>1</v>
      </c>
    </row>
    <row r="1423" spans="2:7" ht="11.25">
      <c r="C1423" t="s">
        <v>2558</v>
      </c>
      <c r="E1423" s="64">
        <f>capBusBGenOpsPctCostReduce</f>
        <v>3.7559972464384347E-2</v>
      </c>
      <c r="G1423" t="b">
        <f>MAX(E1423:E1423)=MIN(E1423:E1423)</f>
        <v>1</v>
      </c>
    </row>
    <row r="1424" spans="2:7" ht="11.25">
      <c r="C1424" t="s">
        <v>1718</v>
      </c>
      <c r="E1424" s="64">
        <f>paramSpecProgramBPOV1CostReducPct+paramSpecProgramBPOH3CostReducPct</f>
        <v>0</v>
      </c>
      <c r="G1424" t="b">
        <f>MAX(E1424:E1424)=MIN(E1424:E1424)</f>
        <v>1</v>
      </c>
    </row>
    <row r="1425" spans="2:7" ht="11.25">
      <c r="C1425" t="s">
        <v>2797</v>
      </c>
      <c r="E1425" s="64">
        <f>IF(xxYear=2,DataTableBid3COSReducPursuit,0)</f>
        <v>0</v>
      </c>
      <c r="G1425" t="b">
        <f>MAX(E1425:E1425)=MIN(E1425:E1425)</f>
        <v>1</v>
      </c>
    </row>
    <row r="1426" spans="2:7" ht="11.25">
      <c r="C1426" t="s">
        <v>3563</v>
      </c>
      <c r="E1426" s="171">
        <v>1</v>
      </c>
      <c r="G1426" t="b">
        <f>MAX(E1426:E1426)=MIN(E1426:E1426)</f>
        <v>1</v>
      </c>
    </row>
    <row r="1427" spans="2:7" ht="11.25">
      <c r="C1427" t="s">
        <v>1719</v>
      </c>
      <c r="E1427" s="324">
        <f>E1420-E1420*(E1426*(E1421+E1422+E1423+E1424+E1425))</f>
        <v>0</v>
      </c>
      <c r="F1427" t="s">
        <v>3922</v>
      </c>
      <c r="G1427" t="b">
        <f>MAX(E1427:E1427)=MIN(E1427:E1427)</f>
        <v>1</v>
      </c>
    </row>
    <row r="1428" spans="2:7" ht="11.25">
      <c r="B1428" t="s">
        <v>2128</v>
      </c>
      <c r="G1428" t="b">
        <f>MAX(E1428:E1428)=MIN(E1428:E1428)</f>
        <v>1</v>
      </c>
    </row>
    <row r="1429" spans="2:7" ht="11.25">
      <c r="C1429" t="s">
        <v>1702</v>
      </c>
      <c r="E1429" s="324">
        <f>obalY2V2H1COSRealized</f>
        <v>0</v>
      </c>
      <c r="G1429" t="b">
        <f>MAX(E1429:E1429)=MIN(E1429:E1429)</f>
        <v>1</v>
      </c>
    </row>
    <row r="1430" spans="2:7" ht="11.25">
      <c r="C1430" t="s">
        <v>1714</v>
      </c>
      <c r="E1430" s="87">
        <f>(decV2H1Dev+decV2H2Dev+decV2H3Dev)*paramV2PctCostReducPerVCompLvl</f>
        <v>0</v>
      </c>
      <c r="G1430" t="b">
        <f>MAX(E1430:E1430)=MIN(E1430:E1430)</f>
        <v>1</v>
      </c>
    </row>
    <row r="1431" spans="2:7" ht="11.25">
      <c r="C1431" t="s">
        <v>1715</v>
      </c>
      <c r="E1431" s="87">
        <f>(decV1H1Dev+decV2H1Dev+decV3H1Dev)*paramH1PctCostReducPerHCompLvl</f>
        <v>0</v>
      </c>
      <c r="G1431" t="b">
        <f>MAX(E1431:E1431)=MIN(E1431:E1431)</f>
        <v>1</v>
      </c>
    </row>
    <row r="1432" spans="2:7" ht="11.25">
      <c r="C1432" t="s">
        <v>2558</v>
      </c>
      <c r="E1432" s="64">
        <f>capBusBGenOpsPctCostReduce</f>
        <v>3.7559972464384347E-2</v>
      </c>
      <c r="G1432" t="b">
        <f>MAX(E1432:E1432)=MIN(E1432:E1432)</f>
        <v>1</v>
      </c>
    </row>
    <row r="1433" spans="2:7" ht="11.25">
      <c r="C1433" t="s">
        <v>1718</v>
      </c>
      <c r="E1433" s="64">
        <f>paramSpecProgramBPOV2CostReducPct+paramSpecProgramBPOH1CostReducPct</f>
        <v>0</v>
      </c>
      <c r="G1433" t="b">
        <f>MAX(E1433:E1433)=MIN(E1433:E1433)</f>
        <v>1</v>
      </c>
    </row>
    <row r="1434" spans="2:7" ht="11.25">
      <c r="C1434" t="s">
        <v>2797</v>
      </c>
      <c r="E1434" s="64">
        <f>IF(xxYear=2,DataTableBid4COSReducPursuit,0)</f>
        <v>0</v>
      </c>
      <c r="G1434" t="b">
        <f>MAX(E1434:E1434)=MIN(E1434:E1434)</f>
        <v>1</v>
      </c>
    </row>
    <row r="1435" spans="2:7" ht="11.25">
      <c r="C1435" t="s">
        <v>3563</v>
      </c>
      <c r="E1435" s="171">
        <v>1</v>
      </c>
      <c r="G1435" t="b">
        <f>MAX(E1435:E1435)=MIN(E1435:E1435)</f>
        <v>1</v>
      </c>
    </row>
    <row r="1436" spans="2:7" ht="11.25">
      <c r="C1436" t="s">
        <v>1719</v>
      </c>
      <c r="E1436" s="324">
        <f>E1429-E1429*(E1435*(E1430+E1431+E1432+E1433+E1434))</f>
        <v>0</v>
      </c>
      <c r="F1436" t="s">
        <v>3923</v>
      </c>
      <c r="G1436" t="b">
        <f>MAX(E1436:E1436)=MIN(E1436:E1436)</f>
        <v>1</v>
      </c>
    </row>
    <row r="1437" spans="2:7" ht="11.25">
      <c r="B1437" t="s">
        <v>2129</v>
      </c>
      <c r="G1437" t="b">
        <f>MAX(E1437:E1437)=MIN(E1437:E1437)</f>
        <v>1</v>
      </c>
    </row>
    <row r="1438" spans="2:7" ht="11.25">
      <c r="C1438" t="s">
        <v>1702</v>
      </c>
      <c r="E1438" s="324">
        <f>obalY2V2H2COSRealized</f>
        <v>0</v>
      </c>
      <c r="G1438" t="b">
        <f>MAX(E1438:E1438)=MIN(E1438:E1438)</f>
        <v>1</v>
      </c>
    </row>
    <row r="1439" spans="2:7" ht="11.25">
      <c r="C1439" t="s">
        <v>1714</v>
      </c>
      <c r="E1439" s="87">
        <f>(decV2H1Dev+decV2H2Dev+decV2H3Dev)*paramV2PctCostReducPerVCompLvl</f>
        <v>0</v>
      </c>
      <c r="G1439" t="b">
        <f>MAX(E1439:E1439)=MIN(E1439:E1439)</f>
        <v>1</v>
      </c>
    </row>
    <row r="1440" spans="2:7" ht="11.25">
      <c r="C1440" t="s">
        <v>1715</v>
      </c>
      <c r="E1440" s="87">
        <f>(decV1H2Dev+decV2H2Dev+decV3H2Dev)*paramH2PctCostReducPerHCompLvl</f>
        <v>0</v>
      </c>
      <c r="G1440" t="b">
        <f>MAX(E1440:E1440)=MIN(E1440:E1440)</f>
        <v>1</v>
      </c>
    </row>
    <row r="1441" spans="2:7" ht="11.25">
      <c r="C1441" t="s">
        <v>2558</v>
      </c>
      <c r="E1441" s="64">
        <f>capBusBGenOpsPctCostReduce</f>
        <v>3.7559972464384347E-2</v>
      </c>
      <c r="G1441" t="b">
        <f>MAX(E1441:E1441)=MIN(E1441:E1441)</f>
        <v>1</v>
      </c>
    </row>
    <row r="1442" spans="2:7" ht="11.25">
      <c r="C1442" t="s">
        <v>1718</v>
      </c>
      <c r="E1442" s="64">
        <f>paramSpecProgramBPOV2CostReducPct+paramSpecProgramBPOH2CostReducPct</f>
        <v>0</v>
      </c>
      <c r="G1442" t="b">
        <f>MAX(E1442:E1442)=MIN(E1442:E1442)</f>
        <v>1</v>
      </c>
    </row>
    <row r="1443" spans="2:7" ht="11.25">
      <c r="C1443" t="s">
        <v>2797</v>
      </c>
      <c r="E1443" s="64">
        <f>IF(xxYear=2,DataTableBid5COSReducPursuit,0)</f>
        <v>0</v>
      </c>
      <c r="G1443" t="b">
        <f>MAX(E1443:E1443)=MIN(E1443:E1443)</f>
        <v>1</v>
      </c>
    </row>
    <row r="1444" spans="2:7" ht="11.25">
      <c r="C1444" t="s">
        <v>3563</v>
      </c>
      <c r="E1444" s="171">
        <v>1</v>
      </c>
      <c r="G1444" t="b">
        <f>MAX(E1444:E1444)=MIN(E1444:E1444)</f>
        <v>1</v>
      </c>
    </row>
    <row r="1445" spans="2:7" ht="11.25">
      <c r="C1445" t="s">
        <v>1719</v>
      </c>
      <c r="E1445" s="324">
        <f>E1438-E1438*(E1444*(E1439+E1440+E1441+E1442+E1443))</f>
        <v>0</v>
      </c>
      <c r="F1445" t="s">
        <v>3924</v>
      </c>
      <c r="G1445" t="b">
        <f>MAX(E1445:E1445)=MIN(E1445:E1445)</f>
        <v>1</v>
      </c>
    </row>
    <row r="1446" spans="2:7" ht="11.25">
      <c r="B1446" t="s">
        <v>2130</v>
      </c>
      <c r="G1446" t="b">
        <f>MAX(E1446:E1446)=MIN(E1446:E1446)</f>
        <v>1</v>
      </c>
    </row>
    <row r="1447" spans="2:7" ht="11.25">
      <c r="C1447" t="s">
        <v>1702</v>
      </c>
      <c r="E1447" s="324">
        <f>obalY2V2H3COSRealized</f>
        <v>0</v>
      </c>
      <c r="G1447" t="b">
        <f>MAX(E1447:E1447)=MIN(E1447:E1447)</f>
        <v>1</v>
      </c>
    </row>
    <row r="1448" spans="2:7" ht="11.25">
      <c r="C1448" t="s">
        <v>1714</v>
      </c>
      <c r="E1448" s="87">
        <f>(decV2H1Dev+decV2H2Dev+decV2H3Dev)*paramV2PctCostReducPerVCompLvl</f>
        <v>0</v>
      </c>
      <c r="G1448" t="b">
        <f>MAX(E1448:E1448)=MIN(E1448:E1448)</f>
        <v>1</v>
      </c>
    </row>
    <row r="1449" spans="2:7" ht="11.25">
      <c r="C1449" t="s">
        <v>1715</v>
      </c>
      <c r="E1449" s="87">
        <f>(decV1H3Dev+decV2H3Dev+decV3H3Dev)*paramH3PctCostReducPerHCompLvl</f>
        <v>0</v>
      </c>
      <c r="G1449" t="b">
        <f>MAX(E1449:E1449)=MIN(E1449:E1449)</f>
        <v>1</v>
      </c>
    </row>
    <row r="1450" spans="2:7" ht="11.25">
      <c r="C1450" t="s">
        <v>2558</v>
      </c>
      <c r="E1450" s="64">
        <f>capBusBGenOpsPctCostReduce</f>
        <v>3.7559972464384347E-2</v>
      </c>
      <c r="G1450" t="b">
        <f>MAX(E1450:E1450)=MIN(E1450:E1450)</f>
        <v>1</v>
      </c>
    </row>
    <row r="1451" spans="2:7" ht="11.25">
      <c r="C1451" t="s">
        <v>1718</v>
      </c>
      <c r="E1451" s="64">
        <f>paramSpecProgramBPOV2CostReducPct+paramSpecProgramBPOH3CostReducPct</f>
        <v>0</v>
      </c>
      <c r="G1451" t="b">
        <f>MAX(E1451:E1451)=MIN(E1451:E1451)</f>
        <v>1</v>
      </c>
    </row>
    <row r="1452" spans="2:7" ht="11.25">
      <c r="C1452" t="s">
        <v>2797</v>
      </c>
      <c r="E1452" s="64">
        <f>IF(xxYear=2,DataTableBid6COSReducPursuit,0)</f>
        <v>0</v>
      </c>
      <c r="G1452" t="b">
        <f>MAX(E1452:E1452)=MIN(E1452:E1452)</f>
        <v>1</v>
      </c>
    </row>
    <row r="1453" spans="2:7" ht="11.25">
      <c r="C1453" t="s">
        <v>3563</v>
      </c>
      <c r="E1453" s="171">
        <v>1</v>
      </c>
      <c r="G1453" t="b">
        <f>MAX(E1453:E1453)=MIN(E1453:E1453)</f>
        <v>1</v>
      </c>
    </row>
    <row r="1454" spans="2:7" ht="11.25">
      <c r="C1454" t="s">
        <v>1719</v>
      </c>
      <c r="E1454" s="324">
        <f>E1447-E1447*(E1453*(E1448+E1449+E1450+E1451+E1452))</f>
        <v>0</v>
      </c>
      <c r="F1454" t="s">
        <v>3925</v>
      </c>
      <c r="G1454" t="b">
        <f>MAX(E1454:E1454)=MIN(E1454:E1454)</f>
        <v>1</v>
      </c>
    </row>
    <row r="1455" spans="2:7" ht="11.25">
      <c r="B1455" t="s">
        <v>1992</v>
      </c>
      <c r="G1455" t="b">
        <f>MAX(E1455:E1455)=MIN(E1455:E1455)</f>
        <v>1</v>
      </c>
    </row>
    <row r="1456" spans="2:7" ht="11.25">
      <c r="C1456" t="s">
        <v>1702</v>
      </c>
      <c r="E1456" s="324">
        <f>obalY2V3H1COSRealized</f>
        <v>0</v>
      </c>
      <c r="G1456" t="b">
        <f>MAX(E1456:E1456)=MIN(E1456:E1456)</f>
        <v>1</v>
      </c>
    </row>
    <row r="1457" spans="2:7" ht="11.25">
      <c r="C1457" t="s">
        <v>1714</v>
      </c>
      <c r="E1457" s="87">
        <f>(decV3H1Dev+decV3H2Dev+decV3H3Dev)*paramV3PctCostReducPerVCompLvl</f>
        <v>0</v>
      </c>
      <c r="G1457" t="b">
        <f>MAX(E1457:E1457)=MIN(E1457:E1457)</f>
        <v>1</v>
      </c>
    </row>
    <row r="1458" spans="2:7" ht="11.25">
      <c r="C1458" t="s">
        <v>1715</v>
      </c>
      <c r="E1458" s="87">
        <f>(decV1H1Dev+decV2H1Dev+decV3H1Dev)*paramH1PctCostReducPerHCompLvl</f>
        <v>0</v>
      </c>
      <c r="G1458" t="b">
        <f>MAX(E1458:E1458)=MIN(E1458:E1458)</f>
        <v>1</v>
      </c>
    </row>
    <row r="1459" spans="2:7" ht="11.25">
      <c r="C1459" t="s">
        <v>2558</v>
      </c>
      <c r="E1459" s="64">
        <f>capBusBGenOpsPctCostReduce</f>
        <v>3.7559972464384347E-2</v>
      </c>
      <c r="G1459" t="b">
        <f>MAX(E1459:E1459)=MIN(E1459:E1459)</f>
        <v>1</v>
      </c>
    </row>
    <row r="1460" spans="2:7" ht="11.25">
      <c r="C1460" t="s">
        <v>1718</v>
      </c>
      <c r="E1460" s="64">
        <f>paramSpecProgramBPOV3CostReducPct+paramSpecProgramBPOH1CostReducPct</f>
        <v>0</v>
      </c>
      <c r="G1460" t="b">
        <f>MAX(E1460:E1460)=MIN(E1460:E1460)</f>
        <v>1</v>
      </c>
    </row>
    <row r="1461" spans="2:7" ht="11.25">
      <c r="C1461" t="s">
        <v>2797</v>
      </c>
      <c r="E1461" s="64">
        <f>IF(xxYear=2,DataTableBid7COSReducPursuit,0)</f>
        <v>0</v>
      </c>
      <c r="G1461" t="b">
        <f>MAX(E1461:E1461)=MIN(E1461:E1461)</f>
        <v>1</v>
      </c>
    </row>
    <row r="1462" spans="2:7" ht="11.25">
      <c r="C1462" t="s">
        <v>3563</v>
      </c>
      <c r="E1462" s="171">
        <v>1</v>
      </c>
      <c r="G1462" t="b">
        <f>MAX(E1462:E1462)=MIN(E1462:E1462)</f>
        <v>1</v>
      </c>
    </row>
    <row r="1463" spans="2:7" ht="11.25">
      <c r="C1463" t="s">
        <v>1719</v>
      </c>
      <c r="E1463" s="324">
        <f>E1456-E1456*(E1462*(E1457+E1458+E1459+E1460+E1461))</f>
        <v>0</v>
      </c>
      <c r="F1463" t="s">
        <v>3710</v>
      </c>
      <c r="G1463" t="b">
        <f>MAX(E1463:E1463)=MIN(E1463:E1463)</f>
        <v>1</v>
      </c>
    </row>
    <row r="1464" spans="2:7" ht="11.25">
      <c r="B1464" t="s">
        <v>1786</v>
      </c>
      <c r="G1464" t="b">
        <f>MAX(E1464:E1464)=MIN(E1464:E1464)</f>
        <v>1</v>
      </c>
    </row>
    <row r="1465" spans="2:7" ht="11.25">
      <c r="C1465" t="s">
        <v>1702</v>
      </c>
      <c r="E1465" s="324">
        <f>obalY2V3H2COSRealized</f>
        <v>0</v>
      </c>
      <c r="G1465" t="b">
        <f>MAX(E1465:E1465)=MIN(E1465:E1465)</f>
        <v>1</v>
      </c>
    </row>
    <row r="1466" spans="2:7" ht="11.25">
      <c r="C1466" t="s">
        <v>1714</v>
      </c>
      <c r="E1466" s="87">
        <f>(decV3H1Dev+decV3H2Dev+decV3H3Dev)*paramV3PctCostReducPerVCompLvl</f>
        <v>0</v>
      </c>
      <c r="G1466" t="b">
        <f>MAX(E1466:E1466)=MIN(E1466:E1466)</f>
        <v>1</v>
      </c>
    </row>
    <row r="1467" spans="2:7" ht="11.25">
      <c r="C1467" t="s">
        <v>1715</v>
      </c>
      <c r="E1467" s="87">
        <f>(decV1H2Dev+decV2H2Dev+decV3H2Dev)*paramH2PctCostReducPerHCompLvl</f>
        <v>0</v>
      </c>
      <c r="G1467" t="b">
        <f>MAX(E1467:E1467)=MIN(E1467:E1467)</f>
        <v>1</v>
      </c>
    </row>
    <row r="1468" spans="2:7" ht="11.25">
      <c r="C1468" t="s">
        <v>2558</v>
      </c>
      <c r="E1468" s="64">
        <f>capBusBGenOpsPctCostReduce</f>
        <v>3.7559972464384347E-2</v>
      </c>
      <c r="G1468" t="b">
        <f>MAX(E1468:E1468)=MIN(E1468:E1468)</f>
        <v>1</v>
      </c>
    </row>
    <row r="1469" spans="2:7" ht="11.25">
      <c r="C1469" t="s">
        <v>1718</v>
      </c>
      <c r="E1469" s="64">
        <f>paramSpecProgramBPOV3CostReducPct+paramSpecProgramBPOH2CostReducPct</f>
        <v>0</v>
      </c>
      <c r="G1469" t="b">
        <f>MAX(E1469:E1469)=MIN(E1469:E1469)</f>
        <v>1</v>
      </c>
    </row>
    <row r="1470" spans="2:7" ht="11.25">
      <c r="C1470" t="s">
        <v>2797</v>
      </c>
      <c r="E1470" s="64">
        <f>IF(xxYear=2,DataTableBid8COSReducPursuit,0)</f>
        <v>0</v>
      </c>
      <c r="G1470" t="b">
        <f>MAX(E1470:E1470)=MIN(E1470:E1470)</f>
        <v>1</v>
      </c>
    </row>
    <row r="1471" spans="2:7" ht="11.25">
      <c r="C1471" t="s">
        <v>3563</v>
      </c>
      <c r="E1471" s="171">
        <v>1</v>
      </c>
      <c r="G1471" t="b">
        <f>MAX(E1471:E1471)=MIN(E1471:E1471)</f>
        <v>1</v>
      </c>
    </row>
    <row r="1472" spans="2:7" ht="11.25">
      <c r="C1472" t="s">
        <v>1719</v>
      </c>
      <c r="E1472" s="324">
        <f>E1465-E1465*(E1471*(E1466+E1467+E1468+E1469+E1470))</f>
        <v>0</v>
      </c>
      <c r="F1472" t="s">
        <v>3711</v>
      </c>
      <c r="G1472" t="b">
        <f>MAX(E1472:E1472)=MIN(E1472:E1472)</f>
        <v>1</v>
      </c>
    </row>
    <row r="1473" spans="1:7" ht="11.25">
      <c r="B1473" t="s">
        <v>1787</v>
      </c>
      <c r="G1473" t="b">
        <f>MAX(E1473:E1473)=MIN(E1473:E1473)</f>
        <v>1</v>
      </c>
    </row>
    <row r="1474" spans="1:7" ht="11.25">
      <c r="C1474" t="s">
        <v>1702</v>
      </c>
      <c r="E1474" s="324">
        <f>obalY2V3H3COSRealized</f>
        <v>0</v>
      </c>
      <c r="G1474" t="b">
        <f>MAX(E1474:E1474)=MIN(E1474:E1474)</f>
        <v>1</v>
      </c>
    </row>
    <row r="1475" spans="1:7" ht="11.25">
      <c r="C1475" t="s">
        <v>1714</v>
      </c>
      <c r="E1475" s="87">
        <f>(decV3H1Dev+decV3H2Dev+decV3H3Dev)*paramV3PctCostReducPerVCompLvl</f>
        <v>0</v>
      </c>
      <c r="G1475" t="b">
        <f>MAX(E1475:E1475)=MIN(E1475:E1475)</f>
        <v>1</v>
      </c>
    </row>
    <row r="1476" spans="1:7" ht="11.25">
      <c r="C1476" t="s">
        <v>1715</v>
      </c>
      <c r="E1476" s="87">
        <f>(decV1H3Dev+decV2H3Dev+decV3H3Dev)*paramH3PctCostReducPerHCompLvl</f>
        <v>0</v>
      </c>
      <c r="G1476" t="b">
        <f>MAX(E1476:E1476)=MIN(E1476:E1476)</f>
        <v>1</v>
      </c>
    </row>
    <row r="1477" spans="1:7" ht="11.25">
      <c r="C1477" t="s">
        <v>2558</v>
      </c>
      <c r="E1477" s="64">
        <f>capBusBGenOpsPctCostReduce</f>
        <v>3.7559972464384347E-2</v>
      </c>
      <c r="G1477" t="b">
        <f>MAX(E1477:E1477)=MIN(E1477:E1477)</f>
        <v>1</v>
      </c>
    </row>
    <row r="1478" spans="1:7" ht="11.25">
      <c r="C1478" t="s">
        <v>1718</v>
      </c>
      <c r="E1478" s="64">
        <f>paramSpecProgramBPOV3CostReducPct+paramSpecProgramBPOH3CostReducPct</f>
        <v>0</v>
      </c>
      <c r="G1478" t="b">
        <f>MAX(E1478:E1478)=MIN(E1478:E1478)</f>
        <v>1</v>
      </c>
    </row>
    <row r="1479" spans="1:7" ht="11.25">
      <c r="C1479" t="s">
        <v>2797</v>
      </c>
      <c r="E1479" s="64">
        <f>IF(xxYear=2,DataTableBid9COSReducPursuit,0)</f>
        <v>0</v>
      </c>
      <c r="G1479" t="b">
        <f>MAX(E1479:E1479)=MIN(E1479:E1479)</f>
        <v>1</v>
      </c>
    </row>
    <row r="1480" spans="1:7" ht="11.25">
      <c r="C1480" t="s">
        <v>3563</v>
      </c>
      <c r="E1480" s="171">
        <v>1</v>
      </c>
      <c r="G1480" t="b">
        <f>MAX(E1480:E1480)=MIN(E1480:E1480)</f>
        <v>1</v>
      </c>
    </row>
    <row r="1481" spans="1:7" ht="11.25">
      <c r="C1481" t="s">
        <v>1719</v>
      </c>
      <c r="E1481" s="324">
        <f>E1474-E1474*(E1480*(E1475+E1476+E1477+E1478+E1479))</f>
        <v>0</v>
      </c>
      <c r="F1481" t="s">
        <v>3712</v>
      </c>
      <c r="G1481" t="b">
        <f>MAX(E1481:E1481)=MIN(E1481:E1481)</f>
        <v>1</v>
      </c>
    </row>
    <row r="1482" spans="1:7" ht="11.25">
      <c r="A1482" s="2" t="s">
        <v>2018</v>
      </c>
      <c r="G1482" t="b">
        <f>MAX(E1482:E1482)=MIN(E1482:E1482)</f>
        <v>1</v>
      </c>
    </row>
    <row r="1483" spans="1:7" ht="11.25">
      <c r="B1483" t="s">
        <v>1788</v>
      </c>
      <c r="G1483" t="b">
        <f>MAX(E1483:E1483)=MIN(E1483:E1483)</f>
        <v>1</v>
      </c>
    </row>
    <row r="1484" spans="1:7" ht="11.25">
      <c r="C1484" t="s">
        <v>1702</v>
      </c>
      <c r="E1484" s="324">
        <f>obalY3V1H1COSRealized</f>
        <v>0</v>
      </c>
      <c r="G1484" t="b">
        <f>MAX(E1484:E1484)=MIN(E1484:E1484)</f>
        <v>1</v>
      </c>
    </row>
    <row r="1485" spans="1:7" ht="11.25">
      <c r="C1485" t="s">
        <v>1714</v>
      </c>
      <c r="E1485" s="87">
        <f>(decV1H1Dev+decV1H2Dev+decV1H3Dev)*paramV1PctCostReducPerVCompLvl</f>
        <v>0</v>
      </c>
      <c r="G1485" t="b">
        <f>MAX(E1485:E1485)=MIN(E1485:E1485)</f>
        <v>1</v>
      </c>
    </row>
    <row r="1486" spans="1:7" ht="11.25">
      <c r="C1486" t="s">
        <v>1715</v>
      </c>
      <c r="E1486" s="87">
        <f>(decV1H1Dev+decV2H1Dev+decV3H1Dev)*paramH1PctCostReducPerHCompLvl</f>
        <v>0</v>
      </c>
      <c r="G1486" t="b">
        <f>MAX(E1486:E1486)=MIN(E1486:E1486)</f>
        <v>1</v>
      </c>
    </row>
    <row r="1487" spans="1:7" ht="11.25">
      <c r="C1487" t="s">
        <v>2558</v>
      </c>
      <c r="E1487" s="64">
        <f>capBusBGenOpsPctCostReduce</f>
        <v>3.7559972464384347E-2</v>
      </c>
      <c r="G1487" t="b">
        <f>MAX(E1487:E1487)=MIN(E1487:E1487)</f>
        <v>1</v>
      </c>
    </row>
    <row r="1488" spans="1:7" ht="11.25">
      <c r="C1488" t="s">
        <v>1718</v>
      </c>
      <c r="E1488" s="64">
        <f>paramSpecProgramBPOV1CostReducPct+paramSpecProgramBPOH1CostReducPct</f>
        <v>0</v>
      </c>
      <c r="G1488" t="b">
        <f>MAX(E1488:E1488)=MIN(E1488:E1488)</f>
        <v>1</v>
      </c>
    </row>
    <row r="1489" spans="2:7" ht="11.25">
      <c r="C1489" t="s">
        <v>2797</v>
      </c>
      <c r="E1489" s="64">
        <f>IF(xxYear=3,DataTableBid1COSReducPursuit,0)</f>
        <v>0</v>
      </c>
      <c r="G1489" t="b">
        <f>MAX(E1489:E1489)=MIN(E1489:E1489)</f>
        <v>1</v>
      </c>
    </row>
    <row r="1490" spans="2:7" ht="11.25">
      <c r="C1490" t="s">
        <v>3563</v>
      </c>
      <c r="E1490" s="171">
        <v>1</v>
      </c>
      <c r="G1490" t="b">
        <f>MAX(E1490:E1490)=MIN(E1490:E1490)</f>
        <v>1</v>
      </c>
    </row>
    <row r="1491" spans="2:7" ht="11.25">
      <c r="C1491" t="s">
        <v>1719</v>
      </c>
      <c r="E1491" s="324">
        <f>E1484-E1484*(E1490*(E1485+E1486+E1487+E1488+E1489))</f>
        <v>0</v>
      </c>
      <c r="F1491" t="s">
        <v>3713</v>
      </c>
      <c r="G1491" t="b">
        <f>MAX(E1491:E1491)=MIN(E1491:E1491)</f>
        <v>1</v>
      </c>
    </row>
    <row r="1492" spans="2:7" ht="11.25">
      <c r="B1492" t="s">
        <v>4505</v>
      </c>
      <c r="G1492" t="b">
        <f>MAX(E1492:E1492)=MIN(E1492:E1492)</f>
        <v>1</v>
      </c>
    </row>
    <row r="1493" spans="2:7" ht="11.25">
      <c r="C1493" t="s">
        <v>1702</v>
      </c>
      <c r="E1493" s="324">
        <f>obalY3V1H2COSRealized</f>
        <v>0</v>
      </c>
      <c r="G1493" t="b">
        <f>MAX(E1493:E1493)=MIN(E1493:E1493)</f>
        <v>1</v>
      </c>
    </row>
    <row r="1494" spans="2:7" ht="11.25">
      <c r="C1494" t="s">
        <v>1714</v>
      </c>
      <c r="E1494" s="87">
        <f>(decV1H2Dev+decV1H2Dev+decV1H3Dev)*paramV1PctCostReducPerVCompLvl</f>
        <v>0</v>
      </c>
      <c r="G1494" t="b">
        <f>MAX(E1494:E1494)=MIN(E1494:E1494)</f>
        <v>1</v>
      </c>
    </row>
    <row r="1495" spans="2:7" ht="11.25">
      <c r="C1495" t="s">
        <v>1715</v>
      </c>
      <c r="E1495" s="87">
        <f>(decV1H2Dev+decV2H2Dev+decV3H2Dev)*paramH2PctCostReducPerHCompLvl</f>
        <v>0</v>
      </c>
      <c r="G1495" t="b">
        <f>MAX(E1495:E1495)=MIN(E1495:E1495)</f>
        <v>1</v>
      </c>
    </row>
    <row r="1496" spans="2:7" ht="11.25">
      <c r="C1496" t="s">
        <v>2558</v>
      </c>
      <c r="E1496" s="64">
        <f>capBusBGenOpsPctCostReduce</f>
        <v>3.7559972464384347E-2</v>
      </c>
      <c r="G1496" t="b">
        <f>MAX(E1496:E1496)=MIN(E1496:E1496)</f>
        <v>1</v>
      </c>
    </row>
    <row r="1497" spans="2:7" ht="11.25">
      <c r="C1497" t="s">
        <v>1718</v>
      </c>
      <c r="E1497" s="64">
        <f>paramSpecProgramBPOV1CostReducPct+paramSpecProgramBPOH2CostReducPct</f>
        <v>0</v>
      </c>
      <c r="G1497" t="b">
        <f>MAX(E1497:E1497)=MIN(E1497:E1497)</f>
        <v>1</v>
      </c>
    </row>
    <row r="1498" spans="2:7" ht="11.25">
      <c r="C1498" t="s">
        <v>2797</v>
      </c>
      <c r="E1498" s="64">
        <f>IF(xxYear=3,DataTableBid2COSReducPursuit,0)</f>
        <v>0</v>
      </c>
      <c r="G1498" t="b">
        <f>MAX(E1498:E1498)=MIN(E1498:E1498)</f>
        <v>1</v>
      </c>
    </row>
    <row r="1499" spans="2:7" ht="11.25">
      <c r="C1499" t="s">
        <v>3563</v>
      </c>
      <c r="E1499" s="171">
        <v>1</v>
      </c>
      <c r="G1499" t="b">
        <f>MAX(E1499:E1499)=MIN(E1499:E1499)</f>
        <v>1</v>
      </c>
    </row>
    <row r="1500" spans="2:7" ht="11.25">
      <c r="C1500" t="s">
        <v>1719</v>
      </c>
      <c r="E1500" s="324">
        <f>E1493-E1493*(E1499*(E1494+E1495+E1496+E1497+E1498))</f>
        <v>0</v>
      </c>
      <c r="F1500" t="s">
        <v>3714</v>
      </c>
      <c r="G1500" t="b">
        <f>MAX(E1500:E1500)=MIN(E1500:E1500)</f>
        <v>1</v>
      </c>
    </row>
    <row r="1501" spans="2:7" ht="11.25">
      <c r="B1501" t="s">
        <v>822</v>
      </c>
      <c r="G1501" t="b">
        <f>MAX(E1501:E1501)=MIN(E1501:E1501)</f>
        <v>1</v>
      </c>
    </row>
    <row r="1502" spans="2:7" ht="11.25">
      <c r="C1502" t="s">
        <v>1702</v>
      </c>
      <c r="E1502" s="324">
        <f>obalY3V1H3COSRealized</f>
        <v>0</v>
      </c>
      <c r="G1502" t="b">
        <f>MAX(E1502:E1502)=MIN(E1502:E1502)</f>
        <v>1</v>
      </c>
    </row>
    <row r="1503" spans="2:7" ht="11.25">
      <c r="C1503" t="s">
        <v>1714</v>
      </c>
      <c r="E1503" s="87">
        <f>(decV1H1Dev+decV1H2Dev+decV1H3Dev)*paramV1PctCostReducPerVCompLvl</f>
        <v>0</v>
      </c>
      <c r="G1503" t="b">
        <f>MAX(E1503:E1503)=MIN(E1503:E1503)</f>
        <v>1</v>
      </c>
    </row>
    <row r="1504" spans="2:7" ht="11.25">
      <c r="C1504" t="s">
        <v>1715</v>
      </c>
      <c r="E1504" s="87">
        <f>(decV1H3Dev+decV2H3Dev+decV3H3Dev)*paramH3PctCostReducPerHCompLvl</f>
        <v>0</v>
      </c>
      <c r="G1504" t="b">
        <f>MAX(E1504:E1504)=MIN(E1504:E1504)</f>
        <v>1</v>
      </c>
    </row>
    <row r="1505" spans="2:7" ht="11.25">
      <c r="C1505" t="s">
        <v>2558</v>
      </c>
      <c r="E1505" s="64">
        <f>capBusBGenOpsPctCostReduce</f>
        <v>3.7559972464384347E-2</v>
      </c>
      <c r="G1505" t="b">
        <f>MAX(E1505:E1505)=MIN(E1505:E1505)</f>
        <v>1</v>
      </c>
    </row>
    <row r="1506" spans="2:7" ht="11.25">
      <c r="C1506" t="s">
        <v>1718</v>
      </c>
      <c r="E1506" s="64">
        <f>paramSpecProgramBPOV1CostReducPct+paramSpecProgramBPOH3CostReducPct</f>
        <v>0</v>
      </c>
      <c r="G1506" t="b">
        <f>MAX(E1506:E1506)=MIN(E1506:E1506)</f>
        <v>1</v>
      </c>
    </row>
    <row r="1507" spans="2:7" ht="11.25">
      <c r="C1507" t="s">
        <v>2797</v>
      </c>
      <c r="E1507" s="64">
        <f>IF(xxYear=3,DataTableBid3COSReducPursuit,0)</f>
        <v>0</v>
      </c>
      <c r="G1507" t="b">
        <f>MAX(E1507:E1507)=MIN(E1507:E1507)</f>
        <v>1</v>
      </c>
    </row>
    <row r="1508" spans="2:7" ht="11.25">
      <c r="C1508" t="s">
        <v>3563</v>
      </c>
      <c r="E1508" s="171">
        <v>1</v>
      </c>
      <c r="G1508" t="b">
        <f>MAX(E1508:E1508)=MIN(E1508:E1508)</f>
        <v>1</v>
      </c>
    </row>
    <row r="1509" spans="2:7" ht="11.25">
      <c r="C1509" t="s">
        <v>1719</v>
      </c>
      <c r="E1509" s="324">
        <f>E1502-E1502*(E1508*(E1503+E1504+E1505+E1506+E1507))</f>
        <v>0</v>
      </c>
      <c r="F1509" t="s">
        <v>2472</v>
      </c>
      <c r="G1509" t="b">
        <f>MAX(E1509:E1509)=MIN(E1509:E1509)</f>
        <v>1</v>
      </c>
    </row>
    <row r="1510" spans="2:7" ht="11.25">
      <c r="B1510" t="s">
        <v>823</v>
      </c>
      <c r="G1510" t="b">
        <f>MAX(E1510:E1510)=MIN(E1510:E1510)</f>
        <v>1</v>
      </c>
    </row>
    <row r="1511" spans="2:7" ht="11.25">
      <c r="C1511" t="s">
        <v>1702</v>
      </c>
      <c r="E1511" s="324">
        <f>obalY3V2H1COSRealized</f>
        <v>0</v>
      </c>
      <c r="G1511" t="b">
        <f>MAX(E1511:E1511)=MIN(E1511:E1511)</f>
        <v>1</v>
      </c>
    </row>
    <row r="1512" spans="2:7" ht="11.25">
      <c r="C1512" t="s">
        <v>1714</v>
      </c>
      <c r="E1512" s="87">
        <f>(decV2H1Dev+decV2H2Dev+decV2H3Dev)*paramV2PctCostReducPerVCompLvl</f>
        <v>0</v>
      </c>
      <c r="G1512" t="b">
        <f>MAX(E1512:E1512)=MIN(E1512:E1512)</f>
        <v>1</v>
      </c>
    </row>
    <row r="1513" spans="2:7" ht="11.25">
      <c r="C1513" t="s">
        <v>1715</v>
      </c>
      <c r="E1513" s="87">
        <f>(decV1H1Dev+decV2H1Dev+decV3H1Dev)*paramH1PctCostReducPerHCompLvl</f>
        <v>0</v>
      </c>
      <c r="G1513" t="b">
        <f>MAX(E1513:E1513)=MIN(E1513:E1513)</f>
        <v>1</v>
      </c>
    </row>
    <row r="1514" spans="2:7" ht="11.25">
      <c r="C1514" t="s">
        <v>2558</v>
      </c>
      <c r="E1514" s="64">
        <f>capBusBGenOpsPctCostReduce</f>
        <v>3.7559972464384347E-2</v>
      </c>
      <c r="G1514" t="b">
        <f>MAX(E1514:E1514)=MIN(E1514:E1514)</f>
        <v>1</v>
      </c>
    </row>
    <row r="1515" spans="2:7" ht="11.25">
      <c r="C1515" t="s">
        <v>1718</v>
      </c>
      <c r="E1515" s="64">
        <f>paramSpecProgramBPOV2CostReducPct+paramSpecProgramBPOH1CostReducPct</f>
        <v>0</v>
      </c>
      <c r="G1515" t="b">
        <f>MAX(E1515:E1515)=MIN(E1515:E1515)</f>
        <v>1</v>
      </c>
    </row>
    <row r="1516" spans="2:7" ht="11.25">
      <c r="C1516" t="s">
        <v>2797</v>
      </c>
      <c r="E1516" s="64">
        <f>IF(xxYear=3,DataTableBid4COSReducPursuit,0)</f>
        <v>0</v>
      </c>
      <c r="G1516" t="b">
        <f>MAX(E1516:E1516)=MIN(E1516:E1516)</f>
        <v>1</v>
      </c>
    </row>
    <row r="1517" spans="2:7" ht="11.25">
      <c r="C1517" t="s">
        <v>3563</v>
      </c>
      <c r="E1517" s="171">
        <v>1</v>
      </c>
      <c r="G1517" t="b">
        <f>MAX(E1517:E1517)=MIN(E1517:E1517)</f>
        <v>1</v>
      </c>
    </row>
    <row r="1518" spans="2:7" ht="11.25">
      <c r="C1518" t="s">
        <v>1719</v>
      </c>
      <c r="E1518" s="324">
        <f>E1511-E1511*(E1517*(E1512+E1513+E1514+E1515+E1516))</f>
        <v>0</v>
      </c>
      <c r="F1518" t="s">
        <v>2473</v>
      </c>
      <c r="G1518" t="b">
        <f>MAX(E1518:E1518)=MIN(E1518:E1518)</f>
        <v>1</v>
      </c>
    </row>
    <row r="1519" spans="2:7" ht="11.25">
      <c r="B1519" t="s">
        <v>824</v>
      </c>
      <c r="G1519" t="b">
        <f>MAX(E1519:E1519)=MIN(E1519:E1519)</f>
        <v>1</v>
      </c>
    </row>
    <row r="1520" spans="2:7" ht="11.25">
      <c r="C1520" t="s">
        <v>1702</v>
      </c>
      <c r="E1520" s="324">
        <f>obalY3V2H2COSRealized</f>
        <v>0</v>
      </c>
      <c r="G1520" t="b">
        <f>MAX(E1520:E1520)=MIN(E1520:E1520)</f>
        <v>1</v>
      </c>
    </row>
    <row r="1521" spans="2:7" ht="11.25">
      <c r="C1521" t="s">
        <v>1714</v>
      </c>
      <c r="E1521" s="87">
        <f>(decV2H1Dev+decV2H2Dev+decV2H3Dev)*paramV2PctCostReducPerVCompLvl</f>
        <v>0</v>
      </c>
      <c r="G1521" t="b">
        <f>MAX(E1521:E1521)=MIN(E1521:E1521)</f>
        <v>1</v>
      </c>
    </row>
    <row r="1522" spans="2:7" ht="11.25">
      <c r="C1522" t="s">
        <v>1715</v>
      </c>
      <c r="E1522" s="87">
        <f>(decV1H2Dev+decV2H2Dev+decV3H2Dev)*paramH2PctCostReducPerHCompLvl</f>
        <v>0</v>
      </c>
      <c r="G1522" t="b">
        <f>MAX(E1522:E1522)=MIN(E1522:E1522)</f>
        <v>1</v>
      </c>
    </row>
    <row r="1523" spans="2:7" ht="11.25">
      <c r="C1523" t="s">
        <v>2558</v>
      </c>
      <c r="E1523" s="64">
        <f>capBusBGenOpsPctCostReduce</f>
        <v>3.7559972464384347E-2</v>
      </c>
      <c r="G1523" t="b">
        <f>MAX(E1523:E1523)=MIN(E1523:E1523)</f>
        <v>1</v>
      </c>
    </row>
    <row r="1524" spans="2:7" ht="11.25">
      <c r="C1524" t="s">
        <v>1718</v>
      </c>
      <c r="E1524" s="64">
        <f>paramSpecProgramBPOV2CostReducPct+paramSpecProgramBPOH2CostReducPct</f>
        <v>0</v>
      </c>
      <c r="G1524" t="b">
        <f>MAX(E1524:E1524)=MIN(E1524:E1524)</f>
        <v>1</v>
      </c>
    </row>
    <row r="1525" spans="2:7" ht="11.25">
      <c r="C1525" t="s">
        <v>2797</v>
      </c>
      <c r="E1525" s="64">
        <f>IF(xxYear=3,DataTableBid5COSReducPursuit,0)</f>
        <v>0</v>
      </c>
      <c r="G1525" t="b">
        <f>MAX(E1525:E1525)=MIN(E1525:E1525)</f>
        <v>1</v>
      </c>
    </row>
    <row r="1526" spans="2:7" ht="11.25">
      <c r="C1526" t="s">
        <v>3563</v>
      </c>
      <c r="E1526" s="171">
        <v>1</v>
      </c>
      <c r="G1526" t="b">
        <f>MAX(E1526:E1526)=MIN(E1526:E1526)</f>
        <v>1</v>
      </c>
    </row>
    <row r="1527" spans="2:7" ht="11.25">
      <c r="C1527" t="s">
        <v>1719</v>
      </c>
      <c r="E1527" s="324">
        <f>E1520-E1520*(E1526*(E1521+E1522+E1523+E1524+E1525))</f>
        <v>0</v>
      </c>
      <c r="F1527" t="s">
        <v>644</v>
      </c>
      <c r="G1527" t="b">
        <f>MAX(E1527:E1527)=MIN(E1527:E1527)</f>
        <v>1</v>
      </c>
    </row>
    <row r="1528" spans="2:7" ht="11.25">
      <c r="B1528" t="s">
        <v>825</v>
      </c>
      <c r="G1528" t="b">
        <f>MAX(E1528:E1528)=MIN(E1528:E1528)</f>
        <v>1</v>
      </c>
    </row>
    <row r="1529" spans="2:7" ht="11.25">
      <c r="C1529" t="s">
        <v>1702</v>
      </c>
      <c r="E1529" s="324">
        <f>obalY3V2H3COSRealized</f>
        <v>0</v>
      </c>
      <c r="G1529" t="b">
        <f>MAX(E1529:E1529)=MIN(E1529:E1529)</f>
        <v>1</v>
      </c>
    </row>
    <row r="1530" spans="2:7" ht="11.25">
      <c r="C1530" t="s">
        <v>1714</v>
      </c>
      <c r="E1530" s="87">
        <f>(decV2H1Dev+decV2H2Dev+decV2H3Dev)*paramV2PctCostReducPerVCompLvl</f>
        <v>0</v>
      </c>
      <c r="G1530" t="b">
        <f>MAX(E1530:E1530)=MIN(E1530:E1530)</f>
        <v>1</v>
      </c>
    </row>
    <row r="1531" spans="2:7" ht="11.25">
      <c r="C1531" t="s">
        <v>1715</v>
      </c>
      <c r="E1531" s="87">
        <f>(decV1H3Dev+decV2H3Dev+decV3H3Dev)*paramH3PctCostReducPerHCompLvl</f>
        <v>0</v>
      </c>
      <c r="G1531" t="b">
        <f>MAX(E1531:E1531)=MIN(E1531:E1531)</f>
        <v>1</v>
      </c>
    </row>
    <row r="1532" spans="2:7" ht="11.25">
      <c r="C1532" t="s">
        <v>2558</v>
      </c>
      <c r="E1532" s="64">
        <f>capBusBGenOpsPctCostReduce</f>
        <v>3.7559972464384347E-2</v>
      </c>
      <c r="G1532" t="b">
        <f>MAX(E1532:E1532)=MIN(E1532:E1532)</f>
        <v>1</v>
      </c>
    </row>
    <row r="1533" spans="2:7" ht="11.25">
      <c r="C1533" t="s">
        <v>1718</v>
      </c>
      <c r="E1533" s="64">
        <f>paramSpecProgramBPOV2CostReducPct+paramSpecProgramBPOH3CostReducPct</f>
        <v>0</v>
      </c>
      <c r="G1533" t="b">
        <f>MAX(E1533:E1533)=MIN(E1533:E1533)</f>
        <v>1</v>
      </c>
    </row>
    <row r="1534" spans="2:7" ht="11.25">
      <c r="C1534" t="s">
        <v>2797</v>
      </c>
      <c r="E1534" s="64">
        <f>IF(xxYear=3,DataTableBid6COSReducPursuit,0)</f>
        <v>0</v>
      </c>
      <c r="G1534" t="b">
        <f>MAX(E1534:E1534)=MIN(E1534:E1534)</f>
        <v>1</v>
      </c>
    </row>
    <row r="1535" spans="2:7" ht="11.25">
      <c r="C1535" t="s">
        <v>3563</v>
      </c>
      <c r="E1535" s="171">
        <v>1</v>
      </c>
      <c r="G1535" t="b">
        <f>MAX(E1535:E1535)=MIN(E1535:E1535)</f>
        <v>1</v>
      </c>
    </row>
    <row r="1536" spans="2:7" ht="11.25">
      <c r="C1536" t="s">
        <v>1719</v>
      </c>
      <c r="E1536" s="324">
        <f>E1529-E1529*(E1535*(E1530+E1531+E1532+E1533+E1534))</f>
        <v>0</v>
      </c>
      <c r="F1536" t="s">
        <v>645</v>
      </c>
      <c r="G1536" t="b">
        <f>MAX(E1536:E1536)=MIN(E1536:E1536)</f>
        <v>1</v>
      </c>
    </row>
    <row r="1537" spans="2:7" ht="11.25">
      <c r="B1537" t="s">
        <v>826</v>
      </c>
      <c r="G1537" t="b">
        <f>MAX(E1537:E1537)=MIN(E1537:E1537)</f>
        <v>1</v>
      </c>
    </row>
    <row r="1538" spans="2:7" ht="11.25">
      <c r="C1538" t="s">
        <v>1702</v>
      </c>
      <c r="E1538" s="324">
        <f>obalY3V3H1COSRealized</f>
        <v>0</v>
      </c>
      <c r="G1538" t="b">
        <f>MAX(E1538:E1538)=MIN(E1538:E1538)</f>
        <v>1</v>
      </c>
    </row>
    <row r="1539" spans="2:7" ht="11.25">
      <c r="C1539" t="s">
        <v>1714</v>
      </c>
      <c r="E1539" s="87">
        <f>(decV3H1Dev+decV3H2Dev+decV3H3Dev)*paramV3PctCostReducPerVCompLvl</f>
        <v>0</v>
      </c>
      <c r="G1539" t="b">
        <f>MAX(E1539:E1539)=MIN(E1539:E1539)</f>
        <v>1</v>
      </c>
    </row>
    <row r="1540" spans="2:7" ht="11.25">
      <c r="C1540" t="s">
        <v>1715</v>
      </c>
      <c r="E1540" s="87">
        <f>(decV1H1Dev+decV2H1Dev+decV3H1Dev)*paramH1PctCostReducPerHCompLvl</f>
        <v>0</v>
      </c>
      <c r="G1540" t="b">
        <f>MAX(E1540:E1540)=MIN(E1540:E1540)</f>
        <v>1</v>
      </c>
    </row>
    <row r="1541" spans="2:7" ht="11.25">
      <c r="C1541" t="s">
        <v>2558</v>
      </c>
      <c r="E1541" s="64">
        <f>capBusBGenOpsPctCostReduce</f>
        <v>3.7559972464384347E-2</v>
      </c>
      <c r="G1541" t="b">
        <f>MAX(E1541:E1541)=MIN(E1541:E1541)</f>
        <v>1</v>
      </c>
    </row>
    <row r="1542" spans="2:7" ht="11.25">
      <c r="C1542" t="s">
        <v>1718</v>
      </c>
      <c r="E1542" s="64">
        <f>paramSpecProgramBPOV3CostReducPct+paramSpecProgramBPOH1CostReducPct</f>
        <v>0</v>
      </c>
      <c r="G1542" t="b">
        <f>MAX(E1542:E1542)=MIN(E1542:E1542)</f>
        <v>1</v>
      </c>
    </row>
    <row r="1543" spans="2:7" ht="11.25">
      <c r="C1543" t="s">
        <v>2797</v>
      </c>
      <c r="E1543" s="64">
        <f>IF(xxYear=3,DataTableBid7COSReducPursuit,0)</f>
        <v>0</v>
      </c>
      <c r="G1543" t="b">
        <f>MAX(E1543:E1543)=MIN(E1543:E1543)</f>
        <v>1</v>
      </c>
    </row>
    <row r="1544" spans="2:7" ht="11.25">
      <c r="C1544" t="s">
        <v>3563</v>
      </c>
      <c r="E1544" s="171">
        <v>1</v>
      </c>
      <c r="G1544" t="b">
        <f>MAX(E1544:E1544)=MIN(E1544:E1544)</f>
        <v>1</v>
      </c>
    </row>
    <row r="1545" spans="2:7" ht="11.25">
      <c r="C1545" t="s">
        <v>1719</v>
      </c>
      <c r="E1545" s="324">
        <f>E1538-E1538*(E1544*(E1539+E1540+E1541+E1542+E1543))</f>
        <v>0</v>
      </c>
      <c r="F1545" t="s">
        <v>646</v>
      </c>
      <c r="G1545" t="b">
        <f>MAX(E1545:E1545)=MIN(E1545:E1545)</f>
        <v>1</v>
      </c>
    </row>
    <row r="1546" spans="2:7" ht="11.25">
      <c r="B1546" t="s">
        <v>827</v>
      </c>
      <c r="G1546" t="b">
        <f>MAX(E1546:E1546)=MIN(E1546:E1546)</f>
        <v>1</v>
      </c>
    </row>
    <row r="1547" spans="2:7" ht="11.25">
      <c r="C1547" t="s">
        <v>1702</v>
      </c>
      <c r="E1547" s="324">
        <f>obalY3V3H2COSRealized</f>
        <v>0</v>
      </c>
      <c r="G1547" t="b">
        <f>MAX(E1547:E1547)=MIN(E1547:E1547)</f>
        <v>1</v>
      </c>
    </row>
    <row r="1548" spans="2:7" ht="11.25">
      <c r="C1548" t="s">
        <v>1714</v>
      </c>
      <c r="E1548" s="87">
        <f>(decV3H1Dev+decV3H2Dev+decV3H3Dev)*paramV3PctCostReducPerVCompLvl</f>
        <v>0</v>
      </c>
      <c r="G1548" t="b">
        <f>MAX(E1548:E1548)=MIN(E1548:E1548)</f>
        <v>1</v>
      </c>
    </row>
    <row r="1549" spans="2:7" ht="11.25">
      <c r="C1549" t="s">
        <v>1715</v>
      </c>
      <c r="E1549" s="87">
        <f>(decV1H2Dev+decV2H2Dev+decV3H2Dev)*paramH2PctCostReducPerHCompLvl</f>
        <v>0</v>
      </c>
      <c r="G1549" t="b">
        <f>MAX(E1549:E1549)=MIN(E1549:E1549)</f>
        <v>1</v>
      </c>
    </row>
    <row r="1550" spans="2:7" ht="11.25">
      <c r="C1550" t="s">
        <v>2558</v>
      </c>
      <c r="E1550" s="64">
        <f>capBusBGenOpsPctCostReduce</f>
        <v>3.7559972464384347E-2</v>
      </c>
      <c r="G1550" t="b">
        <f>MAX(E1550:E1550)=MIN(E1550:E1550)</f>
        <v>1</v>
      </c>
    </row>
    <row r="1551" spans="2:7" ht="11.25">
      <c r="C1551" t="s">
        <v>1718</v>
      </c>
      <c r="E1551" s="64">
        <f>paramSpecProgramBPOV3CostReducPct+paramSpecProgramBPOH2CostReducPct</f>
        <v>0</v>
      </c>
      <c r="G1551" t="b">
        <f>MAX(E1551:E1551)=MIN(E1551:E1551)</f>
        <v>1</v>
      </c>
    </row>
    <row r="1552" spans="2:7" ht="11.25">
      <c r="C1552" t="s">
        <v>2797</v>
      </c>
      <c r="E1552" s="64">
        <f>IF(xxYear=3,DataTableBid8COSReducPursuit,0)</f>
        <v>0</v>
      </c>
      <c r="G1552" t="b">
        <f>MAX(E1552:E1552)=MIN(E1552:E1552)</f>
        <v>1</v>
      </c>
    </row>
    <row r="1553" spans="1:7" ht="11.25">
      <c r="C1553" t="s">
        <v>3563</v>
      </c>
      <c r="E1553" s="171">
        <v>1</v>
      </c>
      <c r="G1553" t="b">
        <f>MAX(E1553:E1553)=MIN(E1553:E1553)</f>
        <v>1</v>
      </c>
    </row>
    <row r="1554" spans="1:7" ht="11.25">
      <c r="C1554" t="s">
        <v>1719</v>
      </c>
      <c r="E1554" s="324">
        <f>E1547-E1547*(E1553*(E1548+E1549+E1550+E1551+E1552))</f>
        <v>0</v>
      </c>
      <c r="F1554" t="s">
        <v>647</v>
      </c>
      <c r="G1554" t="b">
        <f>MAX(E1554:E1554)=MIN(E1554:E1554)</f>
        <v>1</v>
      </c>
    </row>
    <row r="1555" spans="1:7" ht="11.25">
      <c r="B1555" t="s">
        <v>828</v>
      </c>
      <c r="G1555" t="b">
        <f>MAX(E1555:E1555)=MIN(E1555:E1555)</f>
        <v>1</v>
      </c>
    </row>
    <row r="1556" spans="1:7" ht="11.25">
      <c r="C1556" t="s">
        <v>1702</v>
      </c>
      <c r="E1556" s="324">
        <f>obalY3V3H3COSRealized</f>
        <v>0</v>
      </c>
      <c r="G1556" t="b">
        <f>MAX(E1556:E1556)=MIN(E1556:E1556)</f>
        <v>1</v>
      </c>
    </row>
    <row r="1557" spans="1:7" ht="11.25">
      <c r="C1557" t="s">
        <v>1714</v>
      </c>
      <c r="E1557" s="87">
        <f>(decV3H1Dev+decV3H2Dev+decV3H3Dev)*paramV3PctCostReducPerVCompLvl</f>
        <v>0</v>
      </c>
      <c r="G1557" t="b">
        <f>MAX(E1557:E1557)=MIN(E1557:E1557)</f>
        <v>1</v>
      </c>
    </row>
    <row r="1558" spans="1:7" ht="11.25">
      <c r="C1558" t="s">
        <v>1715</v>
      </c>
      <c r="E1558" s="87">
        <f>(decV1H3Dev+decV2H3Dev+decV3H3Dev)*paramH3PctCostReducPerHCompLvl</f>
        <v>0</v>
      </c>
      <c r="G1558" t="b">
        <f>MAX(E1558:E1558)=MIN(E1558:E1558)</f>
        <v>1</v>
      </c>
    </row>
    <row r="1559" spans="1:7" ht="11.25">
      <c r="C1559" t="s">
        <v>2558</v>
      </c>
      <c r="E1559" s="64">
        <f>capBusBGenOpsPctCostReduce</f>
        <v>3.7559972464384347E-2</v>
      </c>
      <c r="G1559" t="b">
        <f>MAX(E1559:E1559)=MIN(E1559:E1559)</f>
        <v>1</v>
      </c>
    </row>
    <row r="1560" spans="1:7" ht="11.25">
      <c r="C1560" t="s">
        <v>1718</v>
      </c>
      <c r="E1560" s="64">
        <f>paramSpecProgramBPOV3CostReducPct+paramSpecProgramBPOH3CostReducPct</f>
        <v>0</v>
      </c>
      <c r="G1560" t="b">
        <f>MAX(E1560:E1560)=MIN(E1560:E1560)</f>
        <v>1</v>
      </c>
    </row>
    <row r="1561" spans="1:7" ht="11.25">
      <c r="C1561" t="s">
        <v>2797</v>
      </c>
      <c r="E1561" s="64">
        <f>IF(xxYear=3,DataTableBid9COSReducPursuit,0)</f>
        <v>0</v>
      </c>
      <c r="G1561" t="b">
        <f>MAX(E1561:E1561)=MIN(E1561:E1561)</f>
        <v>1</v>
      </c>
    </row>
    <row r="1562" spans="1:7" ht="11.25">
      <c r="C1562" t="s">
        <v>3563</v>
      </c>
      <c r="E1562" s="171">
        <v>1</v>
      </c>
      <c r="G1562" t="b">
        <f>MAX(E1562:E1562)=MIN(E1562:E1562)</f>
        <v>1</v>
      </c>
    </row>
    <row r="1563" spans="1:7" ht="11.25">
      <c r="C1563" t="s">
        <v>1719</v>
      </c>
      <c r="E1563" s="324">
        <f>E1556-E1556*(E1562*(E1557+E1558+E1559+E1560+E1561))</f>
        <v>0</v>
      </c>
      <c r="F1563" t="s">
        <v>3707</v>
      </c>
      <c r="G1563" t="b">
        <f>MAX(E1563:E1563)=MIN(E1563:E1563)</f>
        <v>1</v>
      </c>
    </row>
    <row r="1564" spans="1:7" ht="11.25">
      <c r="G1564" t="b">
        <f>MAX(E1564:E1564)=MIN(E1564:E1564)</f>
        <v>1</v>
      </c>
    </row>
    <row r="1565" spans="1:7" ht="11.25">
      <c r="G1565" t="b">
        <f>MAX(E1565:E1565)=MIN(E1565:E1565)</f>
        <v>1</v>
      </c>
    </row>
    <row r="1566" spans="1:7" ht="11.25">
      <c r="A1566" s="2" t="s">
        <v>1053</v>
      </c>
      <c r="G1566" t="b">
        <f>MAX(E1566:E1566)=MIN(E1566:E1566)</f>
        <v>1</v>
      </c>
    </row>
    <row r="1567" spans="1:7" ht="11.25">
      <c r="B1567" s="2" t="s">
        <v>3293</v>
      </c>
      <c r="D1567" t="s">
        <v>2852</v>
      </c>
      <c r="G1567" t="b">
        <f>MAX(E1567:E1567)=MIN(E1567:E1567)</f>
        <v>1</v>
      </c>
    </row>
    <row r="1568" spans="1:7" ht="11.25">
      <c r="B1568" t="s">
        <v>1054</v>
      </c>
      <c r="D1568" t="s">
        <v>1055</v>
      </c>
      <c r="G1568" t="b">
        <f>MAX(E1568:E1568)=MIN(E1568:E1568)</f>
        <v>1</v>
      </c>
    </row>
    <row r="1569" spans="2:7" ht="11.25">
      <c r="C1569" s="3" t="str">
        <f>DataNameEmp1</f>
        <v>Offshore</v>
      </c>
      <c r="D1569">
        <v>0.2</v>
      </c>
      <c r="E1569" s="16">
        <f>decBusAEmp1HrsSales*paramEmp1ProductivityCoef*$D$1569</f>
        <v>497.37250268451794</v>
      </c>
      <c r="G1569" t="b">
        <f>MAX(E1569:E1569)=MIN(E1569:E1569)</f>
        <v>1</v>
      </c>
    </row>
    <row r="1570" spans="2:7" ht="11.25">
      <c r="C1570" s="3" t="str">
        <f>DataNameEmp2</f>
        <v>Technical</v>
      </c>
      <c r="D1570">
        <v>0.5</v>
      </c>
      <c r="E1570" s="16">
        <f>(decBusAEmp2HrsSales+decBusAEmp9HrsSales)*paramEmp2ProductivityCoef*$D$1570</f>
        <v>4743.0600913242006</v>
      </c>
      <c r="G1570" t="b">
        <f>MAX(E1570:E1570)=MIN(E1570:E1570)</f>
        <v>1</v>
      </c>
    </row>
    <row r="1571" spans="2:7" ht="11.25">
      <c r="C1571" s="3" t="str">
        <f>DataNameEmp3</f>
        <v>PM / Analyst</v>
      </c>
      <c r="D1571">
        <v>0.7</v>
      </c>
      <c r="E1571" s="16">
        <f>(capBusAEmp3HrsSales+decBusAEmp8HrsSales)*paramEmp3ProductivityCoef*$D$1571</f>
        <v>8578.7234419278684</v>
      </c>
      <c r="G1571" t="b">
        <f>MAX(E1571:E1571)=MIN(E1571:E1571)</f>
        <v>1</v>
      </c>
    </row>
    <row r="1572" spans="2:7" ht="11.25">
      <c r="C1572" s="3" t="str">
        <f>DataNameEmp4</f>
        <v>Director / EM</v>
      </c>
      <c r="D1572">
        <v>0.9</v>
      </c>
      <c r="E1572" s="101">
        <f>(decBusAEmp4HrsSales+decBusAEmp7HrsSales)*paramEmp4ProductivityCoef*$D$1572</f>
        <v>1940.6603076923079</v>
      </c>
      <c r="G1572" t="b">
        <f>MAX(E1572:E1572)=MIN(E1572:E1572)</f>
        <v>1</v>
      </c>
    </row>
    <row r="1573" spans="2:7" ht="11.25">
      <c r="C1573" s="3" t="s">
        <v>3671</v>
      </c>
      <c r="D1573">
        <v>0.02</v>
      </c>
      <c r="E1573" s="560">
        <f ca="1">(MAX(MIN(((cbalBusABusDevNonPayroll+1)/(IF(xxSim0Tool1=0,AVERAGE(OFFSET(cbalBusABusDevNonPayroll,0,0,1,xxNumOfTeams)),obalBusABusDevNonPayroll)+1))^$D1573,1.05),1))</f>
        <v>1</v>
      </c>
      <c r="G1573" t="b">
        <f ca="1">MAX(E1573:E1573)=MIN(E1573:E1573)</f>
        <v>1</v>
      </c>
    </row>
    <row r="1574" spans="2:7" ht="11.25">
      <c r="C1574" s="4" t="s">
        <v>205</v>
      </c>
      <c r="E1574" s="16">
        <f ca="1">SUM(E1569:E1572)*E1573</f>
        <v>15759.816343628894</v>
      </c>
      <c r="F1574" t="s">
        <v>156</v>
      </c>
      <c r="G1574" t="b">
        <f ca="1">MAX(E1574:E1574)=MIN(E1574:E1574)</f>
        <v>1</v>
      </c>
    </row>
    <row r="1575" spans="2:7" ht="11.25">
      <c r="E1575">
        <f ca="1">RANK(E1574,OFFSET($E1574,0,0,1,xxNumOfTeams))</f>
        <v>1</v>
      </c>
      <c r="F1575" t="s">
        <v>4225</v>
      </c>
      <c r="G1575" t="b">
        <f ca="1">MAX(E1575:E1575)=MIN(E1575:E1575)</f>
        <v>1</v>
      </c>
    </row>
    <row r="1576" spans="2:7" ht="11.25">
      <c r="D1576" t="s">
        <v>2852</v>
      </c>
      <c r="G1576" t="b">
        <f>MAX(E1576:E1576)=MIN(E1576:E1576)</f>
        <v>1</v>
      </c>
    </row>
    <row r="1577" spans="2:7" ht="11.25">
      <c r="B1577" t="s">
        <v>157</v>
      </c>
      <c r="D1577" t="s">
        <v>1055</v>
      </c>
      <c r="G1577" t="b">
        <f>MAX(E1577:E1577)=MIN(E1577:E1577)</f>
        <v>1</v>
      </c>
    </row>
    <row r="1578" spans="2:7" ht="11.25">
      <c r="C1578" s="3" t="str">
        <f>DataNameEmp1</f>
        <v>Offshore</v>
      </c>
      <c r="D1578">
        <v>0.2</v>
      </c>
      <c r="E1578" s="16">
        <f>decBusAEmp1HrsSalesV2*paramEmp1ProductivityCoef*$D1578</f>
        <v>437.68780236237581</v>
      </c>
      <c r="G1578" t="b">
        <f>MAX(E1578:E1578)=MIN(E1578:E1578)</f>
        <v>1</v>
      </c>
    </row>
    <row r="1579" spans="2:7" ht="11.25">
      <c r="C1579" s="3" t="str">
        <f>DataNameEmp2</f>
        <v>Technical</v>
      </c>
      <c r="D1579">
        <v>0.5</v>
      </c>
      <c r="E1579" s="16">
        <f>(decBusAEmp2HrsSalesV2+decBusAEmp9HrsSalesV2)*paramEmp2ProductivityCoef*$D1579</f>
        <v>7411.0313926940635</v>
      </c>
      <c r="G1579" t="b">
        <f>MAX(E1579:E1579)=MIN(E1579:E1579)</f>
        <v>1</v>
      </c>
    </row>
    <row r="1580" spans="2:7" ht="11.25">
      <c r="C1580" s="3" t="str">
        <f>DataNameEmp3</f>
        <v>PM / Analyst</v>
      </c>
      <c r="D1580">
        <v>0.7</v>
      </c>
      <c r="E1580" s="16">
        <f>(capBusAEmp3HrsSalesV2+decBusAEmp8HrsSalesV2)*paramEmp3ProductivityCoef*$D1580</f>
        <v>7094.2149840983593</v>
      </c>
      <c r="G1580" t="b">
        <f>MAX(E1580:E1580)=MIN(E1580:E1580)</f>
        <v>1</v>
      </c>
    </row>
    <row r="1581" spans="2:7" ht="11.25">
      <c r="C1581" s="3" t="str">
        <f>DataNameEmp4</f>
        <v>Director / EM</v>
      </c>
      <c r="D1581">
        <v>0.9</v>
      </c>
      <c r="E1581" s="101">
        <f>(decBusAEmp4HrsSalesV2+decBusAEmp7HrsSalesV2)*paramEmp4ProductivityCoef*$D1581</f>
        <v>1746.5942769230771</v>
      </c>
      <c r="G1581" t="b">
        <f>MAX(E1581:E1581)=MIN(E1581:E1581)</f>
        <v>1</v>
      </c>
    </row>
    <row r="1582" spans="2:7" ht="11.25">
      <c r="C1582" s="3" t="s">
        <v>3671</v>
      </c>
      <c r="D1582">
        <v>0.02</v>
      </c>
      <c r="E1582" s="560">
        <f ca="1">(MAX(MIN(((cbalBusABusDevNonPayroll+1)/(IF(xxSim0Tool1=0,AVERAGE(OFFSET(cbalBusABusDevNonPayroll,0,0,1,xxNumOfTeams)),obalBusABusDevNonPayroll)+1))^$D1582,1.05),1))</f>
        <v>1</v>
      </c>
      <c r="G1582" t="b">
        <f ca="1">MAX(E1582:E1582)=MIN(E1582:E1582)</f>
        <v>1</v>
      </c>
    </row>
    <row r="1583" spans="2:7" ht="11.25">
      <c r="C1583" s="4" t="s">
        <v>205</v>
      </c>
      <c r="E1583" s="16">
        <f ca="1">SUM(E1578:E1581)*E1582</f>
        <v>16689.528456077878</v>
      </c>
      <c r="F1583" t="s">
        <v>203</v>
      </c>
      <c r="G1583" t="b">
        <f ca="1">MAX(E1583:E1583)=MIN(E1583:E1583)</f>
        <v>1</v>
      </c>
    </row>
    <row r="1584" spans="2:7" ht="11.25">
      <c r="E1584">
        <f ca="1">RANK(E1583,OFFSET($E1583,0,0,1,xxNumOfTeams))</f>
        <v>1</v>
      </c>
      <c r="F1584" t="s">
        <v>4226</v>
      </c>
      <c r="G1584" t="b">
        <f ca="1">MAX(E1584:E1584)=MIN(E1584:E1584)</f>
        <v>1</v>
      </c>
    </row>
    <row r="1585" spans="2:7" ht="11.25">
      <c r="D1585" t="s">
        <v>2852</v>
      </c>
      <c r="G1585" t="b">
        <f>MAX(E1585:E1585)=MIN(E1585:E1585)</f>
        <v>1</v>
      </c>
    </row>
    <row r="1586" spans="2:7" ht="11.25">
      <c r="B1586" t="s">
        <v>206</v>
      </c>
      <c r="D1586" t="s">
        <v>1055</v>
      </c>
      <c r="G1586" t="b">
        <f>MAX(E1586:E1586)=MIN(E1586:E1586)</f>
        <v>1</v>
      </c>
    </row>
    <row r="1587" spans="2:7" ht="11.25">
      <c r="C1587" s="3" t="str">
        <f>DataNameEmp1</f>
        <v>Offshore</v>
      </c>
      <c r="D1587">
        <v>0.2</v>
      </c>
      <c r="E1587" s="16">
        <f>decBusAEmp1HrsSalesV3*paramEmp1ProductivityCoef*$D1587</f>
        <v>696.32150375832509</v>
      </c>
      <c r="G1587" t="b">
        <f>MAX(E1587:E1587)=MIN(E1587:E1587)</f>
        <v>1</v>
      </c>
    </row>
    <row r="1588" spans="2:7" ht="11.25">
      <c r="C1588" s="3" t="str">
        <f>DataNameEmp2</f>
        <v>Technical</v>
      </c>
      <c r="D1588">
        <v>0.5</v>
      </c>
      <c r="E1588" s="16">
        <f>(decBusAEmp2HrsSalesV3+decBusAEmp9HrsSalesV3)*paramEmp2ProductivityCoef*$D1588</f>
        <v>1185.7650228310501</v>
      </c>
      <c r="G1588" t="b">
        <f>MAX(E1588:E1588)=MIN(E1588:E1588)</f>
        <v>1</v>
      </c>
    </row>
    <row r="1589" spans="2:7" ht="11.25">
      <c r="C1589" s="3" t="str">
        <f>DataNameEmp3</f>
        <v>PM / Analyst</v>
      </c>
      <c r="D1589">
        <v>0.7</v>
      </c>
      <c r="E1589" s="16">
        <f>(capBusAEmp3HrsSalesV3+decBusAEmp8HrsSalesV3)*paramEmp3ProductivityCoef*$D1589</f>
        <v>20450.100714491797</v>
      </c>
      <c r="G1589" t="b">
        <f>MAX(E1589:E1589)=MIN(E1589:E1589)</f>
        <v>1</v>
      </c>
    </row>
    <row r="1590" spans="2:7" ht="11.25">
      <c r="C1590" s="3" t="str">
        <f>DataNameEmp4</f>
        <v>Director / EM</v>
      </c>
      <c r="D1590">
        <v>0.9</v>
      </c>
      <c r="E1590" s="101">
        <f>(decBusAEmp4HrsSalesV3+decBusAEmp7HrsSalesV3)*paramEmp4ProductivityCoef*$D1590</f>
        <v>873.29713846153857</v>
      </c>
      <c r="G1590" t="b">
        <f>MAX(E1590:E1590)=MIN(E1590:E1590)</f>
        <v>1</v>
      </c>
    </row>
    <row r="1591" spans="2:7" ht="11.25">
      <c r="C1591" s="3" t="s">
        <v>3671</v>
      </c>
      <c r="D1591">
        <v>0.02</v>
      </c>
      <c r="E1591" s="560">
        <f ca="1">(MAX(MIN(((cbalBusABusDevNonPayroll+1)/(IF(xxSim0Tool1=0,AVERAGE(OFFSET(cbalBusABusDevNonPayroll,0,0,1,xxNumOfTeams)),obalBusABusDevNonPayroll)+1))^$D1591,1.05),1))</f>
        <v>1</v>
      </c>
      <c r="G1591" t="b">
        <f ca="1">MAX(E1591:E1591)=MIN(E1591:E1591)</f>
        <v>1</v>
      </c>
    </row>
    <row r="1592" spans="2:7" ht="11.25">
      <c r="C1592" s="4" t="s">
        <v>205</v>
      </c>
      <c r="E1592" s="16">
        <f ca="1">SUM(E1587:E1590)*E1591</f>
        <v>23205.484379542708</v>
      </c>
      <c r="F1592" t="s">
        <v>204</v>
      </c>
      <c r="G1592" t="b">
        <f ca="1">MAX(E1592:E1592)=MIN(E1592:E1592)</f>
        <v>1</v>
      </c>
    </row>
    <row r="1593" spans="2:7" ht="11.25">
      <c r="E1593">
        <f ca="1">RANK(E1592,OFFSET($E1592,0,0,1,xxNumOfTeams))</f>
        <v>1</v>
      </c>
      <c r="F1593" t="s">
        <v>4227</v>
      </c>
      <c r="G1593" t="b">
        <f ca="1">MAX(E1593:E1593)=MIN(E1593:E1593)</f>
        <v>1</v>
      </c>
    </row>
    <row r="1594" spans="2:7" ht="11.25">
      <c r="G1594" t="b">
        <f>MAX(E1594:E1594)=MIN(E1594:E1594)</f>
        <v>1</v>
      </c>
    </row>
    <row r="1595" spans="2:7" ht="11.25">
      <c r="B1595" t="s">
        <v>207</v>
      </c>
      <c r="E1595" s="271">
        <f>paramSpecProgramProd1CSAT*(decBusAEmp4HrsCurrProj)/(decBusAEmp4HrsCurrProj+decBusAEmp3HrsCurrProj+decBusAEmp2HrsCurrProj+capBusAEmp1HrsCurrProj+decBusAV1HrsBorrowed)</f>
        <v>0.11086333469798128</v>
      </c>
      <c r="F1595" t="s">
        <v>95</v>
      </c>
      <c r="G1595" t="b">
        <f>MAX(E1595:E1595)=MIN(E1595:E1595)</f>
        <v>1</v>
      </c>
    </row>
    <row r="1596" spans="2:7" ht="11.25">
      <c r="B1596" t="s">
        <v>208</v>
      </c>
      <c r="E1596" s="271">
        <f>paramSpecProgramProd1CSAT*(decBusAEmp4HrsCurrProjV2)/(decBusAEmp4HrsCurrProjV2+decBusAEmp3HrsCurrProjV2+decBusAEmp2HrsCurrProjV2+capBusAEmp1HrsCurrProjV2+decBusAV2HrsBorrowed)</f>
        <v>8.4749879544996201E-2</v>
      </c>
      <c r="F1596" t="s">
        <v>96</v>
      </c>
      <c r="G1596" t="b">
        <f>MAX(E1596:E1596)=MIN(E1596:E1596)</f>
        <v>1</v>
      </c>
    </row>
    <row r="1597" spans="2:7" ht="11.25">
      <c r="B1597" t="s">
        <v>94</v>
      </c>
      <c r="E1597" s="271">
        <f>paramSpecProgramProd1CSAT*(decBusAEmp4HrsCurrProjV3)/(decBusAEmp4HrsCurrProjV3+decBusAEmp3HrsCurrProjV3+decBusAEmp2HrsCurrProjV3+capBusAEmp1HrsCurrProjV3+decBusAV3HrsBorrowed)</f>
        <v>6.7494904134737826E-2</v>
      </c>
      <c r="F1597" t="s">
        <v>97</v>
      </c>
      <c r="G1597" t="b">
        <f>MAX(E1597:E1597)=MIN(E1597:E1597)</f>
        <v>1</v>
      </c>
    </row>
    <row r="1598" spans="2:7" ht="11.25">
      <c r="G1598" t="b">
        <f>MAX(E1598:E1598)=MIN(E1598:E1598)</f>
        <v>1</v>
      </c>
    </row>
    <row r="1599" spans="2:7" ht="11.25">
      <c r="B1599" s="2" t="s">
        <v>635</v>
      </c>
      <c r="G1599" t="b">
        <f>MAX(E1599:E1599)=MIN(E1599:E1599)</f>
        <v>1</v>
      </c>
    </row>
    <row r="1600" spans="2:7" ht="11.25">
      <c r="G1600" t="b">
        <f>MAX(E1600:E1600)=MIN(E1600:E1600)</f>
        <v>1</v>
      </c>
    </row>
    <row r="1601" spans="2:7" ht="11.25">
      <c r="B1601" t="s">
        <v>1731</v>
      </c>
      <c r="D1601" t="s">
        <v>1055</v>
      </c>
      <c r="G1601" t="b">
        <f>MAX(E1601:E1601)=MIN(E1601:E1601)</f>
        <v>1</v>
      </c>
    </row>
    <row r="1602" spans="2:7" ht="11.25">
      <c r="C1602" s="3" t="str">
        <f>DataNameEmp2</f>
        <v>Technical</v>
      </c>
      <c r="D1602">
        <v>0.5</v>
      </c>
      <c r="E1602" s="101">
        <f>capBid1Emp2HrsRFQ*paramEmp2ProductivityCoef*$D1602</f>
        <v>652.17076255707752</v>
      </c>
      <c r="G1602" t="b">
        <f>MAX(E1602:E1602)=MIN(E1602:E1602)</f>
        <v>1</v>
      </c>
    </row>
    <row r="1603" spans="2:7" ht="11.25">
      <c r="C1603" s="3" t="str">
        <f>DataNameEmp3</f>
        <v>PM / Analyst</v>
      </c>
      <c r="D1603">
        <v>0.7</v>
      </c>
      <c r="E1603" s="101">
        <f>capBid1Emp3HrsRFQ*paramEmp3ProductivityCoef*$D1603</f>
        <v>1055.3377662295081</v>
      </c>
      <c r="G1603" t="b">
        <f>MAX(E1603:E1603)=MIN(E1603:E1603)</f>
        <v>1</v>
      </c>
    </row>
    <row r="1604" spans="2:7" ht="11.25">
      <c r="C1604" s="3" t="str">
        <f>DataNameEmp4</f>
        <v>Director / EM</v>
      </c>
      <c r="D1604">
        <v>0.9</v>
      </c>
      <c r="E1604" s="101">
        <f>capBid1Emp4HrsRFQ*paramEmp4ProductivityCoef*$D1604</f>
        <v>1164.3961846153848</v>
      </c>
      <c r="G1604" t="b">
        <f>MAX(E1604:E1604)=MIN(E1604:E1604)</f>
        <v>1</v>
      </c>
    </row>
    <row r="1605" spans="2:7" ht="11.25">
      <c r="C1605" s="3" t="s">
        <v>1108</v>
      </c>
      <c r="D1605">
        <v>1</v>
      </c>
      <c r="E1605" s="101">
        <f>decBusBH1HrsBorrowed*$D1605</f>
        <v>0</v>
      </c>
      <c r="G1605" t="b">
        <f>MAX(E1605:E1605)=MIN(E1605:E1605)</f>
        <v>1</v>
      </c>
    </row>
    <row r="1606" spans="2:7" ht="11.25">
      <c r="C1606" s="27" t="s">
        <v>1718</v>
      </c>
      <c r="D1606" s="18"/>
      <c r="E1606" s="561">
        <f>paramSpecProgPursuitEfficiencyV1*paramSpecProgPursuitEfficiencyH1</f>
        <v>1</v>
      </c>
      <c r="G1606" t="b">
        <f>MAX(E1606:E1606)=MIN(E1606:E1606)</f>
        <v>1</v>
      </c>
    </row>
    <row r="1607" spans="2:7" ht="11.25">
      <c r="C1607" s="3" t="s">
        <v>3671</v>
      </c>
      <c r="D1607">
        <v>0.02</v>
      </c>
      <c r="E1607" s="560">
        <f ca="1">(MAX(MIN(((cbalBusBBusDevNonPayroll+1)/(IF(xxSim0Tool1=0,AVERAGE(OFFSET(cbalBusBBusDevNonPayroll,0,0,1,xxNumOfTeams)),obalBusBBusDevNonPayroll)+1))^$D1607,1.05),1))</f>
        <v>1</v>
      </c>
      <c r="G1607" t="b">
        <f ca="1">MAX(E1607:E1607)=MIN(E1607:E1607)</f>
        <v>1</v>
      </c>
    </row>
    <row r="1608" spans="2:7" ht="11.25">
      <c r="C1608" s="4" t="s">
        <v>205</v>
      </c>
      <c r="E1608" s="101">
        <f ca="1">SUM(E1602:E1605)*E1606*E1607</f>
        <v>2871.9047134019702</v>
      </c>
      <c r="F1608" t="s">
        <v>1732</v>
      </c>
      <c r="G1608" t="b">
        <f ca="1">MAX(E1608:E1608)=MIN(E1608:E1608)</f>
        <v>1</v>
      </c>
    </row>
    <row r="1609" spans="2:7" ht="11.25">
      <c r="E1609">
        <f ca="1">RANK(E1608,OFFSET($E1608,0,0,1,xxNumOfTeams))</f>
        <v>1</v>
      </c>
      <c r="F1609" t="s">
        <v>1968</v>
      </c>
      <c r="G1609" t="b">
        <f ca="1">MAX(E1609:E1609)=MIN(E1609:E1609)</f>
        <v>1</v>
      </c>
    </row>
    <row r="1610" spans="2:7" ht="11.25">
      <c r="B1610" t="s">
        <v>667</v>
      </c>
      <c r="D1610" t="s">
        <v>1055</v>
      </c>
      <c r="E1610" s="18"/>
      <c r="G1610" t="b">
        <f>MAX(E1610:E1610)=MIN(E1610:E1610)</f>
        <v>1</v>
      </c>
    </row>
    <row r="1611" spans="2:7" ht="11.25">
      <c r="C1611" s="3" t="str">
        <f>DataNameEmp2</f>
        <v>Technical</v>
      </c>
      <c r="D1611">
        <v>0.5</v>
      </c>
      <c r="E1611" s="101">
        <f>capBid2Emp2HrsRFQ*paramEmp2ProductivityCoef*$D1611</f>
        <v>0</v>
      </c>
      <c r="G1611" t="b">
        <f>MAX(E1611:E1611)=MIN(E1611:E1611)</f>
        <v>1</v>
      </c>
    </row>
    <row r="1612" spans="2:7" ht="11.25">
      <c r="C1612" s="3" t="str">
        <f>DataNameEmp3</f>
        <v>PM / Analyst</v>
      </c>
      <c r="D1612">
        <v>0.7</v>
      </c>
      <c r="E1612" s="101">
        <f>capBid2Emp3HrsRFQ*paramEmp3ProductivityCoef*$D1612</f>
        <v>0</v>
      </c>
      <c r="G1612" t="b">
        <f>MAX(E1612:E1612)=MIN(E1612:E1612)</f>
        <v>1</v>
      </c>
    </row>
    <row r="1613" spans="2:7" ht="11.25">
      <c r="C1613" s="3" t="str">
        <f>DataNameEmp4</f>
        <v>Director / EM</v>
      </c>
      <c r="D1613">
        <v>0.9</v>
      </c>
      <c r="E1613" s="101">
        <f>capBid2Emp4HrsRFQ*paramEmp4ProductivityCoef*$D1613</f>
        <v>0</v>
      </c>
      <c r="G1613" t="b">
        <f>MAX(E1613:E1613)=MIN(E1613:E1613)</f>
        <v>1</v>
      </c>
    </row>
    <row r="1614" spans="2:7" ht="11.25">
      <c r="C1614" s="3" t="s">
        <v>1108</v>
      </c>
      <c r="D1614">
        <v>1</v>
      </c>
      <c r="E1614" s="101">
        <f>decBusBH2HrsBorrowed*$D1614</f>
        <v>0</v>
      </c>
      <c r="G1614" t="b">
        <f>MAX(E1614:E1614)=MIN(E1614:E1614)</f>
        <v>1</v>
      </c>
    </row>
    <row r="1615" spans="2:7" ht="11.25">
      <c r="C1615" s="3" t="s">
        <v>1718</v>
      </c>
      <c r="D1615" s="18"/>
      <c r="E1615" s="561">
        <f>paramSpecProgPursuitEfficiencyV1*paramSpecProgPursuitEfficiencyH2</f>
        <v>1</v>
      </c>
      <c r="G1615" t="b">
        <f>MAX(E1615:E1615)=MIN(E1615:E1615)</f>
        <v>1</v>
      </c>
    </row>
    <row r="1616" spans="2:7" ht="11.25">
      <c r="C1616" s="3" t="s">
        <v>3671</v>
      </c>
      <c r="D1616">
        <v>0.02</v>
      </c>
      <c r="E1616" s="560">
        <f ca="1">(MAX(MIN(((cbalBusBBusDevNonPayroll+1)/(IF(xxSim0Tool1=0,AVERAGE(OFFSET(cbalBusBBusDevNonPayroll,0,0,1,xxNumOfTeams)),obalBusBBusDevNonPayroll)+1))^$D1616,1.05),1))</f>
        <v>1</v>
      </c>
      <c r="G1616" t="b">
        <f ca="1">MAX(E1616:E1616)=MIN(E1616:E1616)</f>
        <v>1</v>
      </c>
    </row>
    <row r="1617" spans="2:7" ht="11.25">
      <c r="C1617" s="4" t="s">
        <v>205</v>
      </c>
      <c r="E1617" s="101">
        <f ca="1">SUM(E1611:E1614)*E1615*E1616</f>
        <v>0</v>
      </c>
      <c r="F1617" t="s">
        <v>668</v>
      </c>
      <c r="G1617" t="b">
        <f ca="1">MAX(E1617:E1617)=MIN(E1617:E1617)</f>
        <v>1</v>
      </c>
    </row>
    <row r="1618" spans="2:7" ht="11.25">
      <c r="E1618">
        <f ca="1">RANK(E1617,OFFSET($E1617,0,0,1,xxNumOfTeams))</f>
        <v>1</v>
      </c>
      <c r="F1618" t="s">
        <v>1969</v>
      </c>
      <c r="G1618" t="b">
        <f ca="1">MAX(E1618:E1618)=MIN(E1618:E1618)</f>
        <v>1</v>
      </c>
    </row>
    <row r="1619" spans="2:7" ht="11.25">
      <c r="B1619" t="s">
        <v>669</v>
      </c>
      <c r="D1619" t="s">
        <v>1055</v>
      </c>
      <c r="E1619" s="18"/>
      <c r="G1619" t="b">
        <f>MAX(E1619:E1619)=MIN(E1619:E1619)</f>
        <v>1</v>
      </c>
    </row>
    <row r="1620" spans="2:7" ht="11.25">
      <c r="C1620" s="3" t="str">
        <f>DataNameEmp2</f>
        <v>Technical</v>
      </c>
      <c r="D1620">
        <v>0.5</v>
      </c>
      <c r="E1620" s="101">
        <f>capBid3Emp2HrsRFQ*paramEmp2ProductivityCoef*$D1620</f>
        <v>0</v>
      </c>
      <c r="G1620" t="b">
        <f>MAX(E1620:E1620)=MIN(E1620:E1620)</f>
        <v>1</v>
      </c>
    </row>
    <row r="1621" spans="2:7" ht="11.25">
      <c r="C1621" s="3" t="str">
        <f>DataNameEmp3</f>
        <v>PM / Analyst</v>
      </c>
      <c r="D1621">
        <v>0.7</v>
      </c>
      <c r="E1621" s="101">
        <f>capBid3Emp3HrsRFQ*paramEmp3ProductivityCoef*$D1621</f>
        <v>0</v>
      </c>
      <c r="G1621" t="b">
        <f>MAX(E1621:E1621)=MIN(E1621:E1621)</f>
        <v>1</v>
      </c>
    </row>
    <row r="1622" spans="2:7" ht="11.25">
      <c r="C1622" s="3" t="str">
        <f>DataNameEmp4</f>
        <v>Director / EM</v>
      </c>
      <c r="D1622">
        <v>0.9</v>
      </c>
      <c r="E1622" s="101">
        <f>capBid3Emp4HrsRFQ*paramEmp4ProductivityCoef*$D1622</f>
        <v>0</v>
      </c>
      <c r="G1622" t="b">
        <f>MAX(E1622:E1622)=MIN(E1622:E1622)</f>
        <v>1</v>
      </c>
    </row>
    <row r="1623" spans="2:7" ht="11.25">
      <c r="C1623" s="3" t="s">
        <v>1108</v>
      </c>
      <c r="D1623">
        <v>1</v>
      </c>
      <c r="E1623" s="101">
        <f>decBusBH3HrsBorrowed*$D1623</f>
        <v>0</v>
      </c>
      <c r="G1623" t="b">
        <f>MAX(E1623:E1623)=MIN(E1623:E1623)</f>
        <v>1</v>
      </c>
    </row>
    <row r="1624" spans="2:7" ht="11.25">
      <c r="C1624" s="3" t="s">
        <v>1718</v>
      </c>
      <c r="E1624" s="561">
        <f>paramSpecProgPursuitEfficiencyV1*paramSpecProgPursuitEfficiencyH3</f>
        <v>1</v>
      </c>
      <c r="G1624" t="b">
        <f>MAX(E1624:E1624)=MIN(E1624:E1624)</f>
        <v>1</v>
      </c>
    </row>
    <row r="1625" spans="2:7" ht="11.25">
      <c r="C1625" s="3" t="s">
        <v>3671</v>
      </c>
      <c r="D1625">
        <v>0.02</v>
      </c>
      <c r="E1625" s="560">
        <f ca="1">(MAX(MIN(((cbalBusBBusDevNonPayroll+1)/(IF(xxSim0Tool1=0,AVERAGE(OFFSET(cbalBusBBusDevNonPayroll,0,0,1,xxNumOfTeams)),obalBusBBusDevNonPayroll)+1))^$D1625,1.05),1))</f>
        <v>1</v>
      </c>
      <c r="G1625" t="b">
        <f ca="1">MAX(E1625:E1625)=MIN(E1625:E1625)</f>
        <v>1</v>
      </c>
    </row>
    <row r="1626" spans="2:7" ht="11.25">
      <c r="C1626" s="4" t="s">
        <v>205</v>
      </c>
      <c r="E1626" s="101">
        <f ca="1">SUM(E1620:E1623)*E1624*E1625</f>
        <v>0</v>
      </c>
      <c r="F1626" t="s">
        <v>670</v>
      </c>
      <c r="G1626" t="b">
        <f ca="1">MAX(E1626:E1626)=MIN(E1626:E1626)</f>
        <v>1</v>
      </c>
    </row>
    <row r="1627" spans="2:7" ht="11.25">
      <c r="E1627">
        <f ca="1">RANK(E1626,OFFSET($E1626,0,0,1,xxNumOfTeams))</f>
        <v>1</v>
      </c>
      <c r="F1627" t="s">
        <v>1970</v>
      </c>
      <c r="G1627" t="b">
        <f ca="1">MAX(E1627:E1627)=MIN(E1627:E1627)</f>
        <v>1</v>
      </c>
    </row>
    <row r="1628" spans="2:7" ht="11.25">
      <c r="B1628" t="s">
        <v>1602</v>
      </c>
      <c r="D1628" t="s">
        <v>1055</v>
      </c>
      <c r="E1628" s="18"/>
      <c r="G1628" t="b">
        <f>MAX(E1628:E1628)=MIN(E1628:E1628)</f>
        <v>1</v>
      </c>
    </row>
    <row r="1629" spans="2:7" ht="11.25">
      <c r="C1629" s="3" t="str">
        <f>DataNameEmp2</f>
        <v>Technical</v>
      </c>
      <c r="D1629">
        <v>0.5</v>
      </c>
      <c r="E1629" s="101">
        <f>capBid4Emp2HrsRFQ*paramEmp2ProductivityCoef*$D1629</f>
        <v>0</v>
      </c>
      <c r="G1629" t="b">
        <f>MAX(E1629:E1629)=MIN(E1629:E1629)</f>
        <v>1</v>
      </c>
    </row>
    <row r="1630" spans="2:7" ht="11.25">
      <c r="C1630" s="3" t="str">
        <f>DataNameEmp3</f>
        <v>PM / Analyst</v>
      </c>
      <c r="D1630">
        <v>0.7</v>
      </c>
      <c r="E1630" s="101">
        <f>capBid4Emp3HrsRFQ*paramEmp3ProductivityCoef*$D1630</f>
        <v>0</v>
      </c>
      <c r="G1630" t="b">
        <f>MAX(E1630:E1630)=MIN(E1630:E1630)</f>
        <v>1</v>
      </c>
    </row>
    <row r="1631" spans="2:7" ht="11.25">
      <c r="C1631" s="3" t="str">
        <f>DataNameEmp4</f>
        <v>Director / EM</v>
      </c>
      <c r="D1631">
        <v>0.9</v>
      </c>
      <c r="E1631" s="101">
        <f>capBid4Emp4HrsRFQ*paramEmp4ProductivityCoef*$D1631</f>
        <v>0</v>
      </c>
      <c r="G1631" t="b">
        <f>MAX(E1631:E1631)=MIN(E1631:E1631)</f>
        <v>1</v>
      </c>
    </row>
    <row r="1632" spans="2:7" ht="11.25">
      <c r="C1632" s="3" t="s">
        <v>1108</v>
      </c>
      <c r="D1632">
        <v>1</v>
      </c>
      <c r="E1632" s="101">
        <f>decBusBH1HrsBorrowed*$D1632</f>
        <v>0</v>
      </c>
      <c r="G1632" t="b">
        <f>MAX(E1632:E1632)=MIN(E1632:E1632)</f>
        <v>1</v>
      </c>
    </row>
    <row r="1633" spans="2:7" ht="11.25">
      <c r="C1633" s="3" t="s">
        <v>1718</v>
      </c>
      <c r="E1633" s="528">
        <f>paramSpecProgPursuitEfficiencyV2*paramSpecProgPursuitEfficiencyH1</f>
        <v>1</v>
      </c>
      <c r="G1633" t="b">
        <f>MAX(E1633:E1633)=MIN(E1633:E1633)</f>
        <v>1</v>
      </c>
    </row>
    <row r="1634" spans="2:7" ht="11.25">
      <c r="C1634" s="3" t="s">
        <v>3671</v>
      </c>
      <c r="D1634">
        <v>0.02</v>
      </c>
      <c r="E1634" s="560">
        <f ca="1">(MAX(MIN(((cbalBusBBusDevNonPayroll+1)/(IF(xxSim0Tool1=0,AVERAGE(OFFSET(cbalBusBBusDevNonPayroll,0,0,1,xxNumOfTeams)),obalBusBBusDevNonPayroll)+1))^$D1634,1.05),1))</f>
        <v>1</v>
      </c>
      <c r="G1634" t="b">
        <f ca="1">MAX(E1634:E1634)=MIN(E1634:E1634)</f>
        <v>1</v>
      </c>
    </row>
    <row r="1635" spans="2:7" ht="11.25">
      <c r="C1635" s="4" t="s">
        <v>205</v>
      </c>
      <c r="E1635" s="101">
        <f ca="1">SUM(E1629:E1632)*E1633*E1634</f>
        <v>0</v>
      </c>
      <c r="F1635" t="s">
        <v>1603</v>
      </c>
      <c r="G1635" t="b">
        <f ca="1">MAX(E1635:E1635)=MIN(E1635:E1635)</f>
        <v>1</v>
      </c>
    </row>
    <row r="1636" spans="2:7" ht="11.25">
      <c r="E1636">
        <f ca="1">RANK(E1635,OFFSET($E1635,0,0,1,xxNumOfTeams))</f>
        <v>1</v>
      </c>
      <c r="F1636" t="s">
        <v>1971</v>
      </c>
      <c r="G1636" t="b">
        <f ca="1">MAX(E1636:E1636)=MIN(E1636:E1636)</f>
        <v>1</v>
      </c>
    </row>
    <row r="1637" spans="2:7" ht="11.25">
      <c r="B1637" t="s">
        <v>1604</v>
      </c>
      <c r="D1637" t="s">
        <v>1055</v>
      </c>
      <c r="E1637" s="18"/>
      <c r="G1637" t="b">
        <f>MAX(E1637:E1637)=MIN(E1637:E1637)</f>
        <v>1</v>
      </c>
    </row>
    <row r="1638" spans="2:7" ht="11.25">
      <c r="C1638" s="3" t="str">
        <f>DataNameEmp2</f>
        <v>Technical</v>
      </c>
      <c r="D1638">
        <v>0.5</v>
      </c>
      <c r="E1638" s="101">
        <f>capBid5Emp2HrsRFQ*paramEmp2ProductivityCoef*$D1638</f>
        <v>0</v>
      </c>
      <c r="G1638" t="b">
        <f>MAX(E1638:E1638)=MIN(E1638:E1638)</f>
        <v>1</v>
      </c>
    </row>
    <row r="1639" spans="2:7" ht="11.25">
      <c r="C1639" s="3" t="str">
        <f>DataNameEmp3</f>
        <v>PM / Analyst</v>
      </c>
      <c r="D1639">
        <v>0.7</v>
      </c>
      <c r="E1639" s="101">
        <f>capBid5Emp3HrsRFQ*paramEmp3ProductivityCoef*$D1639</f>
        <v>0</v>
      </c>
      <c r="G1639" t="b">
        <f>MAX(E1639:E1639)=MIN(E1639:E1639)</f>
        <v>1</v>
      </c>
    </row>
    <row r="1640" spans="2:7" ht="11.25">
      <c r="C1640" s="3" t="str">
        <f>DataNameEmp4</f>
        <v>Director / EM</v>
      </c>
      <c r="D1640">
        <v>0.9</v>
      </c>
      <c r="E1640" s="101">
        <f>capBid5Emp4HrsRFQ*paramEmp4ProductivityCoef*$D1640</f>
        <v>0</v>
      </c>
      <c r="G1640" t="b">
        <f>MAX(E1640:E1640)=MIN(E1640:E1640)</f>
        <v>1</v>
      </c>
    </row>
    <row r="1641" spans="2:7" ht="11.25">
      <c r="C1641" s="3" t="s">
        <v>1108</v>
      </c>
      <c r="D1641">
        <v>1</v>
      </c>
      <c r="E1641" s="101">
        <f>decBusBH2HrsBorrowed*$D1641</f>
        <v>0</v>
      </c>
      <c r="G1641" t="b">
        <f>MAX(E1641:E1641)=MIN(E1641:E1641)</f>
        <v>1</v>
      </c>
    </row>
    <row r="1642" spans="2:7" ht="11.25">
      <c r="C1642" s="3" t="s">
        <v>1718</v>
      </c>
      <c r="E1642" s="528">
        <f>paramSpecProgPursuitEfficiencyV2*paramSpecProgPursuitEfficiencyH2</f>
        <v>1</v>
      </c>
      <c r="G1642" t="b">
        <f>MAX(E1642:E1642)=MIN(E1642:E1642)</f>
        <v>1</v>
      </c>
    </row>
    <row r="1643" spans="2:7" ht="11.25">
      <c r="C1643" s="3" t="s">
        <v>3671</v>
      </c>
      <c r="D1643">
        <v>0.02</v>
      </c>
      <c r="E1643" s="560">
        <f ca="1">(MAX(MIN(((cbalBusBBusDevNonPayroll+1)/(IF(xxSim0Tool1=0,AVERAGE(OFFSET(cbalBusBBusDevNonPayroll,0,0,1,xxNumOfTeams)),obalBusBBusDevNonPayroll)+1))^$D1643,1.05),1))</f>
        <v>1</v>
      </c>
      <c r="G1643" t="b">
        <f ca="1">MAX(E1643:E1643)=MIN(E1643:E1643)</f>
        <v>1</v>
      </c>
    </row>
    <row r="1644" spans="2:7" ht="11.25">
      <c r="C1644" s="4" t="s">
        <v>205</v>
      </c>
      <c r="E1644" s="101">
        <f ca="1">SUM(E1638:E1641)*E1642*E1643</f>
        <v>0</v>
      </c>
      <c r="F1644" t="s">
        <v>1605</v>
      </c>
      <c r="G1644" t="b">
        <f ca="1">MAX(E1644:E1644)=MIN(E1644:E1644)</f>
        <v>1</v>
      </c>
    </row>
    <row r="1645" spans="2:7" ht="11.25">
      <c r="E1645">
        <f ca="1">RANK(E1644,OFFSET($E1644,0,0,1,xxNumOfTeams))</f>
        <v>1</v>
      </c>
      <c r="F1645" t="s">
        <v>1972</v>
      </c>
      <c r="G1645" t="b">
        <f ca="1">MAX(E1645:E1645)=MIN(E1645:E1645)</f>
        <v>1</v>
      </c>
    </row>
    <row r="1646" spans="2:7" ht="11.25">
      <c r="B1646" t="s">
        <v>1606</v>
      </c>
      <c r="D1646" t="s">
        <v>1055</v>
      </c>
      <c r="E1646" s="18"/>
      <c r="G1646" t="b">
        <f>MAX(E1646:E1646)=MIN(E1646:E1646)</f>
        <v>1</v>
      </c>
    </row>
    <row r="1647" spans="2:7" ht="11.25">
      <c r="C1647" s="3" t="str">
        <f>DataNameEmp2</f>
        <v>Technical</v>
      </c>
      <c r="D1647">
        <v>0.5</v>
      </c>
      <c r="E1647" s="101">
        <f>capBid6Emp2HrsRFQ*paramEmp2ProductivityCoef*$D1647</f>
        <v>0</v>
      </c>
      <c r="G1647" t="b">
        <f>MAX(E1647:E1647)=MIN(E1647:E1647)</f>
        <v>1</v>
      </c>
    </row>
    <row r="1648" spans="2:7" ht="11.25">
      <c r="C1648" s="3" t="str">
        <f>DataNameEmp3</f>
        <v>PM / Analyst</v>
      </c>
      <c r="D1648">
        <v>0.7</v>
      </c>
      <c r="E1648" s="101">
        <f>capBid6Emp3HrsRFQ*paramEmp3ProductivityCoef*$D1648</f>
        <v>0</v>
      </c>
      <c r="G1648" t="b">
        <f>MAX(E1648:E1648)=MIN(E1648:E1648)</f>
        <v>1</v>
      </c>
    </row>
    <row r="1649" spans="2:7" ht="11.25">
      <c r="C1649" s="3" t="str">
        <f>DataNameEmp4</f>
        <v>Director / EM</v>
      </c>
      <c r="D1649">
        <v>0.9</v>
      </c>
      <c r="E1649" s="101">
        <f>capBid6Emp4HrsRFQ*paramEmp4ProductivityCoef*$D1649</f>
        <v>0</v>
      </c>
      <c r="G1649" t="b">
        <f>MAX(E1649:E1649)=MIN(E1649:E1649)</f>
        <v>1</v>
      </c>
    </row>
    <row r="1650" spans="2:7" ht="11.25">
      <c r="C1650" s="3" t="s">
        <v>1108</v>
      </c>
      <c r="D1650">
        <v>1</v>
      </c>
      <c r="E1650" s="101">
        <f>decBusBH3HrsBorrowed*$D1650</f>
        <v>0</v>
      </c>
      <c r="G1650" t="b">
        <f>MAX(E1650:E1650)=MIN(E1650:E1650)</f>
        <v>1</v>
      </c>
    </row>
    <row r="1651" spans="2:7" ht="11.25">
      <c r="C1651" s="3" t="s">
        <v>1718</v>
      </c>
      <c r="E1651" s="528">
        <f>paramSpecProgPursuitEfficiencyV2*paramSpecProgPursuitEfficiencyH3</f>
        <v>1</v>
      </c>
      <c r="G1651" t="b">
        <f>MAX(E1651:E1651)=MIN(E1651:E1651)</f>
        <v>1</v>
      </c>
    </row>
    <row r="1652" spans="2:7" ht="11.25">
      <c r="C1652" s="3" t="s">
        <v>3671</v>
      </c>
      <c r="D1652">
        <v>0.02</v>
      </c>
      <c r="E1652" s="560">
        <f ca="1">(MAX(MIN(((cbalBusBBusDevNonPayroll+1)/(IF(xxSim0Tool1=0,AVERAGE(OFFSET(cbalBusBBusDevNonPayroll,0,0,1,xxNumOfTeams)),obalBusBBusDevNonPayroll)+1))^$D1652,1.05),1))</f>
        <v>1</v>
      </c>
      <c r="G1652" t="b">
        <f ca="1">MAX(E1652:E1652)=MIN(E1652:E1652)</f>
        <v>1</v>
      </c>
    </row>
    <row r="1653" spans="2:7" ht="11.25">
      <c r="C1653" s="4" t="s">
        <v>205</v>
      </c>
      <c r="E1653" s="101">
        <f ca="1">SUM(E1647:E1650)*E1651*E1652</f>
        <v>0</v>
      </c>
      <c r="F1653" t="s">
        <v>1607</v>
      </c>
      <c r="G1653" t="b">
        <f ca="1">MAX(E1653:E1653)=MIN(E1653:E1653)</f>
        <v>1</v>
      </c>
    </row>
    <row r="1654" spans="2:7" ht="11.25">
      <c r="E1654">
        <f ca="1">RANK(E1653,OFFSET($E1653,0,0,1,xxNumOfTeams))</f>
        <v>1</v>
      </c>
      <c r="F1654" t="s">
        <v>2917</v>
      </c>
      <c r="G1654" t="b">
        <f ca="1">MAX(E1654:E1654)=MIN(E1654:E1654)</f>
        <v>1</v>
      </c>
    </row>
    <row r="1655" spans="2:7" ht="11.25">
      <c r="B1655" t="s">
        <v>987</v>
      </c>
      <c r="D1655" t="s">
        <v>1055</v>
      </c>
      <c r="E1655" s="18"/>
      <c r="G1655" t="b">
        <f>MAX(E1655:E1655)=MIN(E1655:E1655)</f>
        <v>1</v>
      </c>
    </row>
    <row r="1656" spans="2:7" ht="11.25">
      <c r="C1656" s="3" t="str">
        <f>DataNameEmp2</f>
        <v>Technical</v>
      </c>
      <c r="D1656">
        <v>0.5</v>
      </c>
      <c r="E1656" s="101">
        <f>capBid7Emp2HrsRFQ*paramEmp2ProductivityCoef*$D1656</f>
        <v>0</v>
      </c>
      <c r="G1656" t="b">
        <f>MAX(E1656:E1656)=MIN(E1656:E1656)</f>
        <v>1</v>
      </c>
    </row>
    <row r="1657" spans="2:7" ht="11.25">
      <c r="C1657" s="3" t="str">
        <f>DataNameEmp3</f>
        <v>PM / Analyst</v>
      </c>
      <c r="D1657">
        <v>0.7</v>
      </c>
      <c r="E1657" s="101">
        <f>capBid7Emp3HrsRFQ*paramEmp3ProductivityCoef*$D1657</f>
        <v>0</v>
      </c>
      <c r="G1657" t="b">
        <f>MAX(E1657:E1657)=MIN(E1657:E1657)</f>
        <v>1</v>
      </c>
    </row>
    <row r="1658" spans="2:7" ht="11.25">
      <c r="C1658" s="3" t="str">
        <f>DataNameEmp4</f>
        <v>Director / EM</v>
      </c>
      <c r="D1658">
        <v>0.9</v>
      </c>
      <c r="E1658" s="101">
        <f>capBid7Emp4HrsRFQ*paramEmp4ProductivityCoef*$D1658</f>
        <v>0</v>
      </c>
      <c r="G1658" t="b">
        <f>MAX(E1658:E1658)=MIN(E1658:E1658)</f>
        <v>1</v>
      </c>
    </row>
    <row r="1659" spans="2:7" ht="11.25">
      <c r="C1659" s="3" t="s">
        <v>1108</v>
      </c>
      <c r="D1659">
        <v>1</v>
      </c>
      <c r="E1659" s="101">
        <f>decBusBH1HrsBorrowed*$D1659</f>
        <v>0</v>
      </c>
      <c r="G1659" t="b">
        <f>MAX(E1659:E1659)=MIN(E1659:E1659)</f>
        <v>1</v>
      </c>
    </row>
    <row r="1660" spans="2:7" ht="11.25">
      <c r="C1660" s="3" t="s">
        <v>1718</v>
      </c>
      <c r="E1660" s="528">
        <f>paramSpecProgPursuitEfficiencyV3*paramSpecProgPursuitEfficiencyH1</f>
        <v>1</v>
      </c>
      <c r="G1660" t="b">
        <f>MAX(E1660:E1660)=MIN(E1660:E1660)</f>
        <v>1</v>
      </c>
    </row>
    <row r="1661" spans="2:7" ht="11.25">
      <c r="C1661" s="3" t="s">
        <v>3671</v>
      </c>
      <c r="D1661">
        <v>0.02</v>
      </c>
      <c r="E1661" s="560">
        <f ca="1">(MAX(MIN(((cbalBusBBusDevNonPayroll+1)/(IF(xxSim0Tool1=0,AVERAGE(OFFSET(cbalBusBBusDevNonPayroll,0,0,1,xxNumOfTeams)),obalBusBBusDevNonPayroll)+1))^$D1661,1.05),1))</f>
        <v>1</v>
      </c>
      <c r="G1661" t="b">
        <f ca="1">MAX(E1661:E1661)=MIN(E1661:E1661)</f>
        <v>1</v>
      </c>
    </row>
    <row r="1662" spans="2:7" ht="11.25">
      <c r="C1662" s="4" t="s">
        <v>205</v>
      </c>
      <c r="E1662" s="101">
        <f ca="1">SUM(E1656:E1659)*E1660*E1661</f>
        <v>0</v>
      </c>
      <c r="F1662" t="s">
        <v>988</v>
      </c>
      <c r="G1662" t="b">
        <f ca="1">MAX(E1662:E1662)=MIN(E1662:E1662)</f>
        <v>1</v>
      </c>
    </row>
    <row r="1663" spans="2:7" ht="11.25">
      <c r="E1663">
        <f ca="1">RANK(E1662,OFFSET($E1662,0,0,1,xxNumOfTeams))</f>
        <v>1</v>
      </c>
      <c r="F1663" t="s">
        <v>966</v>
      </c>
      <c r="G1663" t="b">
        <f ca="1">MAX(E1663:E1663)=MIN(E1663:E1663)</f>
        <v>1</v>
      </c>
    </row>
    <row r="1664" spans="2:7" ht="11.25">
      <c r="B1664" t="s">
        <v>989</v>
      </c>
      <c r="D1664" t="s">
        <v>1055</v>
      </c>
      <c r="E1664" s="18"/>
      <c r="G1664" t="b">
        <f>MAX(E1664:E1664)=MIN(E1664:E1664)</f>
        <v>1</v>
      </c>
    </row>
    <row r="1665" spans="2:7" ht="11.25">
      <c r="C1665" s="3" t="str">
        <f>DataNameEmp2</f>
        <v>Technical</v>
      </c>
      <c r="D1665">
        <v>0.5</v>
      </c>
      <c r="E1665" s="101">
        <f>capBid8Emp2HrsRFQ*paramEmp2ProductivityCoef*$D1665</f>
        <v>0</v>
      </c>
      <c r="G1665" t="b">
        <f>MAX(E1665:E1665)=MIN(E1665:E1665)</f>
        <v>1</v>
      </c>
    </row>
    <row r="1666" spans="2:7" ht="11.25">
      <c r="C1666" s="3" t="str">
        <f>DataNameEmp3</f>
        <v>PM / Analyst</v>
      </c>
      <c r="D1666">
        <v>0.7</v>
      </c>
      <c r="E1666" s="101">
        <f>capBid8Emp3HrsRFQ*paramEmp3ProductivityCoef*$D1666</f>
        <v>0</v>
      </c>
      <c r="G1666" t="b">
        <f>MAX(E1666:E1666)=MIN(E1666:E1666)</f>
        <v>1</v>
      </c>
    </row>
    <row r="1667" spans="2:7" ht="11.25">
      <c r="C1667" s="3" t="str">
        <f>DataNameEmp4</f>
        <v>Director / EM</v>
      </c>
      <c r="D1667">
        <v>0.9</v>
      </c>
      <c r="E1667" s="101">
        <f>capBid8Emp4HrsRFQ*paramEmp4ProductivityCoef*$D1667</f>
        <v>0</v>
      </c>
      <c r="G1667" t="b">
        <f>MAX(E1667:E1667)=MIN(E1667:E1667)</f>
        <v>1</v>
      </c>
    </row>
    <row r="1668" spans="2:7" ht="11.25">
      <c r="C1668" s="3" t="s">
        <v>1108</v>
      </c>
      <c r="D1668">
        <v>1</v>
      </c>
      <c r="E1668" s="101">
        <f>decBusBH2HrsBorrowed*$D1668</f>
        <v>0</v>
      </c>
      <c r="G1668" t="b">
        <f>MAX(E1668:E1668)=MIN(E1668:E1668)</f>
        <v>1</v>
      </c>
    </row>
    <row r="1669" spans="2:7" ht="11.25">
      <c r="C1669" s="3" t="s">
        <v>1718</v>
      </c>
      <c r="E1669" s="528">
        <f>paramSpecProgPursuitEfficiencyV3*paramSpecProgPursuitEfficiencyH2</f>
        <v>1</v>
      </c>
      <c r="G1669" t="b">
        <f>MAX(E1669:E1669)=MIN(E1669:E1669)</f>
        <v>1</v>
      </c>
    </row>
    <row r="1670" spans="2:7" ht="11.25">
      <c r="C1670" s="3" t="s">
        <v>3671</v>
      </c>
      <c r="D1670">
        <v>0.02</v>
      </c>
      <c r="E1670" s="560">
        <f ca="1">(MAX(MIN(((cbalBusBBusDevNonPayroll+1)/(IF(xxSim0Tool1=0,AVERAGE(OFFSET(cbalBusBBusDevNonPayroll,0,0,1,xxNumOfTeams)),obalBusBBusDevNonPayroll)+1))^$D1670,1.05),1))</f>
        <v>1</v>
      </c>
      <c r="G1670" t="b">
        <f ca="1">MAX(E1670:E1670)=MIN(E1670:E1670)</f>
        <v>1</v>
      </c>
    </row>
    <row r="1671" spans="2:7" ht="11.25">
      <c r="C1671" s="4" t="s">
        <v>205</v>
      </c>
      <c r="E1671" s="101">
        <f ca="1">SUM(E1665:E1668)*E1669*E1670</f>
        <v>0</v>
      </c>
      <c r="F1671" t="s">
        <v>1967</v>
      </c>
      <c r="G1671" t="b">
        <f ca="1">MAX(E1671:E1671)=MIN(E1671:E1671)</f>
        <v>1</v>
      </c>
    </row>
    <row r="1672" spans="2:7" ht="11.25">
      <c r="E1672">
        <f ca="1">RANK(E1671,OFFSET($E1671,0,0,1,xxNumOfTeams))</f>
        <v>1</v>
      </c>
      <c r="F1672" t="s">
        <v>967</v>
      </c>
      <c r="G1672" t="b">
        <f ca="1">MAX(E1672:E1672)=MIN(E1672:E1672)</f>
        <v>1</v>
      </c>
    </row>
    <row r="1673" spans="2:7" ht="11.25">
      <c r="B1673" t="s">
        <v>1596</v>
      </c>
      <c r="D1673" t="s">
        <v>1055</v>
      </c>
      <c r="E1673" s="18"/>
      <c r="G1673" t="b">
        <f>MAX(E1673:E1673)=MIN(E1673:E1673)</f>
        <v>1</v>
      </c>
    </row>
    <row r="1674" spans="2:7" ht="11.25">
      <c r="C1674" s="3" t="str">
        <f>DataNameEmp2</f>
        <v>Technical</v>
      </c>
      <c r="D1674">
        <v>0.5</v>
      </c>
      <c r="E1674" s="101">
        <f>capBid9Emp2HrsRFQ*paramEmp2ProductivityCoef*$D1674</f>
        <v>0</v>
      </c>
      <c r="G1674" t="b">
        <f>MAX(E1674:E1674)=MIN(E1674:E1674)</f>
        <v>1</v>
      </c>
    </row>
    <row r="1675" spans="2:7" ht="11.25">
      <c r="C1675" s="3" t="str">
        <f>DataNameEmp3</f>
        <v>PM / Analyst</v>
      </c>
      <c r="D1675">
        <v>0.7</v>
      </c>
      <c r="E1675" s="101">
        <f>capBid9Emp3HrsRFQ*paramEmp3ProductivityCoef*$D1675</f>
        <v>0</v>
      </c>
      <c r="G1675" t="b">
        <f>MAX(E1675:E1675)=MIN(E1675:E1675)</f>
        <v>1</v>
      </c>
    </row>
    <row r="1676" spans="2:7" ht="11.25">
      <c r="C1676" s="3" t="str">
        <f>DataNameEmp4</f>
        <v>Director / EM</v>
      </c>
      <c r="D1676">
        <v>0.9</v>
      </c>
      <c r="E1676" s="101">
        <f>capBid9Emp4HrsRFQ*paramEmp4ProductivityCoef*$D1676</f>
        <v>0</v>
      </c>
      <c r="G1676" t="b">
        <f>MAX(E1676:E1676)=MIN(E1676:E1676)</f>
        <v>1</v>
      </c>
    </row>
    <row r="1677" spans="2:7" ht="11.25">
      <c r="C1677" s="3" t="s">
        <v>1108</v>
      </c>
      <c r="D1677">
        <v>1</v>
      </c>
      <c r="E1677" s="101">
        <f>decBusBH3HrsBorrowed*$D1677</f>
        <v>0</v>
      </c>
      <c r="G1677" t="b">
        <f>MAX(E1677:E1677)=MIN(E1677:E1677)</f>
        <v>1</v>
      </c>
    </row>
    <row r="1678" spans="2:7" ht="11.25">
      <c r="C1678" s="3" t="s">
        <v>1718</v>
      </c>
      <c r="E1678" s="528">
        <f>paramSpecProgPursuitEfficiencyV3*paramSpecProgPursuitEfficiencyH3</f>
        <v>1</v>
      </c>
      <c r="G1678" t="b">
        <f>MAX(E1678:E1678)=MIN(E1678:E1678)</f>
        <v>1</v>
      </c>
    </row>
    <row r="1679" spans="2:7" ht="11.25">
      <c r="C1679" s="3" t="s">
        <v>3671</v>
      </c>
      <c r="D1679">
        <v>0.02</v>
      </c>
      <c r="E1679" s="560">
        <f ca="1">(MAX(MIN(((cbalBusBBusDevNonPayroll+1)/(IF(xxSim0Tool1=0,AVERAGE(OFFSET(cbalBusBBusDevNonPayroll,0,0,1,xxNumOfTeams)),obalBusBBusDevNonPayroll)+1))^$D1679,1.05),1))</f>
        <v>1</v>
      </c>
      <c r="G1679" t="b">
        <f ca="1">MAX(E1679:E1679)=MIN(E1679:E1679)</f>
        <v>1</v>
      </c>
    </row>
    <row r="1680" spans="2:7" ht="11.25">
      <c r="C1680" s="4" t="s">
        <v>205</v>
      </c>
      <c r="E1680" s="101">
        <f ca="1">SUM(E1674:E1677)*E1678*E1679</f>
        <v>0</v>
      </c>
      <c r="F1680" t="s">
        <v>1597</v>
      </c>
      <c r="G1680" t="b">
        <f ca="1">MAX(E1680:E1680)=MIN(E1680:E1680)</f>
        <v>1</v>
      </c>
    </row>
    <row r="1681" spans="1:7" ht="11.25">
      <c r="E1681">
        <f ca="1">RANK(E1680,OFFSET($E1680,0,0,1,xxNumOfTeams))</f>
        <v>1</v>
      </c>
      <c r="F1681" t="s">
        <v>968</v>
      </c>
      <c r="G1681" t="b">
        <f ca="1">MAX(E1681:E1681)=MIN(E1681:E1681)</f>
        <v>1</v>
      </c>
    </row>
    <row r="1682" spans="1:7" ht="11.25">
      <c r="G1682" t="b">
        <f>MAX(E1682:E1682)=MIN(E1682:E1682)</f>
        <v>1</v>
      </c>
    </row>
    <row r="1683" spans="1:7" ht="11.25">
      <c r="B1683" t="s">
        <v>467</v>
      </c>
      <c r="E1683">
        <f>obalY1V1H1BidRev+obalY1V1H2BidRev+obalY1V1H3BidRev+obalY2V1H1BidRev+obalY2V1H2BidRev+obalY2V1H3BidRev+obalY3V1H1BidRev+obalY3V1H2BidRev+obalY3V1H3BidRev</f>
        <v>0</v>
      </c>
      <c r="F1683" t="s">
        <v>263</v>
      </c>
      <c r="G1683" t="b">
        <f>MAX(E1683:E1683)=MIN(E1683:E1683)</f>
        <v>1</v>
      </c>
    </row>
    <row r="1684" spans="1:7" ht="11.25">
      <c r="B1684" t="s">
        <v>468</v>
      </c>
      <c r="E1684">
        <f>obalY1V2H1BidRev+obalY1V2H2BidRev+obalY1V2H3BidRev+obalY2V2H1BidRev+obalY2V2H2BidRev+obalY2V2H3BidRev+obalY3V2H1BidRev+obalY3V2H2BidRev+obalY3V2H3BidRev</f>
        <v>0</v>
      </c>
      <c r="F1684" t="s">
        <v>264</v>
      </c>
      <c r="G1684" t="b">
        <f>MAX(E1684:E1684)=MIN(E1684:E1684)</f>
        <v>1</v>
      </c>
    </row>
    <row r="1685" spans="1:7" ht="11.25">
      <c r="B1685" t="s">
        <v>2584</v>
      </c>
      <c r="E1685">
        <f>obalY1V3H1BidRev+obalY1V3H2BidRev+obalY1V3H3BidRev+obalY2V3H1BidRev+obalY2V3H2BidRev+obalY2V3H3BidRev+obalY3V3H1BidRev+obalY3V3H2BidRev+obalY3V3H3BidRev</f>
        <v>0</v>
      </c>
      <c r="F1685" t="s">
        <v>265</v>
      </c>
      <c r="G1685" t="b">
        <f>MAX(E1685:E1685)=MIN(E1685:E1685)</f>
        <v>1</v>
      </c>
    </row>
    <row r="1686" spans="1:7" ht="11.25">
      <c r="G1686" t="b">
        <f>MAX(E1686:E1686)=MIN(E1686:E1686)</f>
        <v>1</v>
      </c>
    </row>
    <row r="1687" spans="1:7" ht="11.25">
      <c r="B1687" t="s">
        <v>2585</v>
      </c>
      <c r="E1687">
        <f>obalY1V1H1BidRev+obalY1V2H1BidRev+obalY1V3H1BidRev+obalY2V1H1BidRev+obalY2V2H1BidRev+obalY2V3H1BidRev+obalY3V1H1BidRev+obalY3V2H1BidRev+obalY3V3H1BidRev</f>
        <v>0</v>
      </c>
      <c r="F1687" t="s">
        <v>266</v>
      </c>
      <c r="G1687" t="b">
        <f>MAX(E1687:E1687)=MIN(E1687:E1687)</f>
        <v>1</v>
      </c>
    </row>
    <row r="1688" spans="1:7" ht="11.25">
      <c r="B1688" t="s">
        <v>2586</v>
      </c>
      <c r="E1688">
        <f>obalY1V1H2BidRev+obalY1V2H2BidRev+obalY1V3H2BidRev+obalY2V1H2BidRev+obalY2V2H2BidRev+obalY2V3H2BidRev+obalY3V1H2BidRev+obalY3V2H2BidRev+obalY3V3H2BidRev</f>
        <v>0</v>
      </c>
      <c r="F1688" t="s">
        <v>1428</v>
      </c>
      <c r="G1688" t="b">
        <f>MAX(E1688:E1688)=MIN(E1688:E1688)</f>
        <v>1</v>
      </c>
    </row>
    <row r="1689" spans="1:7" ht="11.25">
      <c r="B1689" t="s">
        <v>2587</v>
      </c>
      <c r="E1689">
        <f>obalY1V1H3BidRev+obalY1V2H3BidRev+obalY1V3H3BidRev+obalY2V1H3BidRev+obalY2V2H3BidRev+obalY2V3H3BidRev+obalY3V1H3BidRev+obalY3V2H3BidRev+obalY3V3H3BidRev</f>
        <v>0</v>
      </c>
      <c r="F1689" t="s">
        <v>1429</v>
      </c>
      <c r="G1689" t="b">
        <f>MAX(E1689:E1689)=MIN(E1689:E1689)</f>
        <v>1</v>
      </c>
    </row>
    <row r="1690" spans="1:7" ht="11.25">
      <c r="G1690" t="b">
        <f>MAX(E1690:E1690)=MIN(E1690:E1690)</f>
        <v>1</v>
      </c>
    </row>
    <row r="1691" spans="1:7">
      <c r="A1691" s="552" t="s">
        <v>4158</v>
      </c>
      <c r="B1691" s="552"/>
      <c r="C1691" s="552"/>
      <c r="D1691" s="552"/>
      <c r="E1691" s="552"/>
      <c r="G1691" t="b">
        <f>MAX(E1691:E1691)=MIN(E1691:E1691)</f>
        <v>1</v>
      </c>
    </row>
    <row r="1692" spans="1:7" ht="11.25">
      <c r="A1692" s="2"/>
      <c r="G1692" t="b">
        <f>MAX(E1692:E1692)=MIN(E1692:E1692)</f>
        <v>1</v>
      </c>
    </row>
    <row r="1693" spans="1:7" ht="11.25">
      <c r="C1693" t="s">
        <v>4149</v>
      </c>
      <c r="E1693" s="608">
        <f>SUM(E198:E200)</f>
        <v>1273717.1960784313</v>
      </c>
      <c r="G1693" t="b">
        <f>MAX(E1693:E1693)=MIN(E1693:E1693)</f>
        <v>1</v>
      </c>
    </row>
    <row r="1694" spans="1:7" ht="11.25">
      <c r="C1694" t="s">
        <v>4150</v>
      </c>
      <c r="E1694" s="566">
        <f>SUM(cbalBusAEmp2+0,cbalBusAEmp3+0,cbalBusAEmp4+0)</f>
        <v>687</v>
      </c>
      <c r="G1694" t="b">
        <f>MAX(E1694:E1694)=MIN(E1694:E1694)</f>
        <v>1</v>
      </c>
    </row>
    <row r="1695" spans="1:7" ht="11.25">
      <c r="C1695" t="s">
        <v>4151</v>
      </c>
      <c r="E1695" s="566">
        <f>SUM(cbalBusAEmp7+0,cbalBusAEmp8+0,cbalBusAEmp9+0)</f>
        <v>560</v>
      </c>
      <c r="F1695" s="451"/>
      <c r="G1695" t="b">
        <f>MAX(E1695:E1695)=MIN(E1695:E1695)</f>
        <v>1</v>
      </c>
    </row>
    <row r="1696" spans="1:7" ht="11.25">
      <c r="C1696" t="s">
        <v>4152</v>
      </c>
      <c r="E1696" s="311">
        <f>cbalBusAEmp1</f>
        <v>234</v>
      </c>
      <c r="G1696" t="b">
        <f>MAX(E1696:E1696)=MIN(E1696:E1696)</f>
        <v>1</v>
      </c>
    </row>
    <row r="1697" spans="1:7" ht="11.25">
      <c r="E1697" s="64"/>
      <c r="G1697" t="b">
        <f>MAX(E1697:E1697)=MIN(E1697:E1697)</f>
        <v>1</v>
      </c>
    </row>
    <row r="1698" spans="1:7" ht="11.25">
      <c r="C1698" t="s">
        <v>4153</v>
      </c>
      <c r="E1698" s="16">
        <f>9:9</f>
        <v>1643177.5779140757</v>
      </c>
      <c r="G1698" t="b">
        <f>MAX(E1698:E1698)=MIN(E1698:E1698)</f>
        <v>1</v>
      </c>
    </row>
    <row r="1699" spans="1:7" ht="11.25">
      <c r="C1699" t="s">
        <v>4154</v>
      </c>
      <c r="E1699" s="16">
        <f t="shared" ref="E1699:E1701" si="25">ROUNDUP((E$1698/E$1693)*E1694,0)</f>
        <v>887</v>
      </c>
      <c r="G1699" t="b">
        <f>MAX(E1699:E1699)=MIN(E1699:E1699)</f>
        <v>1</v>
      </c>
    </row>
    <row r="1700" spans="1:7" ht="11.25">
      <c r="C1700" t="s">
        <v>4155</v>
      </c>
      <c r="E1700" s="16">
        <f t="shared" si="25"/>
        <v>723</v>
      </c>
      <c r="G1700" t="b">
        <f>MAX(E1700:E1700)=MIN(E1700:E1700)</f>
        <v>1</v>
      </c>
    </row>
    <row r="1701" spans="1:7" ht="11.25">
      <c r="C1701" t="s">
        <v>4156</v>
      </c>
      <c r="D1701" s="87"/>
      <c r="E1701" s="16">
        <f t="shared" si="25"/>
        <v>302</v>
      </c>
      <c r="G1701" t="b">
        <f>MAX(E1701:E1701)=MIN(E1701:E1701)</f>
        <v>1</v>
      </c>
    </row>
    <row r="1702" spans="1:7" ht="11.25">
      <c r="G1702" t="b">
        <f>MAX(E1702:E1702)=MIN(E1702:E1702)</f>
        <v>1</v>
      </c>
    </row>
    <row r="1703" spans="1:7" ht="11.25">
      <c r="C1703" t="s">
        <v>4157</v>
      </c>
      <c r="E1703" s="64">
        <f>(E1699-E1694)/E1694</f>
        <v>0.29112081513828236</v>
      </c>
      <c r="G1703" t="b">
        <f>MAX(E1703:E1703)=MIN(E1703:E1703)</f>
        <v>1</v>
      </c>
    </row>
    <row r="1704" spans="1:7" ht="11.25">
      <c r="C1704" t="s">
        <v>4157</v>
      </c>
      <c r="E1704" s="64">
        <f t="shared" ref="E1704:E1705" si="26">(E1700-E1695)/E1695</f>
        <v>0.29107142857142859</v>
      </c>
      <c r="G1704" t="b">
        <f>MAX(E1704:E1704)=MIN(E1704:E1704)</f>
        <v>1</v>
      </c>
    </row>
    <row r="1705" spans="1:7" ht="11.25">
      <c r="C1705" t="s">
        <v>4157</v>
      </c>
      <c r="E1705" s="64">
        <f t="shared" si="26"/>
        <v>0.29059829059829062</v>
      </c>
      <c r="G1705" t="b">
        <f>MAX(E1705:E1705)=MIN(E1705:E1705)</f>
        <v>1</v>
      </c>
    </row>
    <row r="1706" spans="1:7" ht="11.25">
      <c r="G1706" t="b">
        <f>MAX(E1706:E1706)=MIN(E1706:E1706)</f>
        <v>1</v>
      </c>
    </row>
    <row r="1707" spans="1:7" ht="11.25">
      <c r="A1707" s="80"/>
      <c r="B1707" s="80"/>
      <c r="C1707" s="80"/>
      <c r="D1707" s="80"/>
      <c r="E1707" s="80"/>
      <c r="G1707" t="b">
        <f>MAX(E1707:E1707)=MIN(E1707:E1707)</f>
        <v>1</v>
      </c>
    </row>
    <row r="1708" spans="1:7" ht="11.25">
      <c r="A1708" s="2" t="s">
        <v>2491</v>
      </c>
      <c r="G1708" t="b">
        <f>MAX(E1708:E1708)=MIN(E1708:E1708)</f>
        <v>1</v>
      </c>
    </row>
    <row r="1709" spans="1:7" ht="11.25">
      <c r="G1709" t="b">
        <f>MAX(E1709:E1709)=MIN(E1709:E1709)</f>
        <v>1</v>
      </c>
    </row>
    <row r="1710" spans="1:7" ht="11.25">
      <c r="B1710" t="s">
        <v>1847</v>
      </c>
      <c r="E1710" s="420">
        <f>capBusACurrProjV1Emp1Output</f>
        <v>35616.436876738087</v>
      </c>
      <c r="G1710" t="b">
        <f>MAX(E1710:E1710)=MIN(E1710:E1710)</f>
        <v>1</v>
      </c>
    </row>
    <row r="1711" spans="1:7" ht="11.25">
      <c r="B1711" t="s">
        <v>1848</v>
      </c>
      <c r="E1711" s="420">
        <f>capBusACurrProjV2Emp1Output</f>
        <v>19880.645411453781</v>
      </c>
      <c r="G1711" t="b">
        <f>MAX(E1711:E1711)=MIN(E1711:E1711)</f>
        <v>1</v>
      </c>
    </row>
    <row r="1712" spans="1:7" ht="11.25">
      <c r="B1712" t="s">
        <v>1849</v>
      </c>
      <c r="E1712" s="420">
        <f>capBusACurrProjV3Emp1Output</f>
        <v>7854.1086643917597</v>
      </c>
      <c r="G1712" t="b">
        <f>MAX(E1712:E1712)=MIN(E1712:E1712)</f>
        <v>1</v>
      </c>
    </row>
    <row r="1713" spans="2:7" ht="11.25">
      <c r="C1713" s="2" t="s">
        <v>1856</v>
      </c>
      <c r="E1713" s="629">
        <f>SUM(E1710:E1712)</f>
        <v>63351.190952583631</v>
      </c>
      <c r="G1713" t="b">
        <f>MAX(E1713:E1713)=MIN(E1713:E1713)</f>
        <v>1</v>
      </c>
    </row>
    <row r="1714" spans="2:7" ht="11.25">
      <c r="E1714" s="271">
        <f>E1713/E$1728</f>
        <v>6.0392619203640502E-2</v>
      </c>
    </row>
    <row r="1715" spans="2:7" ht="11.25">
      <c r="E1715" s="271"/>
    </row>
    <row r="1716" spans="2:7" ht="11.25">
      <c r="B1716" t="s">
        <v>1851</v>
      </c>
      <c r="E1716" s="420">
        <f>capBusACurrProjV1Emp2Output+capBusACurrProjV1Emp3Output+capBusACurrProjV1Emp4Output</f>
        <v>239012.88624424904</v>
      </c>
      <c r="G1716" t="b">
        <f>MAX(E1716:E1716)=MIN(E1716:E1716)</f>
        <v>1</v>
      </c>
    </row>
    <row r="1717" spans="2:7" ht="11.25">
      <c r="B1717" t="s">
        <v>1850</v>
      </c>
      <c r="E1717" s="420">
        <f>capBusACurrProjV2Emp2Output+capBusACurrProjV2Emp3Output+capBusACurrProjV2Emp4Output</f>
        <v>195972.65050588193</v>
      </c>
      <c r="G1717" t="b">
        <f>MAX(E1717:E1717)=MIN(E1717:E1717)</f>
        <v>1</v>
      </c>
    </row>
    <row r="1718" spans="2:7" ht="11.25">
      <c r="B1718" t="s">
        <v>1852</v>
      </c>
      <c r="E1718" s="420">
        <f>capBusACurrProjV3Emp2Output+capBusACurrProjV3Emp3Output+capBusACurrProjV3Emp4Output</f>
        <v>57052.234656526569</v>
      </c>
      <c r="G1718" t="b">
        <f>MAX(E1718:E1718)=MIN(E1718:E1718)</f>
        <v>1</v>
      </c>
    </row>
    <row r="1719" spans="2:7" ht="11.25">
      <c r="C1719" s="2" t="s">
        <v>3719</v>
      </c>
      <c r="E1719" s="629">
        <f>SUM(E1716:E1718)</f>
        <v>492037.77140665753</v>
      </c>
      <c r="G1719" t="b">
        <f>MAX(E1719:E1719)=MIN(E1719:E1719)</f>
        <v>1</v>
      </c>
    </row>
    <row r="1720" spans="2:7" ht="11.25">
      <c r="E1720" s="271">
        <f>E1719/E$1728</f>
        <v>0.46905905501620732</v>
      </c>
    </row>
    <row r="1721" spans="2:7" ht="11.25"/>
    <row r="1722" spans="2:7" ht="11.25">
      <c r="B1722" t="s">
        <v>1853</v>
      </c>
      <c r="E1722" s="420">
        <f>capBusACurrProjV1Emp7Output+capBusACurrProjV1Emp8Output+capBusACurrProjV1Emp9Output</f>
        <v>331500</v>
      </c>
      <c r="G1722" t="b">
        <f>MAX(E1722:E1722)=MIN(E1722:E1722)</f>
        <v>1</v>
      </c>
    </row>
    <row r="1723" spans="2:7" ht="11.25">
      <c r="B1723" t="s">
        <v>1854</v>
      </c>
      <c r="E1723" s="420">
        <f>capBusACurrProjV2Emp7Output+capBusACurrProjV2Emp8Output+capBusACurrProjV2Emp9Output</f>
        <v>113000</v>
      </c>
      <c r="G1723" t="b">
        <f>MAX(E1723:E1723)=MIN(E1723:E1723)</f>
        <v>1</v>
      </c>
    </row>
    <row r="1724" spans="2:7" ht="11.25">
      <c r="B1724" t="s">
        <v>1855</v>
      </c>
      <c r="E1724" s="420">
        <f>capBusACurrProjV3Emp7Output+capBusACurrProjV3Emp8Output+capBusACurrProjV3Emp9Output</f>
        <v>49100</v>
      </c>
      <c r="G1724" t="b">
        <f>MAX(E1724:E1724)=MIN(E1724:E1724)</f>
        <v>1</v>
      </c>
    </row>
    <row r="1725" spans="2:7" ht="11.25">
      <c r="C1725" s="2" t="s">
        <v>3720</v>
      </c>
      <c r="E1725" s="629">
        <f>SUM(E1722:E1724)</f>
        <v>493600</v>
      </c>
      <c r="G1725" t="b">
        <f>MAX(E1725:E1725)=MIN(E1725:E1725)</f>
        <v>1</v>
      </c>
    </row>
    <row r="1726" spans="2:7" ht="11.25">
      <c r="E1726" s="271">
        <f>E1725/E$1728</f>
        <v>0.47054832578015215</v>
      </c>
      <c r="G1726" t="b">
        <f>MAX(E1726:E1726)=MIN(E1726:E1726)</f>
        <v>1</v>
      </c>
    </row>
    <row r="1727" spans="2:7" ht="11.25">
      <c r="E1727" s="271"/>
    </row>
    <row r="1728" spans="2:7" ht="11.25">
      <c r="C1728" s="2" t="s">
        <v>2039</v>
      </c>
      <c r="E1728" s="629">
        <f>SUM(E1713,E1719,E1725)</f>
        <v>1048988.9623592412</v>
      </c>
      <c r="G1728" t="b">
        <f>MAX(E1728:E1728)=MIN(E1728:E1728)</f>
        <v>1</v>
      </c>
    </row>
    <row r="1729" spans="2:7" ht="11.25">
      <c r="C1729" s="2"/>
      <c r="E1729" s="629"/>
    </row>
    <row r="1730" spans="2:7" ht="11.25">
      <c r="C1730" s="2"/>
      <c r="E1730" s="629"/>
    </row>
    <row r="1731" spans="2:7" ht="11.25">
      <c r="D1731" s="655"/>
      <c r="G1731" t="b">
        <f>MAX(E1731:E1731)=MIN(E1731:E1731)</f>
        <v>1</v>
      </c>
    </row>
    <row r="1732" spans="2:7" ht="11.25">
      <c r="B1732" t="s">
        <v>2036</v>
      </c>
      <c r="E1732" s="654">
        <f>decProd1Units*INDEX(xxMMProd1Seg1Units,xxYear+2)*(1+decProd1Growth)</f>
        <v>852248.16297476867</v>
      </c>
      <c r="G1732" t="b">
        <f>MAX(E1732:E1732)=MIN(E1732:E1732)</f>
        <v>1</v>
      </c>
    </row>
    <row r="1733" spans="2:7" ht="11.25">
      <c r="B1733" t="s">
        <v>2037</v>
      </c>
      <c r="E1733" s="654">
        <f>decProd1V2Units*INDEX(xxMMProd1Seg2Units,xxYear+2)*(1+decProd1V2Growth)</f>
        <v>479389.59167330735</v>
      </c>
    </row>
    <row r="1734" spans="2:7" ht="11.25">
      <c r="B1734" t="s">
        <v>2038</v>
      </c>
      <c r="E1734" s="654">
        <f>decProd1V3Units*INDEX(xxMMProd1Seg3Units,xxYear+2)*(1+decProd1V3Growth)</f>
        <v>188712.09323012733</v>
      </c>
    </row>
    <row r="1735" spans="2:7" ht="11.25"/>
    <row r="1736" spans="2:7" ht="11.25">
      <c r="B1736" t="s">
        <v>3721</v>
      </c>
      <c r="E1736" s="271">
        <f>6:6/9:9</f>
        <v>0.51865858835333611</v>
      </c>
      <c r="G1736" t="b">
        <f>MAX(E1736:E1736)=MIN(E1736:E1736)</f>
        <v>1</v>
      </c>
    </row>
    <row r="1737" spans="2:7" ht="11.25">
      <c r="B1737" t="s">
        <v>3722</v>
      </c>
      <c r="E1737" s="271">
        <f>7:7/$E$9:$E$9</f>
        <v>0.32821363794234565</v>
      </c>
      <c r="G1737" t="b">
        <f>MAX(E1737:E1737)=MIN(E1737:E1737)</f>
        <v>1</v>
      </c>
    </row>
    <row r="1738" spans="2:7" ht="11.25">
      <c r="B1738" t="s">
        <v>3723</v>
      </c>
      <c r="E1738" s="271">
        <f>8:8/$E$9:$E$9</f>
        <v>0.15312777370431832</v>
      </c>
      <c r="G1738" t="b">
        <f>MAX(E1738:E1738)=MIN(E1738:E1738)</f>
        <v>1</v>
      </c>
    </row>
    <row r="1739" spans="2:7" ht="11.25">
      <c r="E1739" s="271"/>
    </row>
    <row r="1740" spans="2:7" ht="11.25">
      <c r="E1740" s="271"/>
    </row>
    <row r="1741" spans="2:7" ht="11.25">
      <c r="B1741" t="s">
        <v>3730</v>
      </c>
      <c r="E1741" s="12">
        <v>0.1</v>
      </c>
      <c r="G1741" t="b">
        <f>MAX(E1741:E1741)=MIN(E1741:E1741)</f>
        <v>1</v>
      </c>
    </row>
    <row r="1742" spans="2:7" ht="11.25">
      <c r="B1742" t="s">
        <v>3958</v>
      </c>
      <c r="E1742" s="12">
        <v>0.32</v>
      </c>
      <c r="G1742" t="b">
        <f>MAX(E1742:E1742)=MIN(E1742:E1742)</f>
        <v>1</v>
      </c>
    </row>
    <row r="1743" spans="2:7" ht="11.25">
      <c r="B1743" t="s">
        <v>3959</v>
      </c>
      <c r="E1743" s="12">
        <v>0.04</v>
      </c>
      <c r="G1743" t="b">
        <f>MAX(E1743:E1743)=MIN(E1743:E1743)</f>
        <v>1</v>
      </c>
    </row>
    <row r="1744" spans="2:7" ht="11.25">
      <c r="B1744" t="s">
        <v>3730</v>
      </c>
      <c r="E1744" s="420">
        <f t="shared" ref="E1744:E1746" si="27">E1732*E1741</f>
        <v>85224.816297476878</v>
      </c>
    </row>
    <row r="1745" spans="2:7" ht="11.25">
      <c r="B1745" t="s">
        <v>3958</v>
      </c>
      <c r="E1745" s="420">
        <f t="shared" si="27"/>
        <v>153404.66933545837</v>
      </c>
    </row>
    <row r="1746" spans="2:7" ht="11.25">
      <c r="B1746" t="s">
        <v>3959</v>
      </c>
      <c r="E1746" s="420">
        <f t="shared" si="27"/>
        <v>7548.4837292050934</v>
      </c>
    </row>
    <row r="1747" spans="2:7" ht="11.25">
      <c r="C1747" s="2" t="s">
        <v>2042</v>
      </c>
      <c r="E1747" s="629">
        <f>SUM(E1744:E1746)</f>
        <v>246177.96936214034</v>
      </c>
    </row>
    <row r="1748" spans="2:7" ht="11.25">
      <c r="E1748" s="12"/>
    </row>
    <row r="1749" spans="2:7" ht="11.25">
      <c r="B1749" t="s">
        <v>3960</v>
      </c>
      <c r="E1749" s="12">
        <v>0.42</v>
      </c>
      <c r="G1749" t="b">
        <f>MAX(E1749:E1749)=MIN(E1749:E1749)</f>
        <v>1</v>
      </c>
    </row>
    <row r="1750" spans="2:7" ht="11.25">
      <c r="B1750" t="s">
        <v>2031</v>
      </c>
      <c r="E1750" s="12">
        <v>0.12</v>
      </c>
      <c r="G1750" t="b">
        <f>MAX(E1750:E1750)=MIN(E1750:E1750)</f>
        <v>1</v>
      </c>
    </row>
    <row r="1751" spans="2:7" ht="11.25">
      <c r="B1751" t="s">
        <v>2032</v>
      </c>
      <c r="E1751" s="12">
        <v>0.7</v>
      </c>
      <c r="G1751" t="b">
        <f>MAX(E1751:E1751)=MIN(E1751:E1751)</f>
        <v>1</v>
      </c>
    </row>
    <row r="1752" spans="2:7" ht="11.25">
      <c r="B1752" t="s">
        <v>3960</v>
      </c>
      <c r="E1752" s="420">
        <f t="shared" ref="E1752:E1754" si="28">E1732*E1749</f>
        <v>357944.22844940284</v>
      </c>
    </row>
    <row r="1753" spans="2:7" ht="11.25">
      <c r="B1753" t="s">
        <v>2031</v>
      </c>
      <c r="E1753" s="420">
        <f t="shared" si="28"/>
        <v>57526.751000796881</v>
      </c>
    </row>
    <row r="1754" spans="2:7" ht="11.25">
      <c r="B1754" t="s">
        <v>2032</v>
      </c>
      <c r="E1754" s="420">
        <f t="shared" si="28"/>
        <v>132098.46526108912</v>
      </c>
    </row>
    <row r="1755" spans="2:7" ht="11.25">
      <c r="C1755" s="2" t="s">
        <v>2044</v>
      </c>
      <c r="E1755" s="629">
        <f>SUM(E1752:E1754)</f>
        <v>547569.4447112889</v>
      </c>
    </row>
    <row r="1756" spans="2:7" ht="11.25">
      <c r="G1756" t="b">
        <f>MAX(E1756:E1756)=MIN(E1756:E1756)</f>
        <v>1</v>
      </c>
    </row>
    <row r="1757" spans="2:7" ht="11.25">
      <c r="B1757" t="s">
        <v>2033</v>
      </c>
      <c r="E1757" s="12">
        <v>0.48</v>
      </c>
      <c r="G1757" t="b">
        <f>MAX(E1757:E1757)=MIN(E1757:E1757)</f>
        <v>1</v>
      </c>
    </row>
    <row r="1758" spans="2:7" ht="11.25">
      <c r="B1758" t="s">
        <v>2034</v>
      </c>
      <c r="E1758" s="12">
        <v>0.56000000000000005</v>
      </c>
      <c r="G1758" t="b">
        <f>MAX(E1758:E1758)=MIN(E1758:E1758)</f>
        <v>1</v>
      </c>
    </row>
    <row r="1759" spans="2:7" ht="11.25">
      <c r="B1759" t="s">
        <v>2035</v>
      </c>
      <c r="E1759" s="12">
        <v>0.26</v>
      </c>
      <c r="G1759" t="b">
        <f>MAX(E1759:E1759)=MIN(E1759:E1759)</f>
        <v>1</v>
      </c>
    </row>
    <row r="1760" spans="2:7" ht="11.25">
      <c r="B1760" t="s">
        <v>2033</v>
      </c>
      <c r="E1760" s="564">
        <f t="shared" ref="E1760:E1762" si="29">E1732*E1757</f>
        <v>409079.11822788895</v>
      </c>
      <c r="G1760" t="b">
        <f>MAX(E1760:E1760)=MIN(E1760:E1760)</f>
        <v>1</v>
      </c>
    </row>
    <row r="1761" spans="2:7" ht="11.25">
      <c r="B1761" t="s">
        <v>2034</v>
      </c>
      <c r="E1761" s="564">
        <f t="shared" si="29"/>
        <v>268458.17133705213</v>
      </c>
      <c r="G1761" t="b">
        <f>MAX(E1761:E1761)=MIN(E1761:E1761)</f>
        <v>1</v>
      </c>
    </row>
    <row r="1762" spans="2:7" ht="11.25">
      <c r="B1762" t="s">
        <v>2035</v>
      </c>
      <c r="E1762" s="564">
        <f t="shared" si="29"/>
        <v>49065.144239833106</v>
      </c>
      <c r="G1762" t="b">
        <f>MAX(E1762:E1762)=MIN(E1762:E1762)</f>
        <v>1</v>
      </c>
    </row>
    <row r="1763" spans="2:7" ht="11.25">
      <c r="C1763" s="2" t="s">
        <v>2043</v>
      </c>
      <c r="E1763" s="629">
        <f>SUM(E1760:E1762)</f>
        <v>726602.43380477419</v>
      </c>
      <c r="G1763" t="b">
        <f>MAX(E1763:E1763)=MIN(E1763:E1763)</f>
        <v>1</v>
      </c>
    </row>
    <row r="1764" spans="2:7" ht="11.25">
      <c r="G1764" t="b">
        <f>MAX(E1764:E1764)=MIN(E1764:E1764)</f>
        <v>1</v>
      </c>
    </row>
    <row r="1765" spans="2:7" ht="11.25">
      <c r="G1765" t="b">
        <f>MAX(E1765:E1765)=MIN(E1765:E1765)</f>
        <v>1</v>
      </c>
    </row>
    <row r="1766" spans="2:7" ht="11.25">
      <c r="B1766" s="2" t="s">
        <v>2045</v>
      </c>
      <c r="G1766" t="b">
        <f>MAX(E1766:E1766)=MIN(E1766:E1766)</f>
        <v>1</v>
      </c>
    </row>
    <row r="1767" spans="2:7" ht="11.25">
      <c r="B1767" s="2" t="s">
        <v>2040</v>
      </c>
      <c r="E1767" s="271">
        <f>(E1747/E1713)-1</f>
        <v>2.8859248841335403</v>
      </c>
      <c r="G1767" t="b">
        <f>MAX(E1767:E1767)=MIN(E1767:E1767)</f>
        <v>1</v>
      </c>
    </row>
    <row r="1768" spans="2:7" ht="11.25">
      <c r="B1768" s="2" t="s">
        <v>2041</v>
      </c>
      <c r="E1768" s="271">
        <f>(E1755/E1719)-1</f>
        <v>0.11286059024671058</v>
      </c>
      <c r="G1768" t="b">
        <f>MAX(E1768:E1768)=MIN(E1768:E1768)</f>
        <v>1</v>
      </c>
    </row>
    <row r="1769" spans="2:7" ht="11.25">
      <c r="B1769" s="2" t="s">
        <v>2631</v>
      </c>
      <c r="E1769" s="271">
        <f>(E1763/E1725)-1</f>
        <v>0.47204707010691682</v>
      </c>
      <c r="G1769" t="b">
        <f>MAX(E1769:E1769)=MIN(E1769:E1769)</f>
        <v>1</v>
      </c>
    </row>
    <row r="1770" spans="2:7" ht="11.25">
      <c r="G1770" t="b">
        <f>MAX(E1770:E1770)=MIN(E1770:E1770)</f>
        <v>1</v>
      </c>
    </row>
    <row r="1771" spans="2:7" ht="11.25">
      <c r="B1771" s="2" t="s">
        <v>2046</v>
      </c>
      <c r="D1771" t="s">
        <v>2047</v>
      </c>
      <c r="E1771" s="1265">
        <v>8.1297396559630863E-2</v>
      </c>
      <c r="F1771" s="202" t="s">
        <v>3870</v>
      </c>
      <c r="G1771" t="b">
        <f>MAX(E1771:E1771)=MIN(E1771:E1771)</f>
        <v>1</v>
      </c>
    </row>
    <row r="1772" spans="2:7" ht="11.25">
      <c r="B1772" s="2" t="s">
        <v>2040</v>
      </c>
      <c r="E1772" s="420">
        <f>E$1713*E$1767*(1+E$1771)</f>
        <v>197690.11951563819</v>
      </c>
      <c r="G1772" t="b">
        <f>MAX(E1772:E1772)=MIN(E1772:E1772)</f>
        <v>1</v>
      </c>
    </row>
    <row r="1773" spans="2:7" ht="11.25">
      <c r="B1773" s="2" t="s">
        <v>2041</v>
      </c>
      <c r="E1773" s="420">
        <f>E$1719*E$1768*(1+E$1771)</f>
        <v>60046.253770897914</v>
      </c>
      <c r="G1773" t="b">
        <f>MAX(E1773:E1773)=MIN(E1773:E1773)</f>
        <v>1</v>
      </c>
    </row>
    <row r="1774" spans="2:7" ht="11.25">
      <c r="B1774" s="2" t="s">
        <v>2631</v>
      </c>
      <c r="E1774" s="420">
        <f>E$1725*E$1769*(1+E$1771)</f>
        <v>251944.92506516</v>
      </c>
      <c r="G1774" t="b">
        <f>MAX(E1774:E1774)=MIN(E1774:E1774)</f>
        <v>1</v>
      </c>
    </row>
    <row r="1775" spans="2:7" ht="11.25">
      <c r="B1775" s="2" t="s">
        <v>2040</v>
      </c>
      <c r="E1775" s="15">
        <f>E1772/E$1713</f>
        <v>3.1205430638802514</v>
      </c>
      <c r="G1775" t="b">
        <f>MAX(E1775:E1775)=MIN(E1775:E1775)</f>
        <v>1</v>
      </c>
    </row>
    <row r="1776" spans="2:7" ht="11.25">
      <c r="B1776" s="2" t="s">
        <v>2041</v>
      </c>
      <c r="E1776" s="15">
        <f>E1773/E$1719</f>
        <v>0.12203586240795143</v>
      </c>
    </row>
    <row r="1777" spans="2:7" ht="11.25">
      <c r="B1777" s="2" t="s">
        <v>2631</v>
      </c>
      <c r="E1777" s="15">
        <f>E1774/E$1725</f>
        <v>0.51042326796021065</v>
      </c>
    </row>
    <row r="1778" spans="2:7" ht="11.25"/>
    <row r="1779" spans="2:7" ht="11.25"/>
    <row r="1780" spans="2:7" ht="11.25"/>
    <row r="1781" spans="2:7" ht="11.25">
      <c r="B1781" s="2" t="s">
        <v>2048</v>
      </c>
      <c r="D1781" t="s">
        <v>2047</v>
      </c>
      <c r="E1781" s="1265">
        <v>8.1297396559630863E-2</v>
      </c>
      <c r="F1781" s="202" t="s">
        <v>3871</v>
      </c>
      <c r="G1781" t="b">
        <f>MAX(E1781:E1781)=MIN(E1781:E1781)</f>
        <v>1</v>
      </c>
    </row>
    <row r="1782" spans="2:7" ht="11.25">
      <c r="B1782" s="2" t="s">
        <v>2040</v>
      </c>
      <c r="E1782" s="420">
        <f>E$1713*E$1767*(1+E$1781)</f>
        <v>197690.11951563819</v>
      </c>
      <c r="G1782" t="b">
        <f>MAX(E1782:E1782)=MIN(E1782:E1782)</f>
        <v>1</v>
      </c>
    </row>
    <row r="1783" spans="2:7" ht="11.25">
      <c r="B1783" s="2" t="s">
        <v>2041</v>
      </c>
      <c r="E1783" s="420">
        <f>E$1719*E$1768*(1+E$1781)</f>
        <v>60046.253770897914</v>
      </c>
      <c r="G1783" t="b">
        <f>MAX(E1783:E1783)=MIN(E1783:E1783)</f>
        <v>1</v>
      </c>
    </row>
    <row r="1784" spans="2:7" ht="11.25">
      <c r="B1784" s="2" t="s">
        <v>2631</v>
      </c>
      <c r="E1784" s="420">
        <f>E$1725*E$1769*(1+E$1781)</f>
        <v>251944.92506516</v>
      </c>
      <c r="G1784" t="b">
        <f>MAX(E1784:E1784)=MIN(E1784:E1784)</f>
        <v>1</v>
      </c>
    </row>
    <row r="1785" spans="2:7" ht="11.25">
      <c r="B1785" s="2" t="s">
        <v>2040</v>
      </c>
      <c r="E1785" s="15">
        <f>E1782/E$1713</f>
        <v>3.1205430638802514</v>
      </c>
      <c r="G1785" t="b">
        <f>MAX(E1785:E1785)=MIN(E1785:E1785)</f>
        <v>1</v>
      </c>
    </row>
    <row r="1786" spans="2:7" ht="11.25">
      <c r="B1786" s="2" t="s">
        <v>2041</v>
      </c>
      <c r="E1786" s="15">
        <f>E1783/E$1719</f>
        <v>0.12203586240795143</v>
      </c>
      <c r="G1786" t="b">
        <f>MAX(E1786:E1786)=MIN(E1786:E1786)</f>
        <v>1</v>
      </c>
    </row>
    <row r="1787" spans="2:7" ht="11.25">
      <c r="B1787" s="2" t="s">
        <v>2631</v>
      </c>
      <c r="E1787" s="15">
        <f>E1784/E$1725</f>
        <v>0.51042326796021065</v>
      </c>
      <c r="G1787" t="b">
        <f>MAX(E1787:E1787)=MIN(E1787:E1787)</f>
        <v>1</v>
      </c>
    </row>
    <row r="1788" spans="2:7" ht="11.25">
      <c r="G1788" t="b">
        <f>MAX(E1788:E1788)=MIN(E1788:E1788)</f>
        <v>1</v>
      </c>
    </row>
    <row r="1789" spans="2:7" ht="11.25">
      <c r="G1789" t="b">
        <f>MAX(E1789:E1789)=MIN(E1789:E1789)</f>
        <v>1</v>
      </c>
    </row>
    <row r="1790" spans="2:7" ht="11.25">
      <c r="G1790" t="b">
        <f>MAX(E1790:E1790)=MIN(E1790:E1790)</f>
        <v>1</v>
      </c>
    </row>
    <row r="1791" spans="2:7" ht="11.25">
      <c r="B1791" s="2" t="s">
        <v>281</v>
      </c>
      <c r="D1791" t="s">
        <v>2047</v>
      </c>
      <c r="E1791" s="1265">
        <v>8.1297396559630863E-2</v>
      </c>
      <c r="F1791" s="202" t="s">
        <v>282</v>
      </c>
      <c r="G1791" t="b">
        <f>MAX(E1791:E1791)=MIN(E1791:E1791)</f>
        <v>1</v>
      </c>
    </row>
    <row r="1792" spans="2:7" ht="11.25">
      <c r="B1792" s="2" t="s">
        <v>2040</v>
      </c>
      <c r="E1792" s="420">
        <f>E$1713*E$1767*(1+E$1781)</f>
        <v>197690.11951563819</v>
      </c>
      <c r="G1792" t="b">
        <f>MAX(E1792:E1792)=MIN(E1792:E1792)</f>
        <v>1</v>
      </c>
    </row>
    <row r="1793" spans="2:10" ht="11.25">
      <c r="B1793" s="2" t="s">
        <v>2041</v>
      </c>
      <c r="E1793" s="420">
        <f>E$1719*E$1768*(1+E$1781)</f>
        <v>60046.253770897914</v>
      </c>
      <c r="G1793" t="b">
        <f>MAX(E1793:E1793)=MIN(E1793:E1793)</f>
        <v>1</v>
      </c>
    </row>
    <row r="1794" spans="2:10" ht="11.25">
      <c r="B1794" s="2" t="s">
        <v>2631</v>
      </c>
      <c r="E1794" s="420">
        <f>E$1725*E$1769*(1+E$1781)</f>
        <v>251944.92506516</v>
      </c>
      <c r="G1794" t="b">
        <f>MAX(E1794:E1794)=MIN(E1794:E1794)</f>
        <v>1</v>
      </c>
    </row>
    <row r="1795" spans="2:10" ht="11.25">
      <c r="B1795" s="2" t="s">
        <v>2040</v>
      </c>
      <c r="E1795" s="15">
        <f>E1792/E$1713</f>
        <v>3.1205430638802514</v>
      </c>
      <c r="G1795" t="b">
        <f>MAX(E1795:E1795)=MIN(E1795:E1795)</f>
        <v>1</v>
      </c>
    </row>
    <row r="1796" spans="2:10" ht="11.25">
      <c r="B1796" s="2" t="s">
        <v>2041</v>
      </c>
      <c r="E1796" s="15">
        <f>E1793/E$1719</f>
        <v>0.12203586240795143</v>
      </c>
      <c r="G1796" t="b">
        <f>MAX(E1796:E1796)=MIN(E1796:E1796)</f>
        <v>1</v>
      </c>
    </row>
    <row r="1797" spans="2:10" ht="11.25">
      <c r="B1797" s="2" t="s">
        <v>2631</v>
      </c>
      <c r="E1797" s="15">
        <f>E1794/E$1725</f>
        <v>0.51042326796021065</v>
      </c>
      <c r="G1797" t="b">
        <f>MAX(E1797:E1797)=MIN(E1797:E1797)</f>
        <v>1</v>
      </c>
    </row>
    <row r="1798" spans="2:10" ht="11.25">
      <c r="G1798" t="b">
        <f>MAX(E1798:E1798)=MIN(E1798:E1798)</f>
        <v>1</v>
      </c>
    </row>
    <row r="1799" spans="2:10" s="1009" customFormat="1">
      <c r="B1799" s="1008" t="s">
        <v>4701</v>
      </c>
    </row>
    <row r="1800" spans="2:10" ht="11.25">
      <c r="G1800" t="b">
        <f>MAX(E1800:E1800)=MIN(E1800:E1800)</f>
        <v>1</v>
      </c>
    </row>
    <row r="1801" spans="2:10" ht="11.25">
      <c r="B1801" s="2" t="s">
        <v>4736</v>
      </c>
      <c r="G1801" t="b">
        <f>MAX(E1801:E1801)=MIN(E1801:E1801)</f>
        <v>1</v>
      </c>
    </row>
    <row r="1802" spans="2:10" ht="11.25">
      <c r="C1802" t="s">
        <v>4738</v>
      </c>
      <c r="E1802" s="15">
        <f>obalBusATLV1</f>
        <v>1</v>
      </c>
      <c r="G1802" t="b">
        <f>MAX(E1802:E1802)=MIN(E1802:E1802)</f>
        <v>1</v>
      </c>
      <c r="H1802" s="313" t="s">
        <v>2280</v>
      </c>
      <c r="I1802" s="313" t="s">
        <v>4052</v>
      </c>
      <c r="J1802" s="313" t="s">
        <v>4739</v>
      </c>
    </row>
    <row r="1803" spans="2:10" ht="11.25">
      <c r="C1803" t="s">
        <v>4737</v>
      </c>
      <c r="E1803" s="15">
        <f ca="1">MAX(MIN(((cbalBusACompDevV1)/(IF(xxSim0Tool1=0,AVERAGE(OFFSET(cbalBusACompDevV1,0,0,1,xxNumOfTeams)),obalBusACompDevV1)))^$H1803,$I1803),$J1803)</f>
        <v>1.0413797439924106</v>
      </c>
      <c r="G1803" t="b">
        <f ca="1">MAX(E1803:E1803)=MIN(E1803:E1803)</f>
        <v>1</v>
      </c>
      <c r="H1803" s="1010">
        <v>0.1</v>
      </c>
      <c r="I1803" s="1010">
        <v>1.5</v>
      </c>
      <c r="J1803" s="1010">
        <v>0.5</v>
      </c>
    </row>
    <row r="1804" spans="2:10" ht="11.25">
      <c r="C1804" t="s">
        <v>5169</v>
      </c>
      <c r="E1804" s="55">
        <f ca="1">IF(decBusAEmp1HrsCurrProj=0,100%,MAX(MIN(((capBusAEmp1HrsCurrProj)/(IF(xxSim0Tool1=0,AVERAGE(OFFSET(capBusAEmp1HrsCurrProj,0,0,1,xxNumOfTeams)),capBusAEmp1HrsCurrProj)))^$H1804,$I1804),$J1804))</f>
        <v>1</v>
      </c>
      <c r="G1804" t="b">
        <f ca="1">MAX(E1804:E1804)=MIN(E1804:E1804)</f>
        <v>1</v>
      </c>
      <c r="H1804" s="1010">
        <v>0.1</v>
      </c>
      <c r="I1804" s="1010">
        <v>1.5</v>
      </c>
      <c r="J1804" s="1010">
        <v>0.5</v>
      </c>
    </row>
    <row r="1805" spans="2:10" ht="11.25">
      <c r="C1805" s="700" t="s">
        <v>602</v>
      </c>
      <c r="E1805" s="1011">
        <f>paramSpecProgTLLevelAddPrac1</f>
        <v>1</v>
      </c>
      <c r="H1805" s="1010"/>
      <c r="I1805" s="1010"/>
      <c r="J1805" s="1010"/>
    </row>
    <row r="1806" spans="2:10" ht="11.25">
      <c r="C1806" t="s">
        <v>4746</v>
      </c>
      <c r="E1806" s="15">
        <f ca="1">PRODUCT(E1802:E1805)</f>
        <v>1.0413797439924106</v>
      </c>
      <c r="F1806" t="s">
        <v>4747</v>
      </c>
      <c r="G1806" t="b">
        <f ca="1">MAX(E1806:E1806)=MIN(E1806:E1806)</f>
        <v>1</v>
      </c>
    </row>
    <row r="1807" spans="2:10" ht="11.25">
      <c r="G1807" t="b">
        <f>MAX(E1807:E1807)=MIN(E1807:E1807)</f>
        <v>1</v>
      </c>
    </row>
    <row r="1808" spans="2:10" ht="11.25">
      <c r="B1808" s="2" t="s">
        <v>4749</v>
      </c>
      <c r="G1808" t="b">
        <f>MAX(E1808:E1808)=MIN(E1808:E1808)</f>
        <v>1</v>
      </c>
    </row>
    <row r="1809" spans="2:10" ht="11.25">
      <c r="C1809" t="s">
        <v>4738</v>
      </c>
      <c r="E1809" s="15">
        <f>obalBusATLV2</f>
        <v>1</v>
      </c>
      <c r="G1809" t="b">
        <f>MAX(E1809:E1809)=MIN(E1809:E1809)</f>
        <v>1</v>
      </c>
      <c r="H1809" s="313" t="s">
        <v>2280</v>
      </c>
      <c r="I1809" s="313" t="s">
        <v>4052</v>
      </c>
      <c r="J1809" s="313" t="s">
        <v>4739</v>
      </c>
    </row>
    <row r="1810" spans="2:10" ht="11.25">
      <c r="C1810" t="s">
        <v>4737</v>
      </c>
      <c r="E1810" s="15">
        <f ca="1">IF(decBusAEmp1HrsCurrProjV2=0,100%,MAX(MIN(((cbalBusACompDevV2)/(IF(xxSim0Tool1=0,AVERAGE(OFFSET(cbalBusACompDevV2,0,0,1,xxNumOfTeams)),obalBusACompDevV2)))^$H1810,$I1810),$J1810))</f>
        <v>1.0524097791489255</v>
      </c>
      <c r="G1810" t="b">
        <f ca="1">MAX(E1810:E1810)=MIN(E1810:E1810)</f>
        <v>1</v>
      </c>
      <c r="H1810" s="1010">
        <v>0.1</v>
      </c>
      <c r="I1810" s="1010">
        <v>1.5</v>
      </c>
      <c r="J1810" s="1010">
        <v>0.5</v>
      </c>
    </row>
    <row r="1811" spans="2:10" ht="11.25">
      <c r="C1811" t="s">
        <v>5169</v>
      </c>
      <c r="E1811" s="55">
        <f ca="1">MAX(MIN(((capBusAEmp1HrsCurrProjV2)/(IF(xxSim0Tool1=0,AVERAGE(OFFSET(capBusAEmp1HrsCurrProjV2,0,0,1,xxNumOfTeams)),capBusAEmp1HrsCurrProjV2)))^$H1811,$I1811),$J1811)</f>
        <v>1</v>
      </c>
      <c r="G1811" t="b">
        <f ca="1">MAX(E1811:E1811)=MIN(E1811:E1811)</f>
        <v>1</v>
      </c>
      <c r="H1811" s="1010">
        <v>0.1</v>
      </c>
      <c r="I1811" s="1010">
        <v>1.5</v>
      </c>
      <c r="J1811" s="1010">
        <v>0.5</v>
      </c>
    </row>
    <row r="1812" spans="2:10" ht="11.25">
      <c r="C1812" s="700" t="s">
        <v>602</v>
      </c>
      <c r="E1812" s="1011">
        <f>paramSpecProgTLLevelAddPrac2</f>
        <v>1</v>
      </c>
      <c r="H1812" s="1010"/>
      <c r="I1812" s="1010"/>
      <c r="J1812" s="1010"/>
    </row>
    <row r="1813" spans="2:10" ht="11.25">
      <c r="C1813" t="s">
        <v>4746</v>
      </c>
      <c r="E1813" s="15">
        <f ca="1">PRODUCT(E1809:E1812)</f>
        <v>1.0524097791489255</v>
      </c>
      <c r="F1813" t="s">
        <v>4748</v>
      </c>
      <c r="G1813" t="b">
        <f ca="1">MAX(E1813:E1813)=MIN(E1813:E1813)</f>
        <v>1</v>
      </c>
    </row>
    <row r="1814" spans="2:10" ht="11.25">
      <c r="G1814" t="b">
        <f>MAX(E1814:E1814)=MIN(E1814:E1814)</f>
        <v>1</v>
      </c>
    </row>
    <row r="1815" spans="2:10" ht="11.25">
      <c r="B1815" s="2" t="s">
        <v>5166</v>
      </c>
      <c r="G1815" t="b">
        <f>MAX(E1815:E1815)=MIN(E1815:E1815)</f>
        <v>1</v>
      </c>
    </row>
    <row r="1816" spans="2:10" ht="11.25">
      <c r="C1816" t="s">
        <v>4738</v>
      </c>
      <c r="E1816" s="15">
        <f>obalBusATLV3</f>
        <v>1</v>
      </c>
      <c r="G1816" t="b">
        <f>MAX(E1816:E1816)=MIN(E1816:E1816)</f>
        <v>1</v>
      </c>
      <c r="H1816" s="313" t="s">
        <v>2280</v>
      </c>
      <c r="I1816" s="313" t="s">
        <v>4052</v>
      </c>
      <c r="J1816" s="313" t="s">
        <v>4739</v>
      </c>
    </row>
    <row r="1817" spans="2:10" ht="11.25">
      <c r="C1817" t="s">
        <v>4737</v>
      </c>
      <c r="E1817" s="15">
        <f ca="1">IF(decBusAEmp1HrsCurrProjV3=0,100%,MAX(MIN(((cbalBusACompDevV3)/(IF(xxSim0Tool1=0,AVERAGE(OFFSET(cbalBusACompDevV3,0,0,1,xxNumOfTeams)),obalBusACompDevV3)))^$H1817,$I1817),$J1817))</f>
        <v>1</v>
      </c>
      <c r="G1817" t="b">
        <f ca="1">MAX(E1817:E1817)=MIN(E1817:E1817)</f>
        <v>1</v>
      </c>
      <c r="H1817" s="1010">
        <v>0.1</v>
      </c>
      <c r="I1817" s="1010">
        <v>1.5</v>
      </c>
      <c r="J1817" s="1010">
        <v>0.5</v>
      </c>
    </row>
    <row r="1818" spans="2:10" ht="11.25">
      <c r="C1818" t="s">
        <v>5169</v>
      </c>
      <c r="E1818" s="55">
        <f ca="1">MAX(MIN(((capBusAEmp1HrsCurrProjV3)/(IF(xxSim0Tool1=0,AVERAGE(OFFSET(capBusAEmp1HrsCurrProjV3,0,0,1,xxNumOfTeams)),capBusAEmp1HrsCurrProjV3)))^$H1818,$I1818),$J1818)</f>
        <v>1</v>
      </c>
      <c r="G1818" t="b">
        <f ca="1">MAX(E1818:E1818)=MIN(E1818:E1818)</f>
        <v>1</v>
      </c>
      <c r="H1818" s="1010">
        <v>0.1</v>
      </c>
      <c r="I1818" s="1010">
        <v>1.5</v>
      </c>
      <c r="J1818" s="1010">
        <v>0.5</v>
      </c>
    </row>
    <row r="1819" spans="2:10" ht="11.25">
      <c r="C1819" s="700" t="s">
        <v>602</v>
      </c>
      <c r="E1819" s="1011">
        <f>paramSpecProgTLLevelAddPrac3</f>
        <v>1</v>
      </c>
      <c r="H1819" s="1010"/>
      <c r="I1819" s="1010"/>
      <c r="J1819" s="1010"/>
    </row>
    <row r="1820" spans="2:10" ht="11.25">
      <c r="C1820" t="s">
        <v>4746</v>
      </c>
      <c r="E1820" s="15">
        <f ca="1">PRODUCT(E1816:E1819)</f>
        <v>1</v>
      </c>
      <c r="F1820" t="s">
        <v>4750</v>
      </c>
      <c r="G1820" t="b">
        <f ca="1">MAX(E1820:E1820)=MIN(E1820:E1820)</f>
        <v>1</v>
      </c>
    </row>
    <row r="1821" spans="2:10" ht="11.25">
      <c r="G1821" t="b">
        <f>MAX(E1821:E1821)=MIN(E1821:E1821)</f>
        <v>1</v>
      </c>
    </row>
    <row r="1822" spans="2:10" ht="11.25">
      <c r="B1822" s="2" t="s">
        <v>4807</v>
      </c>
      <c r="E1822" t="str">
        <f>decTeamName</f>
        <v>Entrevard</v>
      </c>
      <c r="G1822" t="b">
        <f>MAX(E1822:E1822)=MIN(E1822:E1822)</f>
        <v>1</v>
      </c>
    </row>
    <row r="1823" spans="2:10" ht="11.25">
      <c r="E1823" s="539">
        <f>MAX(0,(capBusAEmp1Utiliz+capBusAEmp9Utiliz/3)-(capBusAEmp3Utiliz/30))</f>
        <v>0.49148859633051856</v>
      </c>
      <c r="F1823" s="700" t="s">
        <v>4872</v>
      </c>
      <c r="G1823" t="b">
        <f>MAX(E1823:E1823)=MIN(E1823:E1823)</f>
        <v>1</v>
      </c>
    </row>
    <row r="1824" spans="2:10" ht="11.25">
      <c r="G1824" t="b">
        <f>MAX(E1824:E1824)=MIN(E1824:E1824)</f>
        <v>1</v>
      </c>
    </row>
    <row r="1825" spans="2:7" s="1009" customFormat="1">
      <c r="B1825" s="1008" t="s">
        <v>5656</v>
      </c>
    </row>
    <row r="1826" spans="2:7" ht="11.25">
      <c r="G1826" t="b">
        <f>MAX(E1826:E1826)=MIN(E1826:E1826)</f>
        <v>1</v>
      </c>
    </row>
    <row r="1827" spans="2:7" ht="11.25">
      <c r="D1827" t="s">
        <v>10</v>
      </c>
      <c r="E1827" s="267">
        <f>IFERROR((decBusAEmp1HrsCurrProj/100)*(capBusACurrProjV1HrsReq),0)</f>
        <v>35804.589803921568</v>
      </c>
      <c r="F1827" s="1503" t="s">
        <v>5657</v>
      </c>
      <c r="G1827" t="b">
        <f>MAX(E1827:E1827)=MIN(E1827:E1827)</f>
        <v>1</v>
      </c>
    </row>
    <row r="1828" spans="2:7" ht="11.25">
      <c r="D1828" t="s">
        <v>11</v>
      </c>
      <c r="E1828" s="267">
        <f>IFERROR((decBusAEmp1HrsCurrProjV2/100)*(capBusACurrProjV2HrsReq),0)</f>
        <v>19985.670000000002</v>
      </c>
      <c r="F1828" s="26" t="s">
        <v>5682</v>
      </c>
      <c r="G1828" t="b">
        <f>MAX(E1828:E1828)=MIN(E1828:E1828)</f>
        <v>1</v>
      </c>
    </row>
    <row r="1829" spans="2:7" ht="11.25">
      <c r="D1829" t="s">
        <v>12</v>
      </c>
      <c r="E1829" s="267">
        <f>IFERROR((decBusAEmp1HrsCurrProjV3/100)*(capBusACurrProjV3HrsReq),0)</f>
        <v>7895.6</v>
      </c>
      <c r="F1829" s="26" t="s">
        <v>5683</v>
      </c>
      <c r="G1829" t="b">
        <f>MAX(E1829:E1829)=MIN(E1829:E1829)</f>
        <v>1</v>
      </c>
    </row>
    <row r="1830" spans="2:7" ht="11.25">
      <c r="F1830" s="26"/>
      <c r="G1830" t="b">
        <f>MAX(E1830:E1830)=MIN(E1830:E1830)</f>
        <v>1</v>
      </c>
    </row>
    <row r="1831" spans="2:7" ht="11.25">
      <c r="C1831" t="s">
        <v>939</v>
      </c>
      <c r="E1831" s="267"/>
      <c r="F1831" s="26"/>
      <c r="G1831" t="b">
        <f>MAX(E1831:E1831)=MIN(E1831:E1831)</f>
        <v>1</v>
      </c>
    </row>
    <row r="1832" spans="2:7" ht="11.25">
      <c r="D1832" t="s">
        <v>10</v>
      </c>
      <c r="E1832" s="267">
        <f>(((((MAX(0,ROUND(decBusAEmp3HrsSales,0)))*1.2)*1.2)))</f>
        <v>7632</v>
      </c>
      <c r="F1832" s="26" t="s">
        <v>5684</v>
      </c>
      <c r="G1832" t="b">
        <f>MAX(E1832:E1832)=MIN(E1832:E1832)</f>
        <v>1</v>
      </c>
    </row>
    <row r="1833" spans="2:7" ht="11.25">
      <c r="D1833" t="s">
        <v>11</v>
      </c>
      <c r="E1833" s="267">
        <f>(((((MAX(0,ROUND(decBusAEmp3HrsSalesV2,0)))*1.2)*1.2)))</f>
        <v>3600</v>
      </c>
      <c r="F1833" s="26" t="s">
        <v>5685</v>
      </c>
      <c r="G1833" t="b">
        <f>MAX(E1833:E1833)=MIN(E1833:E1833)</f>
        <v>1</v>
      </c>
    </row>
    <row r="1834" spans="2:7" ht="11.25">
      <c r="D1834" t="s">
        <v>12</v>
      </c>
      <c r="E1834" s="267">
        <f>(((((MAX(0,ROUND(decBusAEmp3HrsSalesV3,0)))*1.2)*1.2)))</f>
        <v>31680</v>
      </c>
      <c r="F1834" s="26" t="s">
        <v>5686</v>
      </c>
      <c r="G1834" t="b">
        <f>MAX(E1834:E1834)=MIN(E1834:E1834)</f>
        <v>1</v>
      </c>
    </row>
    <row r="1835" spans="2:7" ht="11.25">
      <c r="F1835" s="26"/>
      <c r="G1835" t="b">
        <f>MAX(E1835:E1835)=MIN(E1835:E1835)</f>
        <v>1</v>
      </c>
    </row>
    <row r="1836" spans="2:7" ht="11.25">
      <c r="B1836" s="2" t="s">
        <v>3673</v>
      </c>
      <c r="E1836" s="562">
        <f>decBusABusDevNonPayrollBud*1000</f>
        <v>2000000</v>
      </c>
      <c r="F1836" s="26" t="s">
        <v>5687</v>
      </c>
      <c r="G1836" t="b">
        <f>MAX(E1836:E1836)=MIN(E1836:E1836)</f>
        <v>1</v>
      </c>
    </row>
    <row r="1837" spans="2:7" ht="11.25">
      <c r="F1837" s="26"/>
      <c r="G1837" t="b">
        <f>MAX(E1837:E1837)=MIN(E1837:E1837)</f>
        <v>1</v>
      </c>
    </row>
    <row r="1838" spans="2:7" ht="11.25">
      <c r="C1838" t="s">
        <v>2211</v>
      </c>
      <c r="E1838" s="273">
        <f>IFERROR(IF(decBid1Check=TRUE,MAX(0,ROUND(decBid1Price*1000,0)),0),0)</f>
        <v>0</v>
      </c>
      <c r="F1838" s="26" t="s">
        <v>5688</v>
      </c>
      <c r="G1838" t="b">
        <f>MAX(E1838:E1838)=MIN(E1838:E1838)</f>
        <v>1</v>
      </c>
    </row>
    <row r="1839" spans="2:7" ht="11.25">
      <c r="C1839" t="s">
        <v>2212</v>
      </c>
      <c r="E1839" s="273">
        <f>IFERROR(IF(decBid2Check=TRUE,MAX(0,ROUND(decBid2Price*1000,0)),0),0)</f>
        <v>0</v>
      </c>
      <c r="F1839" s="26" t="s">
        <v>5689</v>
      </c>
      <c r="G1839" t="b">
        <f>MAX(E1839:E1839)=MIN(E1839:E1839)</f>
        <v>1</v>
      </c>
    </row>
    <row r="1840" spans="2:7" ht="11.25">
      <c r="C1840" t="s">
        <v>3115</v>
      </c>
      <c r="E1840" s="273">
        <f>IFERROR(IF(decBid3Check=TRUE,MAX(0,ROUND(decBid3Price*1000,0)),0),0)</f>
        <v>0</v>
      </c>
      <c r="F1840" s="26" t="s">
        <v>5690</v>
      </c>
      <c r="G1840" t="b">
        <f>MAX(E1840:E1840)=MIN(E1840:E1840)</f>
        <v>1</v>
      </c>
    </row>
    <row r="1841" spans="3:7" ht="11.25">
      <c r="C1841" t="s">
        <v>3116</v>
      </c>
      <c r="E1841" s="273">
        <f>IFERROR(IF(decBid4Check=TRUE,MAX(0,ROUND(decBid4Price*1000,0)),0),0)</f>
        <v>0</v>
      </c>
      <c r="F1841" s="26" t="s">
        <v>5691</v>
      </c>
      <c r="G1841" t="b">
        <f>MAX(E1841:E1841)=MIN(E1841:E1841)</f>
        <v>1</v>
      </c>
    </row>
    <row r="1842" spans="3:7" ht="11.25">
      <c r="C1842" t="s">
        <v>3117</v>
      </c>
      <c r="E1842" s="273">
        <f>IFERROR(IF(decBid5Check=TRUE,MAX(0,ROUND(decBid5Price*1000,0)),0),0)</f>
        <v>0</v>
      </c>
      <c r="F1842" s="26" t="s">
        <v>5692</v>
      </c>
      <c r="G1842" t="b">
        <f>MAX(E1842:E1842)=MIN(E1842:E1842)</f>
        <v>1</v>
      </c>
    </row>
    <row r="1843" spans="3:7" ht="11.25">
      <c r="C1843" t="s">
        <v>3118</v>
      </c>
      <c r="E1843" s="273">
        <f>IFERROR(IF(decBid6Check=TRUE,MAX(0,ROUND(decBid6Price*1000,0)),0),0)</f>
        <v>0</v>
      </c>
      <c r="F1843" s="26" t="s">
        <v>5693</v>
      </c>
      <c r="G1843" t="b">
        <f>MAX(E1843:E1843)=MIN(E1843:E1843)</f>
        <v>1</v>
      </c>
    </row>
    <row r="1844" spans="3:7" ht="11.25">
      <c r="C1844" t="s">
        <v>3119</v>
      </c>
      <c r="E1844" s="273">
        <f>IFERROR(IF(decBid7Check=TRUE,MAX(0,ROUND(decBid7Price*1000,0)),0),0)</f>
        <v>0</v>
      </c>
      <c r="F1844" s="26" t="s">
        <v>5694</v>
      </c>
      <c r="G1844" t="b">
        <f>MAX(E1844:E1844)=MIN(E1844:E1844)</f>
        <v>1</v>
      </c>
    </row>
    <row r="1845" spans="3:7" ht="11.25">
      <c r="C1845" t="s">
        <v>3120</v>
      </c>
      <c r="E1845" s="273">
        <f>IFERROR(IF(decBid8Check=TRUE,MAX(0,ROUND(decBid8Price*1000,0)),0),0)</f>
        <v>0</v>
      </c>
      <c r="F1845" s="26" t="s">
        <v>5695</v>
      </c>
      <c r="G1845" t="b">
        <f>MAX(E1845:E1845)=MIN(E1845:E1845)</f>
        <v>1</v>
      </c>
    </row>
    <row r="1846" spans="3:7" ht="11.25">
      <c r="C1846" t="s">
        <v>226</v>
      </c>
      <c r="E1846" s="273">
        <f>IFERROR(IF(decBid9Check=TRUE,MAX(0,ROUND(decBid9Price*1000,0)),0),0)</f>
        <v>0</v>
      </c>
      <c r="F1846" s="26" t="s">
        <v>5696</v>
      </c>
      <c r="G1846" t="b">
        <f>MAX(E1846:E1846)=MIN(E1846:E1846)</f>
        <v>1</v>
      </c>
    </row>
    <row r="1847" spans="3:7" ht="11.25">
      <c r="F1847" s="26"/>
      <c r="G1847" t="b">
        <f>MAX(E1847:E1847)=MIN(E1847:E1847)</f>
        <v>1</v>
      </c>
    </row>
    <row r="1848" spans="3:7" ht="11.25">
      <c r="C1848" t="s">
        <v>227</v>
      </c>
      <c r="E1848" s="267">
        <f>IFERROR(IF(decBid1Check=TRUE,MAX(0,ROUND(decBid1Emp4HrsRFQ,0)),0),0)</f>
        <v>1200</v>
      </c>
      <c r="F1848" s="26" t="s">
        <v>5697</v>
      </c>
      <c r="G1848" t="b">
        <f>MAX(E1848:E1848)=MIN(E1848:E1848)</f>
        <v>1</v>
      </c>
    </row>
    <row r="1849" spans="3:7" ht="11.25">
      <c r="C1849" t="s">
        <v>228</v>
      </c>
      <c r="E1849" s="267">
        <f>IFERROR(IF(decBid2Check=TRUE,MAX(0,ROUND(decBid2Emp4HrsRFQ,0)),0),0)</f>
        <v>0</v>
      </c>
      <c r="F1849" s="26" t="s">
        <v>5698</v>
      </c>
      <c r="G1849" t="b">
        <f>MAX(E1849:E1849)=MIN(E1849:E1849)</f>
        <v>1</v>
      </c>
    </row>
    <row r="1850" spans="3:7" ht="11.25">
      <c r="C1850" t="s">
        <v>229</v>
      </c>
      <c r="E1850" s="267">
        <f>IFERROR(IF(decBid3Check=TRUE,MAX(0,ROUND(decBid3Emp4HrsRFQ,0)),0),0)</f>
        <v>0</v>
      </c>
      <c r="F1850" s="26" t="s">
        <v>5699</v>
      </c>
      <c r="G1850" t="b">
        <f>MAX(E1850:E1850)=MIN(E1850:E1850)</f>
        <v>1</v>
      </c>
    </row>
    <row r="1851" spans="3:7" ht="11.25">
      <c r="C1851" t="s">
        <v>230</v>
      </c>
      <c r="E1851" s="267">
        <f>IFERROR(IF(decBid4Check=TRUE,MAX(0,ROUND(decBid4Emp4HrsRFQ,0)),0),0)</f>
        <v>0</v>
      </c>
      <c r="F1851" s="26" t="s">
        <v>5700</v>
      </c>
      <c r="G1851" t="b">
        <f>MAX(E1851:E1851)=MIN(E1851:E1851)</f>
        <v>1</v>
      </c>
    </row>
    <row r="1852" spans="3:7" ht="11.25">
      <c r="C1852" t="s">
        <v>4130</v>
      </c>
      <c r="E1852" s="267">
        <f>IFERROR(IF(decBid5Check=TRUE,MAX(0,ROUND(decBid5Emp4HrsRFQ,0)),0),0)</f>
        <v>0</v>
      </c>
      <c r="F1852" s="26" t="s">
        <v>5701</v>
      </c>
      <c r="G1852" t="b">
        <f>MAX(E1852:E1852)=MIN(E1852:E1852)</f>
        <v>1</v>
      </c>
    </row>
    <row r="1853" spans="3:7" ht="11.25">
      <c r="C1853" t="s">
        <v>4131</v>
      </c>
      <c r="E1853" s="267">
        <f>IFERROR(IF(decBid6Check=TRUE,MAX(0,ROUND(decBid6Emp4HrsRFQ,0)),0),0)</f>
        <v>0</v>
      </c>
      <c r="F1853" s="26" t="s">
        <v>5702</v>
      </c>
      <c r="G1853" t="b">
        <f>MAX(E1853:E1853)=MIN(E1853:E1853)</f>
        <v>1</v>
      </c>
    </row>
    <row r="1854" spans="3:7" ht="11.25">
      <c r="C1854" t="s">
        <v>4132</v>
      </c>
      <c r="E1854" s="267">
        <f>IFERROR(IF(decBid7Check=TRUE,MAX(0,ROUND(decBid7Emp4HrsRFQ,0)),0),0)</f>
        <v>0</v>
      </c>
      <c r="F1854" s="26" t="s">
        <v>5703</v>
      </c>
      <c r="G1854" t="b">
        <f>MAX(E1854:E1854)=MIN(E1854:E1854)</f>
        <v>1</v>
      </c>
    </row>
    <row r="1855" spans="3:7" ht="11.25">
      <c r="C1855" t="s">
        <v>935</v>
      </c>
      <c r="E1855" s="267">
        <f>IFERROR(IF(decBid8Check=TRUE,MAX(0,ROUND(decBid8Emp4HrsRFQ,0)),0),0)</f>
        <v>0</v>
      </c>
      <c r="F1855" s="26" t="s">
        <v>5704</v>
      </c>
      <c r="G1855" t="b">
        <f>MAX(E1855:E1855)=MIN(E1855:E1855)</f>
        <v>1</v>
      </c>
    </row>
    <row r="1856" spans="3:7" ht="11.25">
      <c r="C1856" t="s">
        <v>936</v>
      </c>
      <c r="E1856" s="267">
        <f>IFERROR(IF(decBid9Check=TRUE,MAX(0,ROUND(decBid9Emp4HrsRFQ,0)),0),0)</f>
        <v>0</v>
      </c>
      <c r="F1856" s="26" t="s">
        <v>5705</v>
      </c>
      <c r="G1856" t="b">
        <f>MAX(E1856:E1856)=MIN(E1856:E1856)</f>
        <v>1</v>
      </c>
    </row>
    <row r="1857" spans="3:7" ht="11.25">
      <c r="C1857" t="s">
        <v>937</v>
      </c>
      <c r="E1857" s="267">
        <f>IFERROR(IF(decBid1Check=TRUE,MAX(0,ROUND(decBid1Emp3HrsRFQ,0)),0),0)</f>
        <v>1800</v>
      </c>
      <c r="F1857" s="26" t="s">
        <v>5706</v>
      </c>
      <c r="G1857" t="b">
        <f>MAX(E1857:E1857)=MIN(E1857:E1857)</f>
        <v>1</v>
      </c>
    </row>
    <row r="1858" spans="3:7" ht="11.25">
      <c r="C1858" t="s">
        <v>938</v>
      </c>
      <c r="E1858" s="267">
        <f>IFERROR(IF(decBid2Check=TRUE,MAX(0,ROUND(decBid2Emp3HrsRFQ,0)),0),0)</f>
        <v>0</v>
      </c>
      <c r="F1858" s="26" t="s">
        <v>5707</v>
      </c>
      <c r="G1858" t="b">
        <f>MAX(E1858:E1858)=MIN(E1858:E1858)</f>
        <v>1</v>
      </c>
    </row>
    <row r="1859" spans="3:7" ht="11.25">
      <c r="C1859" t="s">
        <v>1745</v>
      </c>
      <c r="E1859" s="267">
        <f>IFERROR(IF(decBid3Check=TRUE,MAX(0,ROUND(decBid3Emp3HrsRFQ,0)),0),0)</f>
        <v>0</v>
      </c>
      <c r="F1859" s="26" t="s">
        <v>5708</v>
      </c>
      <c r="G1859" t="b">
        <f>MAX(E1859:E1859)=MIN(E1859:E1859)</f>
        <v>1</v>
      </c>
    </row>
    <row r="1860" spans="3:7" ht="11.25">
      <c r="C1860" t="s">
        <v>1746</v>
      </c>
      <c r="E1860" s="267">
        <f>IFERROR(IF(decBid4Check=TRUE,MAX(0,ROUND(decBid4Emp3HrsRFQ,0)),0),0)</f>
        <v>0</v>
      </c>
      <c r="F1860" s="26" t="s">
        <v>5709</v>
      </c>
      <c r="G1860" t="b">
        <f>MAX(E1860:E1860)=MIN(E1860:E1860)</f>
        <v>1</v>
      </c>
    </row>
    <row r="1861" spans="3:7" ht="11.25">
      <c r="C1861" t="s">
        <v>1659</v>
      </c>
      <c r="E1861" s="267">
        <f>IFERROR(IF(decBid5Check=TRUE,MAX(0,ROUND(decBid5Emp3HrsRFQ,0)),0),0)</f>
        <v>0</v>
      </c>
      <c r="F1861" s="26" t="s">
        <v>5710</v>
      </c>
      <c r="G1861" t="b">
        <f>MAX(E1861:E1861)=MIN(E1861:E1861)</f>
        <v>1</v>
      </c>
    </row>
    <row r="1862" spans="3:7" ht="11.25">
      <c r="C1862" t="s">
        <v>1660</v>
      </c>
      <c r="E1862" s="267">
        <f>IFERROR(IF(decBid6Check=TRUE,MAX(0,ROUND(decBid6Emp3HrsRFQ,0)),0),0)</f>
        <v>0</v>
      </c>
      <c r="F1862" s="26" t="s">
        <v>5711</v>
      </c>
      <c r="G1862" t="b">
        <f>MAX(E1862:E1862)=MIN(E1862:E1862)</f>
        <v>1</v>
      </c>
    </row>
    <row r="1863" spans="3:7" ht="11.25">
      <c r="C1863" t="s">
        <v>1661</v>
      </c>
      <c r="E1863" s="267">
        <f>IFERROR(IF(decBid7Check=TRUE,MAX(0,ROUND(decBid7Emp3HrsRFQ,0)),0),0)</f>
        <v>0</v>
      </c>
      <c r="F1863" s="26" t="s">
        <v>5712</v>
      </c>
      <c r="G1863" t="b">
        <f>MAX(E1863:E1863)=MIN(E1863:E1863)</f>
        <v>1</v>
      </c>
    </row>
    <row r="1864" spans="3:7" ht="11.25">
      <c r="C1864" t="s">
        <v>1662</v>
      </c>
      <c r="E1864" s="267">
        <f>IFERROR(IF(decBid8Check=TRUE,MAX(0,ROUND(decBid8Emp3HrsRFQ,0)),0),0)</f>
        <v>0</v>
      </c>
      <c r="F1864" s="26" t="s">
        <v>5713</v>
      </c>
      <c r="G1864" t="b">
        <f>MAX(E1864:E1864)=MIN(E1864:E1864)</f>
        <v>1</v>
      </c>
    </row>
    <row r="1865" spans="3:7" ht="11.25">
      <c r="C1865" t="s">
        <v>1663</v>
      </c>
      <c r="E1865" s="267">
        <f>IFERROR(IF(decBid9Check=TRUE,MAX(0,ROUND(decBid9Emp3HrsRFQ,0)),0),0)</f>
        <v>0</v>
      </c>
      <c r="F1865" s="26" t="s">
        <v>5714</v>
      </c>
      <c r="G1865" t="b">
        <f>MAX(E1865:E1865)=MIN(E1865:E1865)</f>
        <v>1</v>
      </c>
    </row>
    <row r="1866" spans="3:7" ht="11.25">
      <c r="C1866" t="s">
        <v>1664</v>
      </c>
      <c r="E1866" s="267">
        <f>IFERROR(IF(decBid1Check=TRUE,MAX(0,ROUND(decBid1Emp2HrsRFQ,0)),0),0)</f>
        <v>2200</v>
      </c>
      <c r="F1866" s="26" t="s">
        <v>5715</v>
      </c>
      <c r="G1866" t="b">
        <f>MAX(E1866:E1866)=MIN(E1866:E1866)</f>
        <v>1</v>
      </c>
    </row>
    <row r="1867" spans="3:7" ht="11.25">
      <c r="C1867" t="s">
        <v>1665</v>
      </c>
      <c r="E1867" s="267">
        <f>IFERROR(IF(decBid2Check=TRUE,MAX(0,ROUND(decBid2Emp2HrsRFQ,0)),0),0)</f>
        <v>0</v>
      </c>
      <c r="F1867" s="26" t="s">
        <v>5716</v>
      </c>
      <c r="G1867" t="b">
        <f>MAX(E1867:E1867)=MIN(E1867:E1867)</f>
        <v>1</v>
      </c>
    </row>
    <row r="1868" spans="3:7" ht="11.25">
      <c r="C1868" t="s">
        <v>1666</v>
      </c>
      <c r="E1868" s="267">
        <f>IFERROR(IF(decBid3Check=TRUE,MAX(0,ROUND(decBid3Emp2HrsRFQ,0)),0),0)</f>
        <v>0</v>
      </c>
      <c r="F1868" s="26" t="s">
        <v>5717</v>
      </c>
      <c r="G1868" t="b">
        <f>MAX(E1868:E1868)=MIN(E1868:E1868)</f>
        <v>1</v>
      </c>
    </row>
    <row r="1869" spans="3:7" ht="11.25">
      <c r="C1869" t="s">
        <v>1667</v>
      </c>
      <c r="E1869" s="267">
        <f>IFERROR(IF(decBid4Check=TRUE,MAX(0,ROUND(decBid4Emp2HrsRFQ,0)),0),0)</f>
        <v>0</v>
      </c>
      <c r="F1869" s="26" t="s">
        <v>5718</v>
      </c>
      <c r="G1869" t="b">
        <f>MAX(E1869:E1869)=MIN(E1869:E1869)</f>
        <v>1</v>
      </c>
    </row>
    <row r="1870" spans="3:7" ht="11.25">
      <c r="C1870" t="s">
        <v>1668</v>
      </c>
      <c r="E1870" s="267">
        <f>IFERROR(IF(decBid5Check=TRUE,MAX(0,ROUND(decBid5Emp2HrsRFQ,0)),0),0)</f>
        <v>0</v>
      </c>
      <c r="F1870" s="26" t="s">
        <v>5719</v>
      </c>
      <c r="G1870" t="b">
        <f>MAX(E1870:E1870)=MIN(E1870:E1870)</f>
        <v>1</v>
      </c>
    </row>
    <row r="1871" spans="3:7" ht="11.25">
      <c r="C1871" t="s">
        <v>1669</v>
      </c>
      <c r="E1871" s="267">
        <f>IFERROR(IF(decBid6Check=TRUE,MAX(0,ROUND(decBid6Emp2HrsRFQ,0)),0),0)</f>
        <v>0</v>
      </c>
      <c r="F1871" s="26" t="s">
        <v>5720</v>
      </c>
      <c r="G1871" t="b">
        <f>MAX(E1871:E1871)=MIN(E1871:E1871)</f>
        <v>1</v>
      </c>
    </row>
    <row r="1872" spans="3:7" ht="11.25">
      <c r="C1872" t="s">
        <v>1670</v>
      </c>
      <c r="E1872" s="267">
        <f>IFERROR(IF(decBid7Check=TRUE,MAX(0,ROUND(decBid7Emp2HrsRFQ,0)),0),0)</f>
        <v>0</v>
      </c>
      <c r="F1872" s="26" t="s">
        <v>5721</v>
      </c>
      <c r="G1872" t="b">
        <f>MAX(E1872:E1872)=MIN(E1872:E1872)</f>
        <v>1</v>
      </c>
    </row>
    <row r="1873" spans="2:7" ht="11.25">
      <c r="C1873" t="s">
        <v>1671</v>
      </c>
      <c r="E1873" s="267">
        <f>IFERROR(IF(decBid8Check=TRUE,MAX(0,ROUND(decBid8Emp2HrsRFQ,0)),0),0)</f>
        <v>0</v>
      </c>
      <c r="F1873" s="26" t="s">
        <v>5722</v>
      </c>
      <c r="G1873" t="b">
        <f>MAX(E1873:E1873)=MIN(E1873:E1873)</f>
        <v>1</v>
      </c>
    </row>
    <row r="1874" spans="2:7" ht="11.25">
      <c r="C1874" t="s">
        <v>1672</v>
      </c>
      <c r="E1874" s="267">
        <f>IFERROR(IF(decBid9Check=TRUE,MAX(0,ROUND(decBid9Emp2HrsRFQ,0)),0),0)</f>
        <v>0</v>
      </c>
      <c r="F1874" s="26" t="s">
        <v>5723</v>
      </c>
      <c r="G1874" t="b">
        <f>MAX(E1874:E1874)=MIN(E1874:E1874)</f>
        <v>1</v>
      </c>
    </row>
    <row r="1875" spans="2:7" ht="11.25">
      <c r="F1875" s="26"/>
      <c r="G1875" t="b">
        <f>MAX(E1875:E1875)=MIN(E1875:E1875)</f>
        <v>1</v>
      </c>
    </row>
    <row r="1876" spans="2:7" ht="11.25">
      <c r="B1876" s="2" t="s">
        <v>3673</v>
      </c>
      <c r="E1876" s="562">
        <f>decBusBBusDevNonPayrollBud*1000</f>
        <v>825000</v>
      </c>
      <c r="F1876" s="26" t="s">
        <v>5724</v>
      </c>
      <c r="G1876" t="b">
        <f>MAX(E1876:E1876)=MIN(E1876:E1876)</f>
        <v>1</v>
      </c>
    </row>
    <row r="1877" spans="2:7" ht="11.25">
      <c r="F1877" s="26"/>
      <c r="G1877" t="b">
        <f>MAX(E1877:E1877)=MIN(E1877:E1877)</f>
        <v>1</v>
      </c>
    </row>
    <row r="1878" spans="2:7" ht="11.25">
      <c r="F1878" s="26"/>
      <c r="G1878" t="b">
        <f>MAX(E1878:E1878)=MIN(E1878:E1878)</f>
        <v>1</v>
      </c>
    </row>
    <row r="1879" spans="2:7" ht="11.25">
      <c r="B1879" s="2" t="s">
        <v>3602</v>
      </c>
      <c r="E1879" s="266"/>
      <c r="F1879" s="26"/>
      <c r="G1879" t="b">
        <f>MAX(E1879:E1879)=MIN(E1879:E1879)</f>
        <v>1</v>
      </c>
    </row>
    <row r="1880" spans="2:7" ht="11.25">
      <c r="C1880" t="s">
        <v>3083</v>
      </c>
      <c r="E1880" s="265">
        <f>IFERROR(decEmp4BusAHire+decEmp4BusBHire,0)</f>
        <v>20</v>
      </c>
      <c r="F1880" s="26" t="s">
        <v>5725</v>
      </c>
      <c r="G1880" t="b">
        <f>MAX(E1880:E1880)=MIN(E1880:E1880)</f>
        <v>1</v>
      </c>
    </row>
    <row r="1881" spans="2:7" ht="11.25">
      <c r="C1881" t="s">
        <v>3084</v>
      </c>
      <c r="E1881" s="265">
        <f>IFERROR(decEmp3BusAHire+decEmp3BusBHire,0)</f>
        <v>136</v>
      </c>
      <c r="F1881" s="26" t="s">
        <v>5726</v>
      </c>
      <c r="G1881" t="b">
        <f>MAX(E1881:E1881)=MIN(E1881:E1881)</f>
        <v>1</v>
      </c>
    </row>
    <row r="1882" spans="2:7" ht="11.25">
      <c r="C1882" t="s">
        <v>3085</v>
      </c>
      <c r="E1882" s="265">
        <f>IFERROR(decEmp2BusAHire+decEmp2BusBHire,0)</f>
        <v>204</v>
      </c>
      <c r="F1882" s="26" t="s">
        <v>5727</v>
      </c>
      <c r="G1882" t="b">
        <f>MAX(E1882:E1882)=MIN(E1882:E1882)</f>
        <v>1</v>
      </c>
    </row>
    <row r="1883" spans="2:7" ht="11.25">
      <c r="C1883" t="s">
        <v>3086</v>
      </c>
      <c r="E1883" s="265">
        <f>IFERROR(decEmp1BusAHire+decEmp1BusBHire,0)</f>
        <v>0</v>
      </c>
      <c r="F1883" s="26" t="s">
        <v>5728</v>
      </c>
      <c r="G1883" t="b">
        <f>MAX(E1883:E1883)=MIN(E1883:E1883)</f>
        <v>1</v>
      </c>
    </row>
    <row r="1884" spans="2:7" ht="11.25">
      <c r="F1884" s="26"/>
      <c r="G1884" t="b">
        <f>MAX(E1884:E1884)=MIN(E1884:E1884)</f>
        <v>1</v>
      </c>
    </row>
    <row r="1885" spans="2:7" ht="11.25">
      <c r="B1885" s="2" t="s">
        <v>715</v>
      </c>
      <c r="E1885" s="265"/>
      <c r="F1885" s="26"/>
      <c r="G1885" t="b">
        <f>MAX(E1885:E1885)=MIN(E1885:E1885)</f>
        <v>1</v>
      </c>
    </row>
    <row r="1886" spans="2:7" ht="11.25">
      <c r="C1886" t="s">
        <v>3083</v>
      </c>
      <c r="E1886" s="265" t="str">
        <f>IFERROR(decEmp4BusADismiss,0)</f>
        <v>Average</v>
      </c>
      <c r="F1886" s="26" t="s">
        <v>5729</v>
      </c>
      <c r="G1886" t="b">
        <f>MAX(E1886:E1886)=MIN(E1886:E1886)</f>
        <v>1</v>
      </c>
    </row>
    <row r="1887" spans="2:7" ht="11.25">
      <c r="C1887" t="s">
        <v>3084</v>
      </c>
      <c r="E1887" s="265" t="str">
        <f>IFERROR(decEmp3BusADismiss,0)</f>
        <v>Average</v>
      </c>
      <c r="F1887" s="26" t="s">
        <v>5730</v>
      </c>
      <c r="G1887" t="b">
        <f>MAX(E1887:E1887)=MIN(E1887:E1887)</f>
        <v>1</v>
      </c>
    </row>
    <row r="1888" spans="2:7" ht="11.25">
      <c r="C1888" t="s">
        <v>3085</v>
      </c>
      <c r="E1888" s="265" t="str">
        <f>IFERROR(decEmp2BusADismiss,0)</f>
        <v>Average</v>
      </c>
      <c r="F1888" s="26" t="s">
        <v>5731</v>
      </c>
      <c r="G1888" t="b">
        <f>MAX(E1888:E1888)=MIN(E1888:E1888)</f>
        <v>1</v>
      </c>
    </row>
    <row r="1889" spans="2:7" ht="11.25">
      <c r="C1889" t="s">
        <v>3086</v>
      </c>
      <c r="E1889" s="265">
        <f>IFERROR(decEmp1BusADismiss,0)</f>
        <v>0</v>
      </c>
      <c r="F1889" s="26" t="s">
        <v>5732</v>
      </c>
      <c r="G1889" t="b">
        <f>MAX(E1889:E1889)=MIN(E1889:E1889)</f>
        <v>1</v>
      </c>
    </row>
    <row r="1890" spans="2:7" ht="11.25">
      <c r="F1890" s="26"/>
      <c r="G1890" t="b">
        <f>MAX(E1890:E1890)=MIN(E1890:E1890)</f>
        <v>1</v>
      </c>
    </row>
    <row r="1891" spans="2:7" ht="11.25">
      <c r="B1891" s="2" t="s">
        <v>4001</v>
      </c>
      <c r="E1891" s="73"/>
      <c r="F1891" s="26"/>
      <c r="G1891" t="b">
        <f>MAX(E1891:E1891)=MIN(E1891:E1891)</f>
        <v>1</v>
      </c>
    </row>
    <row r="1892" spans="2:7" ht="11.25">
      <c r="B1892" s="2"/>
      <c r="C1892" s="700" t="s">
        <v>4893</v>
      </c>
      <c r="E1892" s="73">
        <f>IFERROR(MAX(0,ROUND(IF(decEmp4SalaryLvl="Best in Class",109%,IF(decEmp4SalaryLvl="Above Market",106%,IF(decEmp4SalaryLvl="At Market",103%,IF(decEmp4SalaryLvl="No Change",100%,97%)))),2)*obalEmp4Salary),0)</f>
        <v>309000</v>
      </c>
      <c r="F1892" s="26" t="s">
        <v>5733</v>
      </c>
      <c r="G1892" t="b">
        <f>MAX(E1892:E1892)=MIN(E1892:E1892)</f>
        <v>1</v>
      </c>
    </row>
    <row r="1893" spans="2:7" ht="11.25">
      <c r="B1893" s="2"/>
      <c r="C1893" s="700" t="s">
        <v>4867</v>
      </c>
      <c r="E1893" s="73">
        <f>IFERROR(MAX(0,ROUND(IF(decEmp3SalaryLvl="Best in Class",109%,IF(decEmp3SalaryLvl="Above Market",106%,IF(decEmp3SalaryLvl="At Market",103%,IF(decEmp3SalaryLvl="No Change",100%,97%)))),2)*obalEmp3Salary),0)</f>
        <v>154500</v>
      </c>
      <c r="F1893" s="26" t="s">
        <v>5734</v>
      </c>
      <c r="G1893" t="b">
        <f>MAX(E1893:E1893)=MIN(E1893:E1893)</f>
        <v>1</v>
      </c>
    </row>
    <row r="1894" spans="2:7" ht="11.25">
      <c r="B1894" s="2"/>
      <c r="C1894" s="700" t="s">
        <v>4705</v>
      </c>
      <c r="E1894" s="73">
        <f>IFERROR(MAX(0,ROUND(IF(decEmp2SalaryLvl="Best in Class",109%,IF(decEmp2SalaryLvl="Above Market",106%,IF(decEmp2SalaryLvl="At Market",103%,IF(decEmp2SalaryLvl="No Change",100%,97%)))),2)*obalEmp2Salary),0)</f>
        <v>103000</v>
      </c>
      <c r="F1894" s="26" t="s">
        <v>5735</v>
      </c>
      <c r="G1894" t="b">
        <f>MAX(E1894:E1894)=MIN(E1894:E1894)</f>
        <v>1</v>
      </c>
    </row>
    <row r="1895" spans="2:7" ht="11.25">
      <c r="B1895" s="2"/>
      <c r="C1895" t="s">
        <v>3086</v>
      </c>
      <c r="E1895" s="73"/>
      <c r="F1895" s="26" t="s">
        <v>5736</v>
      </c>
      <c r="G1895" t="b">
        <f>MAX(E1895:E1895)=MIN(E1895:E1895)</f>
        <v>1</v>
      </c>
    </row>
    <row r="1896" spans="2:7" ht="11.25">
      <c r="F1896" s="26"/>
      <c r="G1896" t="b">
        <f>MAX(E1896:E1896)=MIN(E1896:E1896)</f>
        <v>1</v>
      </c>
    </row>
    <row r="1897" spans="2:7" ht="11.25">
      <c r="B1897" s="2" t="s">
        <v>1964</v>
      </c>
      <c r="E1897" s="73">
        <f>MAX(0,ROUND(decProd1Adv,0))*1000</f>
        <v>7500000</v>
      </c>
      <c r="F1897" s="26" t="s">
        <v>5737</v>
      </c>
      <c r="G1897" t="b">
        <f>MAX(E1897:E1897)=MIN(E1897:E1897)</f>
        <v>1</v>
      </c>
    </row>
    <row r="1898" spans="2:7" ht="11.25">
      <c r="F1898" s="26"/>
      <c r="G1898" t="b">
        <f>MAX(E1898:E1898)=MIN(E1898:E1898)</f>
        <v>1</v>
      </c>
    </row>
    <row r="1899" spans="2:7" ht="11.25">
      <c r="F1899" s="26"/>
      <c r="G1899" t="b">
        <f>MAX(E1899:E1899)=MIN(E1899:E1899)</f>
        <v>1</v>
      </c>
    </row>
    <row r="1900" spans="2:7" ht="11.25">
      <c r="E1900" s="74" t="b">
        <f>CHOOSE(xxYear,IF(E1905&gt;0,TRUE,FALSE),IF(E1905&gt;2,TRUE,FALSE), IF(E1905&gt;1,TRUE, FALSE))</f>
        <v>0</v>
      </c>
      <c r="F1900" s="1503" t="s">
        <v>6312</v>
      </c>
      <c r="G1900" t="b">
        <f>MAX(E1900:E1900)=MIN(E1900:E1900)</f>
        <v>1</v>
      </c>
    </row>
    <row r="1901" spans="2:7" ht="11.25">
      <c r="E1901" s="1508">
        <f>decWobbler1</f>
        <v>0</v>
      </c>
      <c r="G1901" t="b">
        <f>MAX(E1901:E1901)=MIN(E1901:E1901)</f>
        <v>1</v>
      </c>
    </row>
    <row r="1902" spans="2:7" ht="11.25">
      <c r="E1902" s="1508">
        <f>decWobbler2</f>
        <v>0</v>
      </c>
      <c r="G1902" t="b">
        <f>MAX(E1902:E1902)=MIN(E1902:E1902)</f>
        <v>1</v>
      </c>
    </row>
    <row r="1903" spans="2:7" ht="11.25">
      <c r="E1903" s="1508">
        <f>decWobbler3</f>
        <v>0</v>
      </c>
      <c r="G1903" t="b">
        <f>MAX(E1903:E1903)=MIN(E1903:E1903)</f>
        <v>1</v>
      </c>
    </row>
    <row r="1904" spans="2:7" ht="11.25">
      <c r="E1904" s="1508">
        <f>decWobbler4</f>
        <v>0</v>
      </c>
      <c r="G1904" t="b">
        <f>MAX(E1904:E1904)=MIN(E1904:E1904)</f>
        <v>1</v>
      </c>
    </row>
    <row r="1905" spans="5:7" ht="11.25">
      <c r="E1905" s="74">
        <f t="shared" ref="E1905" si="30">IF(E1901&gt;0,1,0)+IF(E1902&gt;0,1,0)+IF(E1903&gt;0,1,0)+IF(E1904&gt;0,1,0)</f>
        <v>0</v>
      </c>
      <c r="G1905" t="b">
        <f>MAX(E1905:E1905)=MIN(E1905:E1905)</f>
        <v>1</v>
      </c>
    </row>
    <row r="1906" spans="5:7" ht="11.25">
      <c r="G1906" t="b">
        <f>MAX(E1906:E1906)=MIN(E1906:E1906)</f>
        <v>1</v>
      </c>
    </row>
    <row r="1907" spans="5:7" ht="11.25">
      <c r="G1907" t="b">
        <f>MAX(E1907:E1907)=MIN(E1907:E1907)</f>
        <v>1</v>
      </c>
    </row>
    <row r="1908" spans="5:7" ht="11.25">
      <c r="G1908" t="b">
        <f>MAX(E1908:E1908)=MIN(E1908:E1908)</f>
        <v>1</v>
      </c>
    </row>
    <row r="1909" spans="5:7" ht="11.25">
      <c r="G1909" t="b">
        <f>MAX(E1909:E1909)=MIN(E1909:E1909)</f>
        <v>1</v>
      </c>
    </row>
    <row r="1910" spans="5:7" ht="11.25">
      <c r="G1910" t="b">
        <f>MAX(E1910:E1910)=MIN(E1910:E1910)</f>
        <v>1</v>
      </c>
    </row>
    <row r="1911" spans="5:7" ht="11.25">
      <c r="G1911" t="b">
        <f>MAX(E1911:E1911)=MIN(E1911:E1911)</f>
        <v>1</v>
      </c>
    </row>
    <row r="1912" spans="5:7" ht="11.25">
      <c r="G1912" t="b">
        <f>MAX(E1912:E1912)=MIN(E1912:E1912)</f>
        <v>1</v>
      </c>
    </row>
    <row r="1913" spans="5:7" ht="11.25">
      <c r="G1913" t="b">
        <f>MAX(E1913:E1913)=MIN(E1913:E1913)</f>
        <v>1</v>
      </c>
    </row>
    <row r="1914" spans="5:7" ht="11.25">
      <c r="G1914" t="b">
        <f>MAX(E1914:E1914)=MIN(E1914:E1914)</f>
        <v>1</v>
      </c>
    </row>
    <row r="1915" spans="5:7" ht="11.25">
      <c r="G1915" t="b">
        <f>MAX(E1915:E1915)=MIN(E1915:E1915)</f>
        <v>1</v>
      </c>
    </row>
    <row r="1916" spans="5:7" ht="11.25">
      <c r="G1916" t="b">
        <f>MAX(E1916:E1916)=MIN(E1916:E1916)</f>
        <v>1</v>
      </c>
    </row>
    <row r="1917" spans="5:7" ht="11.25">
      <c r="G1917" t="b">
        <f>MAX(E1917:E1917)=MIN(E1917:E1917)</f>
        <v>1</v>
      </c>
    </row>
    <row r="1918" spans="5:7" ht="11.25">
      <c r="G1918" t="b">
        <f>MAX(E1918:E1918)=MIN(E1918:E1918)</f>
        <v>1</v>
      </c>
    </row>
    <row r="1919" spans="5:7" ht="11.25">
      <c r="G1919" t="b">
        <f>MAX(E1919:E1919)=MIN(E1919:E1919)</f>
        <v>1</v>
      </c>
    </row>
    <row r="1920" spans="5:7" ht="11.25">
      <c r="G1920" t="b">
        <f>MAX(E1920:E1920)=MIN(E1920:E1920)</f>
        <v>1</v>
      </c>
    </row>
    <row r="1921" spans="7:7" ht="11.25">
      <c r="G1921" t="b">
        <f>MAX(E1921:E1921)=MIN(E1921:E1921)</f>
        <v>1</v>
      </c>
    </row>
    <row r="1922" spans="7:7" ht="11.25">
      <c r="G1922" t="b">
        <f>MAX(E1922:E1922)=MIN(E1922:E1922)</f>
        <v>1</v>
      </c>
    </row>
    <row r="1923" spans="7:7" ht="11.25">
      <c r="G1923" t="b">
        <f>MAX(E1923:E1923)=MIN(E1923:E1923)</f>
        <v>1</v>
      </c>
    </row>
    <row r="1924" spans="7:7" ht="11.25">
      <c r="G1924" t="b">
        <f>MAX(E1924:E1924)=MIN(E1924:E1924)</f>
        <v>1</v>
      </c>
    </row>
    <row r="1925" spans="7:7" ht="11.25">
      <c r="G1925" t="b">
        <f>MAX(E1925:E1925)=MIN(E1925:E1925)</f>
        <v>1</v>
      </c>
    </row>
    <row r="1926" spans="7:7" ht="11.25">
      <c r="G1926" t="b">
        <f>MAX(E1926:E1926)=MIN(E1926:E1926)</f>
        <v>1</v>
      </c>
    </row>
    <row r="1927" spans="7:7" ht="11.25">
      <c r="G1927" t="b">
        <f>MAX(E1927:E1927)=MIN(E1927:E1927)</f>
        <v>1</v>
      </c>
    </row>
    <row r="1928" spans="7:7" ht="11.25">
      <c r="G1928" t="b">
        <f>MAX(E1928:E1928)=MIN(E1928:E1928)</f>
        <v>1</v>
      </c>
    </row>
    <row r="1929" spans="7:7" ht="11.25">
      <c r="G1929" t="b">
        <f>MAX(E1929:E1929)=MIN(E1929:E1929)</f>
        <v>1</v>
      </c>
    </row>
    <row r="1930" spans="7:7" ht="11.25">
      <c r="G1930" t="b">
        <f>MAX(E1930:E1930)=MIN(E1930:E1930)</f>
        <v>1</v>
      </c>
    </row>
    <row r="1931" spans="7:7" ht="11.25">
      <c r="G1931" t="b">
        <f>MAX(E1931:E1931)=MIN(E1931:E1931)</f>
        <v>1</v>
      </c>
    </row>
    <row r="1932" spans="7:7" ht="11.25">
      <c r="G1932" t="b">
        <f>MAX(E1932:E1932)=MIN(E1932:E1932)</f>
        <v>1</v>
      </c>
    </row>
    <row r="1933" spans="7:7" ht="11.25">
      <c r="G1933" t="b">
        <f>MAX(E1933:E1933)=MIN(E1933:E1933)</f>
        <v>1</v>
      </c>
    </row>
    <row r="1934" spans="7:7" ht="11.25">
      <c r="G1934" t="b">
        <f>MAX(E1934:E1934)=MIN(E1934:E1934)</f>
        <v>1</v>
      </c>
    </row>
    <row r="1935" spans="7:7" ht="11.25">
      <c r="G1935" t="b">
        <f>MAX(E1935:E1935)=MIN(E1935:E1935)</f>
        <v>1</v>
      </c>
    </row>
    <row r="1936" spans="7:7" ht="11.25">
      <c r="G1936" t="b">
        <f>MAX(E1936:E1936)=MIN(E1936:E1936)</f>
        <v>1</v>
      </c>
    </row>
    <row r="1937" spans="7:7" ht="11.25">
      <c r="G1937" t="b">
        <f>MAX(E1937:E1937)=MIN(E1937:E1937)</f>
        <v>1</v>
      </c>
    </row>
    <row r="1938" spans="7:7" ht="11.25">
      <c r="G1938" t="b">
        <f>MAX(E1938:E1938)=MIN(E1938:E1938)</f>
        <v>1</v>
      </c>
    </row>
    <row r="1939" spans="7:7" ht="11.25">
      <c r="G1939" t="b">
        <f>MAX(E1939:E1939)=MIN(E1939:E1939)</f>
        <v>1</v>
      </c>
    </row>
    <row r="1940" spans="7:7" ht="11.25">
      <c r="G1940" t="b">
        <f>MAX(E1940:E1940)=MIN(E1940:E1940)</f>
        <v>1</v>
      </c>
    </row>
    <row r="1941" spans="7:7" ht="11.25">
      <c r="G1941" t="b">
        <f>MAX(E1941:E1941)=MIN(E1941:E1941)</f>
        <v>1</v>
      </c>
    </row>
    <row r="1942" spans="7:7" ht="11.25">
      <c r="G1942" t="b">
        <f>MAX(E1942:E1942)=MIN(E1942:E1942)</f>
        <v>1</v>
      </c>
    </row>
    <row r="1943" spans="7:7" ht="11.25">
      <c r="G1943" t="b">
        <f>MAX(E1943:E1943)=MIN(E1943:E1943)</f>
        <v>1</v>
      </c>
    </row>
    <row r="1944" spans="7:7" ht="11.25">
      <c r="G1944" t="b">
        <f>MAX(E1944:E1944)=MIN(E1944:E1944)</f>
        <v>1</v>
      </c>
    </row>
    <row r="1945" spans="7:7" ht="11.25">
      <c r="G1945" t="b">
        <f>MAX(E1945:E1945)=MIN(E1945:E1945)</f>
        <v>1</v>
      </c>
    </row>
    <row r="1946" spans="7:7" ht="11.25">
      <c r="G1946" t="b">
        <f>MAX(E1946:E1946)=MIN(E1946:E1946)</f>
        <v>1</v>
      </c>
    </row>
    <row r="1947" spans="7:7" ht="11.25">
      <c r="G1947" t="b">
        <f>MAX(E1947:E1947)=MIN(E1947:E1947)</f>
        <v>1</v>
      </c>
    </row>
    <row r="1948" spans="7:7" ht="11.25">
      <c r="G1948" t="b">
        <f>MAX(E1948:E1948)=MIN(E1948:E1948)</f>
        <v>1</v>
      </c>
    </row>
    <row r="1949" spans="7:7" ht="11.25">
      <c r="G1949" t="b">
        <f>MAX(E1949:E1949)=MIN(E1949:E1949)</f>
        <v>1</v>
      </c>
    </row>
    <row r="1950" spans="7:7" ht="11.25">
      <c r="G1950" t="b">
        <f>MAX(E1950:E1950)=MIN(E1950:E1950)</f>
        <v>1</v>
      </c>
    </row>
    <row r="1951" spans="7:7" ht="11.25">
      <c r="G1951" t="b">
        <f>MAX(E1951:E1951)=MIN(E1951:E1951)</f>
        <v>1</v>
      </c>
    </row>
    <row r="1952" spans="7:7" ht="11.25">
      <c r="G1952" t="b">
        <f>MAX(E1952:E1952)=MIN(E1952:E1952)</f>
        <v>1</v>
      </c>
    </row>
    <row r="1953" spans="7:7" ht="11.25">
      <c r="G1953" t="b">
        <f>MAX(E1953:E1953)=MIN(E1953:E1953)</f>
        <v>1</v>
      </c>
    </row>
    <row r="1954" spans="7:7" ht="11.25">
      <c r="G1954" t="b">
        <f>MAX(E1954:E1954)=MIN(E1954:E1954)</f>
        <v>1</v>
      </c>
    </row>
    <row r="1955" spans="7:7" ht="11.25">
      <c r="G1955" t="b">
        <f>MAX(E1955:E1955)=MIN(E1955:E1955)</f>
        <v>1</v>
      </c>
    </row>
    <row r="1956" spans="7:7" ht="11.25">
      <c r="G1956" t="b">
        <f>MAX(E1956:E1956)=MIN(E1956:E1956)</f>
        <v>1</v>
      </c>
    </row>
    <row r="1957" spans="7:7" ht="11.25">
      <c r="G1957" t="b">
        <f>MAX(E1957:E1957)=MIN(E1957:E1957)</f>
        <v>1</v>
      </c>
    </row>
    <row r="1958" spans="7:7" ht="11.25">
      <c r="G1958" t="b">
        <f>MAX(E1958:E1958)=MIN(E1958:E1958)</f>
        <v>1</v>
      </c>
    </row>
    <row r="1959" spans="7:7" ht="11.25">
      <c r="G1959" t="b">
        <f>MAX(E1959:E1959)=MIN(E1959:E1959)</f>
        <v>1</v>
      </c>
    </row>
    <row r="1960" spans="7:7" ht="11.25">
      <c r="G1960" t="b">
        <f>MAX(E1960:E1960)=MIN(E1960:E1960)</f>
        <v>1</v>
      </c>
    </row>
    <row r="1961" spans="7:7" ht="11.25">
      <c r="G1961" t="b">
        <f>MAX(E1961:E1961)=MIN(E1961:E1961)</f>
        <v>1</v>
      </c>
    </row>
    <row r="1962" spans="7:7" ht="11.25">
      <c r="G1962" t="b">
        <f>MAX(E1962:E1962)=MIN(E1962:E1962)</f>
        <v>1</v>
      </c>
    </row>
    <row r="1963" spans="7:7" ht="11.25">
      <c r="G1963" t="b">
        <f>MAX(E1963:E1963)=MIN(E1963:E1963)</f>
        <v>1</v>
      </c>
    </row>
    <row r="1964" spans="7:7" ht="11.25">
      <c r="G1964" t="b">
        <f>MAX(E1964:E1964)=MIN(E1964:E1964)</f>
        <v>1</v>
      </c>
    </row>
    <row r="1965" spans="7:7" ht="11.25">
      <c r="G1965" t="b">
        <f>MAX(E1965:E1965)=MIN(E1965:E1965)</f>
        <v>1</v>
      </c>
    </row>
    <row r="1966" spans="7:7" ht="11.25">
      <c r="G1966" t="b">
        <f>MAX(E1966:E1966)=MIN(E1966:E1966)</f>
        <v>1</v>
      </c>
    </row>
    <row r="1967" spans="7:7" ht="11.25">
      <c r="G1967" t="b">
        <f>MAX(E1967:E1967)=MIN(E1967:E1967)</f>
        <v>1</v>
      </c>
    </row>
    <row r="1968" spans="7:7" ht="11.25">
      <c r="G1968" t="b">
        <f>MAX(E1968:E1968)=MIN(E1968:E1968)</f>
        <v>1</v>
      </c>
    </row>
    <row r="1969" spans="7:7" ht="11.25">
      <c r="G1969" t="b">
        <f>MAX(E1969:E1969)=MIN(E1969:E1969)</f>
        <v>1</v>
      </c>
    </row>
    <row r="1970" spans="7:7" ht="11.25">
      <c r="G1970" t="b">
        <f>MAX(E1970:E1970)=MIN(E1970:E1970)</f>
        <v>1</v>
      </c>
    </row>
    <row r="1971" spans="7:7" ht="11.25">
      <c r="G1971" t="b">
        <f>MAX(E1971:E1971)=MIN(E1971:E1971)</f>
        <v>1</v>
      </c>
    </row>
    <row r="1972" spans="7:7" ht="11.25">
      <c r="G1972" t="b">
        <f>MAX(E1972:E1972)=MIN(E1972:E1972)</f>
        <v>1</v>
      </c>
    </row>
    <row r="1973" spans="7:7" ht="11.25">
      <c r="G1973" t="b">
        <f>MAX(E1973:E1973)=MIN(E1973:E1973)</f>
        <v>1</v>
      </c>
    </row>
    <row r="1974" spans="7:7" ht="11.25">
      <c r="G1974" t="b">
        <f>MAX(E1974:E1974)=MIN(E1974:E1974)</f>
        <v>1</v>
      </c>
    </row>
    <row r="1975" spans="7:7" ht="11.25">
      <c r="G1975" t="b">
        <f>MAX(E1975:E1975)=MIN(E1975:E1975)</f>
        <v>1</v>
      </c>
    </row>
    <row r="1976" spans="7:7" ht="11.25">
      <c r="G1976" t="b">
        <f>MAX(E1976:E1976)=MIN(E1976:E1976)</f>
        <v>1</v>
      </c>
    </row>
    <row r="1977" spans="7:7" ht="11.25">
      <c r="G1977" t="b">
        <f>MAX(E1977:E1977)=MIN(E1977:E1977)</f>
        <v>1</v>
      </c>
    </row>
    <row r="1978" spans="7:7" ht="11.25">
      <c r="G1978" t="b">
        <f>MAX(E1978:E1978)=MIN(E1978:E1978)</f>
        <v>1</v>
      </c>
    </row>
    <row r="1979" spans="7:7" ht="11.25">
      <c r="G1979" t="b">
        <f>MAX(E1979:E1979)=MIN(E1979:E1979)</f>
        <v>1</v>
      </c>
    </row>
    <row r="1980" spans="7:7" ht="11.25">
      <c r="G1980" t="b">
        <f>MAX(E1980:E1980)=MIN(E1980:E1980)</f>
        <v>1</v>
      </c>
    </row>
    <row r="1981" spans="7:7" ht="11.25">
      <c r="G1981" t="b">
        <f>MAX(E1981:E1981)=MIN(E1981:E1981)</f>
        <v>1</v>
      </c>
    </row>
    <row r="1982" spans="7:7" ht="11.25">
      <c r="G1982" t="b">
        <f>MAX(E1982:E1982)=MIN(E1982:E1982)</f>
        <v>1</v>
      </c>
    </row>
    <row r="1983" spans="7:7" ht="11.25">
      <c r="G1983" t="b">
        <f>MAX(E1983:E1983)=MIN(E1983:E1983)</f>
        <v>1</v>
      </c>
    </row>
    <row r="1984" spans="7:7" ht="11.25">
      <c r="G1984" t="b">
        <f>MAX(E1984:E1984)=MIN(E1984:E1984)</f>
        <v>1</v>
      </c>
    </row>
    <row r="1985" spans="7:7" ht="11.25">
      <c r="G1985" t="b">
        <f>MAX(E1985:E1985)=MIN(E1985:E1985)</f>
        <v>1</v>
      </c>
    </row>
    <row r="1986" spans="7:7" ht="11.25">
      <c r="G1986" t="b">
        <f>MAX(E1986:E1986)=MIN(E1986:E1986)</f>
        <v>1</v>
      </c>
    </row>
    <row r="1987" spans="7:7" ht="11.25">
      <c r="G1987" t="b">
        <f>MAX(E1987:E1987)=MIN(E1987:E1987)</f>
        <v>1</v>
      </c>
    </row>
    <row r="1988" spans="7:7" ht="11.25">
      <c r="G1988" t="b">
        <f>MAX(E1988:E1988)=MIN(E1988:E1988)</f>
        <v>1</v>
      </c>
    </row>
    <row r="1989" spans="7:7" ht="11.25">
      <c r="G1989" t="b">
        <f>MAX(E1989:E1989)=MIN(E1989:E1989)</f>
        <v>1</v>
      </c>
    </row>
    <row r="1990" spans="7:7" ht="11.25">
      <c r="G1990" t="b">
        <f>MAX(E1990:E1990)=MIN(E1990:E1990)</f>
        <v>1</v>
      </c>
    </row>
    <row r="1991" spans="7:7" ht="11.25">
      <c r="G1991" t="b">
        <f>MAX(E1991:E1991)=MIN(E1991:E1991)</f>
        <v>1</v>
      </c>
    </row>
    <row r="1992" spans="7:7" ht="11.25">
      <c r="G1992" t="b">
        <f>MAX(E1992:E1992)=MIN(E1992:E1992)</f>
        <v>1</v>
      </c>
    </row>
    <row r="1993" spans="7:7" ht="11.25">
      <c r="G1993" t="b">
        <f>MAX(E1993:E1993)=MIN(E1993:E1993)</f>
        <v>1</v>
      </c>
    </row>
    <row r="1994" spans="7:7" ht="11.25">
      <c r="G1994" t="b">
        <f>MAX(E1994:E1994)=MIN(E1994:E1994)</f>
        <v>1</v>
      </c>
    </row>
    <row r="1995" spans="7:7" ht="11.25">
      <c r="G1995" t="b">
        <f>MAX(E1995:E1995)=MIN(E1995:E1995)</f>
        <v>1</v>
      </c>
    </row>
    <row r="1996" spans="7:7" ht="11.25">
      <c r="G1996" t="b">
        <f>MAX(E1996:E1996)=MIN(E1996:E1996)</f>
        <v>1</v>
      </c>
    </row>
    <row r="1997" spans="7:7" ht="11.25">
      <c r="G1997" t="b">
        <f>MAX(E1997:E1997)=MIN(E1997:E1997)</f>
        <v>1</v>
      </c>
    </row>
    <row r="1998" spans="7:7" ht="11.25">
      <c r="G1998" t="b">
        <f>MAX(E1998:E1998)=MIN(E1998:E1998)</f>
        <v>1</v>
      </c>
    </row>
    <row r="1999" spans="7:7" ht="11.25">
      <c r="G1999" t="b">
        <f>MAX(E1999:E1999)=MIN(E1999:E1999)</f>
        <v>1</v>
      </c>
    </row>
    <row r="2000" spans="7:7" ht="11.25">
      <c r="G2000" t="b">
        <f>MAX(E2000:E2000)=MIN(E2000:E2000)</f>
        <v>1</v>
      </c>
    </row>
    <row r="2001" spans="7:7" ht="11.25">
      <c r="G2001" t="b">
        <f>MAX(E2001:E2001)=MIN(E2001:E2001)</f>
        <v>1</v>
      </c>
    </row>
    <row r="2002" spans="7:7" ht="11.25">
      <c r="G2002" t="b">
        <f>MAX(E2002:E2002)=MIN(E2002:E2002)</f>
        <v>1</v>
      </c>
    </row>
    <row r="2003" spans="7:7" ht="11.25">
      <c r="G2003" t="b">
        <f>MAX(E2003:E2003)=MIN(E2003:E2003)</f>
        <v>1</v>
      </c>
    </row>
    <row r="2004" spans="7:7" ht="11.25">
      <c r="G2004" t="b">
        <f>MAX(E2004:E2004)=MIN(E2004:E2004)</f>
        <v>1</v>
      </c>
    </row>
    <row r="2005" spans="7:7" ht="11.25">
      <c r="G2005" t="b">
        <f>MAX(E2005:E2005)=MIN(E2005:E2005)</f>
        <v>1</v>
      </c>
    </row>
    <row r="2006" spans="7:7" ht="11.25">
      <c r="G2006" t="b">
        <f>MAX(E2006:E2006)=MIN(E2006:E2006)</f>
        <v>1</v>
      </c>
    </row>
    <row r="2007" spans="7:7" ht="11.25">
      <c r="G2007" t="b">
        <f>MAX(E2007:E2007)=MIN(E2007:E2007)</f>
        <v>1</v>
      </c>
    </row>
    <row r="2008" spans="7:7" ht="11.25">
      <c r="G2008" t="b">
        <f>MAX(E2008:E2008)=MIN(E2008:E2008)</f>
        <v>1</v>
      </c>
    </row>
    <row r="2009" spans="7:7" ht="11.25">
      <c r="G2009" t="b">
        <f>MAX(E2009:E2009)=MIN(E2009:E2009)</f>
        <v>1</v>
      </c>
    </row>
    <row r="2010" spans="7:7" ht="11.25">
      <c r="G2010" t="b">
        <f>MAX(E2010:E2010)=MIN(E2010:E2010)</f>
        <v>1</v>
      </c>
    </row>
    <row r="2011" spans="7:7" ht="11.25">
      <c r="G2011" t="b">
        <f>MAX(E2011:E2011)=MIN(E2011:E2011)</f>
        <v>1</v>
      </c>
    </row>
    <row r="2012" spans="7:7" ht="11.25">
      <c r="G2012" t="b">
        <f>MAX(E2012:E2012)=MIN(E2012:E2012)</f>
        <v>1</v>
      </c>
    </row>
    <row r="2013" spans="7:7" ht="11.25">
      <c r="G2013" t="b">
        <f>MAX(E2013:E2013)=MIN(E2013:E2013)</f>
        <v>1</v>
      </c>
    </row>
    <row r="2014" spans="7:7" ht="11.25">
      <c r="G2014" t="b">
        <f>MAX(E2014:E2014)=MIN(E2014:E2014)</f>
        <v>1</v>
      </c>
    </row>
    <row r="2015" spans="7:7" ht="11.25">
      <c r="G2015" t="b">
        <f>MAX(E2015:E2015)=MIN(E2015:E2015)</f>
        <v>1</v>
      </c>
    </row>
    <row r="2016" spans="7:7" ht="11.25">
      <c r="G2016" t="b">
        <f>MAX(E2016:E2016)=MIN(E2016:E2016)</f>
        <v>1</v>
      </c>
    </row>
    <row r="2017" spans="7:7" ht="11.25">
      <c r="G2017" t="b">
        <f>MAX(E2017:E2017)=MIN(E2017:E2017)</f>
        <v>1</v>
      </c>
    </row>
    <row r="2018" spans="7:7" ht="11.25">
      <c r="G2018" t="b">
        <f>MAX(E2018:E2018)=MIN(E2018:E2018)</f>
        <v>1</v>
      </c>
    </row>
    <row r="2019" spans="7:7" ht="11.25">
      <c r="G2019" t="b">
        <f>MAX(E2019:E2019)=MIN(E2019:E2019)</f>
        <v>1</v>
      </c>
    </row>
    <row r="2020" spans="7:7" ht="11.25">
      <c r="G2020" t="b">
        <f>MAX(E2020:E2020)=MIN(E2020:E2020)</f>
        <v>1</v>
      </c>
    </row>
    <row r="2021" spans="7:7" ht="11.25">
      <c r="G2021" t="b">
        <f>MAX(E2021:E2021)=MIN(E2021:E2021)</f>
        <v>1</v>
      </c>
    </row>
    <row r="2022" spans="7:7" ht="11.25">
      <c r="G2022" t="b">
        <f>MAX(E2022:E2022)=MIN(E2022:E2022)</f>
        <v>1</v>
      </c>
    </row>
    <row r="2023" spans="7:7" ht="11.25">
      <c r="G2023" t="b">
        <f>MAX(E2023:E2023)=MIN(E2023:E2023)</f>
        <v>1</v>
      </c>
    </row>
    <row r="2024" spans="7:7" ht="11.25">
      <c r="G2024" t="b">
        <f>MAX(E2024:E2024)=MIN(E2024:E2024)</f>
        <v>1</v>
      </c>
    </row>
    <row r="2025" spans="7:7" ht="11.25">
      <c r="G2025" t="b">
        <f>MAX(E2025:E2025)=MIN(E2025:E2025)</f>
        <v>1</v>
      </c>
    </row>
    <row r="2026" spans="7:7" ht="11.25">
      <c r="G2026" t="b">
        <f>MAX(E2026:E2026)=MIN(E2026:E2026)</f>
        <v>1</v>
      </c>
    </row>
    <row r="2027" spans="7:7" ht="11.25">
      <c r="G2027" t="b">
        <f>MAX(E2027:E2027)=MIN(E2027:E2027)</f>
        <v>1</v>
      </c>
    </row>
    <row r="2028" spans="7:7" ht="11.25">
      <c r="G2028" t="b">
        <f>MAX(E2028:E2028)=MIN(E2028:E2028)</f>
        <v>1</v>
      </c>
    </row>
    <row r="2029" spans="7:7" ht="11.25">
      <c r="G2029" t="b">
        <f>MAX(E2029:E2029)=MIN(E2029:E2029)</f>
        <v>1</v>
      </c>
    </row>
    <row r="2030" spans="7:7" ht="11.25">
      <c r="G2030" t="b">
        <f>MAX(E2030:E2030)=MIN(E2030:E2030)</f>
        <v>1</v>
      </c>
    </row>
    <row r="2031" spans="7:7" ht="11.25">
      <c r="G2031" t="b">
        <f>MAX(E2031:E2031)=MIN(E2031:E2031)</f>
        <v>1</v>
      </c>
    </row>
    <row r="2032" spans="7:7" ht="11.25">
      <c r="G2032" t="b">
        <f>MAX(E2032:E2032)=MIN(E2032:E2032)</f>
        <v>1</v>
      </c>
    </row>
    <row r="2033" spans="7:7" ht="11.25">
      <c r="G2033" t="b">
        <f>MAX(E2033:E2033)=MIN(E2033:E2033)</f>
        <v>1</v>
      </c>
    </row>
    <row r="2034" spans="7:7" ht="11.25">
      <c r="G2034" t="b">
        <f>MAX(E2034:E2034)=MIN(E2034:E2034)</f>
        <v>1</v>
      </c>
    </row>
    <row r="2035" spans="7:7" ht="11.25">
      <c r="G2035" t="b">
        <f>MAX(E2035:E2035)=MIN(E2035:E2035)</f>
        <v>1</v>
      </c>
    </row>
    <row r="2036" spans="7:7" ht="11.25">
      <c r="G2036" t="b">
        <f>MAX(E2036:E2036)=MIN(E2036:E2036)</f>
        <v>1</v>
      </c>
    </row>
    <row r="2037" spans="7:7" ht="11.25">
      <c r="G2037" t="b">
        <f>MAX(E2037:E2037)=MIN(E2037:E2037)</f>
        <v>1</v>
      </c>
    </row>
    <row r="2038" spans="7:7" ht="11.25">
      <c r="G2038" t="b">
        <f>MAX(E2038:E2038)=MIN(E2038:E2038)</f>
        <v>1</v>
      </c>
    </row>
    <row r="2039" spans="7:7" ht="11.25">
      <c r="G2039" t="b">
        <f>MAX(E2039:E2039)=MIN(E2039:E2039)</f>
        <v>1</v>
      </c>
    </row>
    <row r="2040" spans="7:7" ht="11.25">
      <c r="G2040" t="b">
        <f>MAX(E2040:E2040)=MIN(E2040:E2040)</f>
        <v>1</v>
      </c>
    </row>
    <row r="2041" spans="7:7" ht="11.25">
      <c r="G2041" t="b">
        <f>MAX(E2041:E2041)=MIN(E2041:E2041)</f>
        <v>1</v>
      </c>
    </row>
    <row r="2042" spans="7:7" ht="11.25">
      <c r="G2042" t="b">
        <f>MAX(E2042:E2042)=MIN(E2042:E2042)</f>
        <v>1</v>
      </c>
    </row>
    <row r="2043" spans="7:7" ht="11.25">
      <c r="G2043" t="b">
        <f>MAX(E2043:E2043)=MIN(E2043:E2043)</f>
        <v>1</v>
      </c>
    </row>
    <row r="2044" spans="7:7" ht="11.25">
      <c r="G2044" t="b">
        <f>MAX(E2044:E2044)=MIN(E2044:E2044)</f>
        <v>1</v>
      </c>
    </row>
    <row r="2045" spans="7:7" ht="11.25">
      <c r="G2045" t="b">
        <f>MAX(E2045:E2045)=MIN(E2045:E2045)</f>
        <v>1</v>
      </c>
    </row>
    <row r="2046" spans="7:7" ht="11.25">
      <c r="G2046" t="b">
        <f>MAX(E2046:E2046)=MIN(E2046:E2046)</f>
        <v>1</v>
      </c>
    </row>
    <row r="2047" spans="7:7" ht="11.25">
      <c r="G2047" t="b">
        <f>MAX(E2047:E2047)=MIN(E2047:E2047)</f>
        <v>1</v>
      </c>
    </row>
    <row r="2048" spans="7:7" ht="11.25">
      <c r="G2048" t="b">
        <f>MAX(E2048:E2048)=MIN(E2048:E2048)</f>
        <v>1</v>
      </c>
    </row>
    <row r="2049" spans="7:7" ht="11.25">
      <c r="G2049" t="b">
        <f>MAX(E2049:E2049)=MIN(E2049:E2049)</f>
        <v>1</v>
      </c>
    </row>
    <row r="2050" spans="7:7" ht="11.25">
      <c r="G2050" t="b">
        <f>MAX(E2050:E2050)=MIN(E2050:E2050)</f>
        <v>1</v>
      </c>
    </row>
    <row r="2051" spans="7:7" ht="11.25">
      <c r="G2051" t="b">
        <f>MAX(E2051:E2051)=MIN(E2051:E2051)</f>
        <v>1</v>
      </c>
    </row>
    <row r="2052" spans="7:7" ht="11.25">
      <c r="G2052" t="b">
        <f>MAX(E2052:E2052)=MIN(E2052:E2052)</f>
        <v>1</v>
      </c>
    </row>
    <row r="2053" spans="7:7" ht="11.25">
      <c r="G2053" t="b">
        <f>MAX(E2053:E2053)=MIN(E2053:E2053)</f>
        <v>1</v>
      </c>
    </row>
    <row r="2054" spans="7:7" ht="11.25">
      <c r="G2054" t="b">
        <f>MAX(E2054:E2054)=MIN(E2054:E2054)</f>
        <v>1</v>
      </c>
    </row>
    <row r="2055" spans="7:7" ht="11.25">
      <c r="G2055" t="b">
        <f>MAX(E2055:E2055)=MIN(E2055:E2055)</f>
        <v>1</v>
      </c>
    </row>
    <row r="2056" spans="7:7" ht="11.25">
      <c r="G2056" t="b">
        <f>MAX(E2056:E2056)=MIN(E2056:E2056)</f>
        <v>1</v>
      </c>
    </row>
    <row r="2057" spans="7:7" ht="11.25">
      <c r="G2057" t="b">
        <f>MAX(E2057:E2057)=MIN(E2057:E2057)</f>
        <v>1</v>
      </c>
    </row>
    <row r="2058" spans="7:7" ht="11.25">
      <c r="G2058" t="b">
        <f>MAX(E2058:E2058)=MIN(E2058:E2058)</f>
        <v>1</v>
      </c>
    </row>
    <row r="2059" spans="7:7" ht="11.25">
      <c r="G2059" t="b">
        <f>MAX(E2059:E2059)=MIN(E2059:E2059)</f>
        <v>1</v>
      </c>
    </row>
    <row r="2060" spans="7:7" ht="11.25">
      <c r="G2060" t="b">
        <f>MAX(E2060:E2060)=MIN(E2060:E2060)</f>
        <v>1</v>
      </c>
    </row>
    <row r="2061" spans="7:7" ht="11.25">
      <c r="G2061" t="b">
        <f>MAX(E2061:E2061)=MIN(E2061:E2061)</f>
        <v>1</v>
      </c>
    </row>
    <row r="2062" spans="7:7" ht="11.25">
      <c r="G2062" t="b">
        <f>MAX(E2062:E2062)=MIN(E2062:E2062)</f>
        <v>1</v>
      </c>
    </row>
    <row r="2063" spans="7:7" ht="11.25">
      <c r="G2063" t="b">
        <f>MAX(E2063:E2063)=MIN(E2063:E2063)</f>
        <v>1</v>
      </c>
    </row>
    <row r="2064" spans="7:7" ht="11.25">
      <c r="G2064" t="b">
        <f>MAX(E2064:E2064)=MIN(E2064:E2064)</f>
        <v>1</v>
      </c>
    </row>
    <row r="2065" spans="7:7" ht="11.25">
      <c r="G2065" t="b">
        <f>MAX(E2065:E2065)=MIN(E2065:E2065)</f>
        <v>1</v>
      </c>
    </row>
    <row r="2066" spans="7:7" ht="11.25">
      <c r="G2066" t="b">
        <f>MAX(E2066:E2066)=MIN(E2066:E2066)</f>
        <v>1</v>
      </c>
    </row>
    <row r="2067" spans="7:7" ht="11.25">
      <c r="G2067" t="b">
        <f>MAX(E2067:E2067)=MIN(E2067:E2067)</f>
        <v>1</v>
      </c>
    </row>
    <row r="2068" spans="7:7" ht="11.25">
      <c r="G2068" t="b">
        <f>MAX(E2068:E2068)=MIN(E2068:E2068)</f>
        <v>1</v>
      </c>
    </row>
    <row r="2069" spans="7:7" ht="11.25">
      <c r="G2069" t="b">
        <f>MAX(E2069:E2069)=MIN(E2069:E2069)</f>
        <v>1</v>
      </c>
    </row>
    <row r="2070" spans="7:7" ht="11.25">
      <c r="G2070" t="b">
        <f>MAX(E2070:E2070)=MIN(E2070:E2070)</f>
        <v>1</v>
      </c>
    </row>
    <row r="2071" spans="7:7" ht="11.25">
      <c r="G2071" t="b">
        <f>MAX(E2071:E2071)=MIN(E2071:E2071)</f>
        <v>1</v>
      </c>
    </row>
    <row r="2072" spans="7:7" ht="11.25">
      <c r="G2072" t="b">
        <f>MAX(E2072:E2072)=MIN(E2072:E2072)</f>
        <v>1</v>
      </c>
    </row>
    <row r="2073" spans="7:7" ht="11.25">
      <c r="G2073" t="b">
        <f>MAX(E2073:E2073)=MIN(E2073:E2073)</f>
        <v>1</v>
      </c>
    </row>
    <row r="2074" spans="7:7" ht="11.25">
      <c r="G2074" t="b">
        <f>MAX(E2074:E2074)=MIN(E2074:E2074)</f>
        <v>1</v>
      </c>
    </row>
    <row r="2075" spans="7:7" ht="11.25">
      <c r="G2075" t="b">
        <f>MAX(E2075:E2075)=MIN(E2075:E2075)</f>
        <v>1</v>
      </c>
    </row>
    <row r="2076" spans="7:7" ht="11.25">
      <c r="G2076" t="b">
        <f>MAX(E2076:E2076)=MIN(E2076:E2076)</f>
        <v>1</v>
      </c>
    </row>
    <row r="2077" spans="7:7" ht="11.25">
      <c r="G2077" t="b">
        <f>MAX(E2077:E2077)=MIN(E2077:E2077)</f>
        <v>1</v>
      </c>
    </row>
    <row r="2078" spans="7:7" ht="11.25">
      <c r="G2078" t="b">
        <f>MAX(E2078:E2078)=MIN(E2078:E2078)</f>
        <v>1</v>
      </c>
    </row>
    <row r="2079" spans="7:7" ht="11.25">
      <c r="G2079" t="b">
        <f>MAX(E2079:E2079)=MIN(E2079:E2079)</f>
        <v>1</v>
      </c>
    </row>
    <row r="2080" spans="7:7" ht="11.25">
      <c r="G2080" t="b">
        <f>MAX(E2080:E2080)=MIN(E2080:E2080)</f>
        <v>1</v>
      </c>
    </row>
    <row r="2081" spans="7:7" ht="11.25">
      <c r="G2081" t="b">
        <f>MAX(E2081:E2081)=MIN(E2081:E2081)</f>
        <v>1</v>
      </c>
    </row>
    <row r="2082" spans="7:7" ht="11.25">
      <c r="G2082" t="b">
        <f>MAX(E2082:E2082)=MIN(E2082:E2082)</f>
        <v>1</v>
      </c>
    </row>
    <row r="2083" spans="7:7" ht="11.25">
      <c r="G2083" t="b">
        <f>MAX(E2083:E2083)=MIN(E2083:E2083)</f>
        <v>1</v>
      </c>
    </row>
    <row r="2084" spans="7:7" ht="11.25">
      <c r="G2084" t="b">
        <f>MAX(E2084:E2084)=MIN(E2084:E2084)</f>
        <v>1</v>
      </c>
    </row>
    <row r="2085" spans="7:7" ht="11.25">
      <c r="G2085" t="b">
        <f>MAX(E2085:E2085)=MIN(E2085:E2085)</f>
        <v>1</v>
      </c>
    </row>
    <row r="2086" spans="7:7" ht="11.25">
      <c r="G2086" t="b">
        <f>MAX(E2086:E2086)=MIN(E2086:E2086)</f>
        <v>1</v>
      </c>
    </row>
    <row r="2087" spans="7:7" ht="11.25">
      <c r="G2087" t="b">
        <f>MAX(E2087:E2087)=MIN(E2087:E2087)</f>
        <v>1</v>
      </c>
    </row>
    <row r="2088" spans="7:7" ht="11.25">
      <c r="G2088" t="b">
        <f>MAX(E2088:E2088)=MIN(E2088:E2088)</f>
        <v>1</v>
      </c>
    </row>
    <row r="2089" spans="7:7" ht="11.25">
      <c r="G2089" t="b">
        <f>MAX(E2089:E2089)=MIN(E2089:E2089)</f>
        <v>1</v>
      </c>
    </row>
    <row r="2090" spans="7:7" ht="11.25">
      <c r="G2090" t="b">
        <f>MAX(E2090:E2090)=MIN(E2090:E2090)</f>
        <v>1</v>
      </c>
    </row>
    <row r="2091" spans="7:7" ht="11.25">
      <c r="G2091" t="b">
        <f>MAX(E2091:E2091)=MIN(E2091:E2091)</f>
        <v>1</v>
      </c>
    </row>
    <row r="2092" spans="7:7" ht="11.25">
      <c r="G2092" t="b">
        <f>MAX(E2092:E2092)=MIN(E2092:E2092)</f>
        <v>1</v>
      </c>
    </row>
    <row r="2093" spans="7:7" ht="11.25">
      <c r="G2093" t="b">
        <f>MAX(E2093:E2093)=MIN(E2093:E2093)</f>
        <v>1</v>
      </c>
    </row>
    <row r="2094" spans="7:7" ht="11.25">
      <c r="G2094" t="b">
        <f>MAX(E2094:E2094)=MIN(E2094:E2094)</f>
        <v>1</v>
      </c>
    </row>
    <row r="2095" spans="7:7" ht="11.25">
      <c r="G2095" t="b">
        <f>MAX(E2095:E2095)=MIN(E2095:E2095)</f>
        <v>1</v>
      </c>
    </row>
    <row r="2096" spans="7:7" ht="11.25">
      <c r="G2096" t="b">
        <f>MAX(E2096:E2096)=MIN(E2096:E2096)</f>
        <v>1</v>
      </c>
    </row>
    <row r="2097" spans="7:7" ht="11.25">
      <c r="G2097" t="b">
        <f>MAX(E2097:E2097)=MIN(E2097:E2097)</f>
        <v>1</v>
      </c>
    </row>
    <row r="2098" spans="7:7" ht="11.25">
      <c r="G2098" t="b">
        <f>MAX(E2098:E2098)=MIN(E2098:E2098)</f>
        <v>1</v>
      </c>
    </row>
    <row r="2099" spans="7:7" ht="11.25">
      <c r="G2099" t="b">
        <f>MAX(E2099:E2099)=MIN(E2099:E2099)</f>
        <v>1</v>
      </c>
    </row>
    <row r="2100" spans="7:7" ht="11.25">
      <c r="G2100" t="b">
        <f>MAX(E2100:E2100)=MIN(E2100:E2100)</f>
        <v>1</v>
      </c>
    </row>
    <row r="2101" spans="7:7" ht="11.25">
      <c r="G2101" t="b">
        <f>MAX(E2101:E2101)=MIN(E2101:E2101)</f>
        <v>1</v>
      </c>
    </row>
    <row r="2102" spans="7:7" ht="11.25">
      <c r="G2102" t="b">
        <f>MAX(E2102:E2102)=MIN(E2102:E2102)</f>
        <v>1</v>
      </c>
    </row>
    <row r="2103" spans="7:7" ht="11.25">
      <c r="G2103" t="b">
        <f>MAX(E2103:E2103)=MIN(E2103:E2103)</f>
        <v>1</v>
      </c>
    </row>
    <row r="2104" spans="7:7" ht="11.25">
      <c r="G2104" t="b">
        <f>MAX(E2104:E2104)=MIN(E2104:E2104)</f>
        <v>1</v>
      </c>
    </row>
    <row r="2105" spans="7:7" ht="11.25">
      <c r="G2105" t="b">
        <f>MAX(E2105:E2105)=MIN(E2105:E2105)</f>
        <v>1</v>
      </c>
    </row>
    <row r="2106" spans="7:7" ht="11.25">
      <c r="G2106" t="b">
        <f>MAX(E2106:E2106)=MIN(E2106:E2106)</f>
        <v>1</v>
      </c>
    </row>
    <row r="2107" spans="7:7" ht="11.25">
      <c r="G2107" t="b">
        <f>MAX(E2107:E2107)=MIN(E2107:E2107)</f>
        <v>1</v>
      </c>
    </row>
    <row r="2108" spans="7:7" ht="11.25">
      <c r="G2108" t="b">
        <f>MAX(E2108:E2108)=MIN(E2108:E2108)</f>
        <v>1</v>
      </c>
    </row>
    <row r="2109" spans="7:7" ht="11.25">
      <c r="G2109" t="b">
        <f>MAX(E2109:E2109)=MIN(E2109:E2109)</f>
        <v>1</v>
      </c>
    </row>
    <row r="2110" spans="7:7" ht="11.25">
      <c r="G2110" t="b">
        <f>MAX(E2110:E2110)=MIN(E2110:E2110)</f>
        <v>1</v>
      </c>
    </row>
    <row r="2111" spans="7:7" ht="11.25">
      <c r="G2111" t="b">
        <f>MAX(E2111:E2111)=MIN(E2111:E2111)</f>
        <v>1</v>
      </c>
    </row>
    <row r="2112" spans="7:7" ht="11.25">
      <c r="G2112" t="b">
        <f>MAX(E2112:E2112)=MIN(E2112:E2112)</f>
        <v>1</v>
      </c>
    </row>
    <row r="2113" spans="7:7" ht="11.25">
      <c r="G2113" t="b">
        <f>MAX(E2113:E2113)=MIN(E2113:E2113)</f>
        <v>1</v>
      </c>
    </row>
    <row r="2114" spans="7:7" ht="11.25">
      <c r="G2114" t="b">
        <f>MAX(E2114:E2114)=MIN(E2114:E2114)</f>
        <v>1</v>
      </c>
    </row>
    <row r="2115" spans="7:7" ht="11.25">
      <c r="G2115" t="b">
        <f>MAX(E2115:E2115)=MIN(E2115:E2115)</f>
        <v>1</v>
      </c>
    </row>
    <row r="2116" spans="7:7" ht="11.25">
      <c r="G2116" t="b">
        <f>MAX(E2116:E2116)=MIN(E2116:E2116)</f>
        <v>1</v>
      </c>
    </row>
    <row r="2117" spans="7:7" ht="11.25">
      <c r="G2117" t="b">
        <f>MAX(E2117:E2117)=MIN(E2117:E2117)</f>
        <v>1</v>
      </c>
    </row>
    <row r="2118" spans="7:7" ht="11.25">
      <c r="G2118" t="b">
        <f>MAX(E2118:E2118)=MIN(E2118:E2118)</f>
        <v>1</v>
      </c>
    </row>
    <row r="2119" spans="7:7" ht="11.25">
      <c r="G2119" t="b">
        <f>MAX(E2119:E2119)=MIN(E2119:E2119)</f>
        <v>1</v>
      </c>
    </row>
    <row r="2120" spans="7:7" ht="11.25">
      <c r="G2120" t="b">
        <f>MAX(E2120:E2120)=MIN(E2120:E2120)</f>
        <v>1</v>
      </c>
    </row>
    <row r="2121" spans="7:7" ht="11.25">
      <c r="G2121" t="b">
        <f>MAX(E2121:E2121)=MIN(E2121:E2121)</f>
        <v>1</v>
      </c>
    </row>
    <row r="2122" spans="7:7" ht="11.25">
      <c r="G2122" t="b">
        <f>MAX(E2122:E2122)=MIN(E2122:E2122)</f>
        <v>1</v>
      </c>
    </row>
    <row r="2123" spans="7:7" ht="11.25">
      <c r="G2123" t="b">
        <f>MAX(E2123:E2123)=MIN(E2123:E2123)</f>
        <v>1</v>
      </c>
    </row>
    <row r="2124" spans="7:7" ht="11.25">
      <c r="G2124" t="b">
        <f>MAX(E2124:E2124)=MIN(E2124:E2124)</f>
        <v>1</v>
      </c>
    </row>
    <row r="2125" spans="7:7" ht="11.25">
      <c r="G2125" t="b">
        <f>MAX(E2125:E2125)=MIN(E2125:E2125)</f>
        <v>1</v>
      </c>
    </row>
    <row r="2126" spans="7:7" ht="11.25">
      <c r="G2126" t="b">
        <f>MAX(E2126:E2126)=MIN(E2126:E2126)</f>
        <v>1</v>
      </c>
    </row>
    <row r="2127" spans="7:7" ht="11.25">
      <c r="G2127" t="b">
        <f>MAX(E2127:E2127)=MIN(E2127:E2127)</f>
        <v>1</v>
      </c>
    </row>
    <row r="2128" spans="7:7" ht="11.25">
      <c r="G2128" t="b">
        <f>MAX(E2128:E2128)=MIN(E2128:E2128)</f>
        <v>1</v>
      </c>
    </row>
    <row r="2129" spans="7:7" ht="11.25">
      <c r="G2129" t="b">
        <f>MAX(E2129:E2129)=MIN(E2129:E2129)</f>
        <v>1</v>
      </c>
    </row>
    <row r="2130" spans="7:7" ht="11.25">
      <c r="G2130" t="b">
        <f>MAX(E2130:E2130)=MIN(E2130:E2130)</f>
        <v>1</v>
      </c>
    </row>
    <row r="2131" spans="7:7" ht="11.25">
      <c r="G2131" t="b">
        <f>MAX(E2131:E2131)=MIN(E2131:E2131)</f>
        <v>1</v>
      </c>
    </row>
    <row r="2132" spans="7:7" ht="11.25">
      <c r="G2132" t="b">
        <f>MAX(E2132:E2132)=MIN(E2132:E2132)</f>
        <v>1</v>
      </c>
    </row>
    <row r="2133" spans="7:7" ht="11.25">
      <c r="G2133" t="b">
        <f>MAX(E2133:E2133)=MIN(E2133:E2133)</f>
        <v>1</v>
      </c>
    </row>
    <row r="2134" spans="7:7" ht="11.25">
      <c r="G2134" t="b">
        <f>MAX(E2134:E2134)=MIN(E2134:E2134)</f>
        <v>1</v>
      </c>
    </row>
    <row r="2135" spans="7:7" ht="11.25">
      <c r="G2135" t="b">
        <f>MAX(E2135:E2135)=MIN(E2135:E2135)</f>
        <v>1</v>
      </c>
    </row>
    <row r="2136" spans="7:7" ht="11.25">
      <c r="G2136" t="b">
        <f>MAX(E2136:E2136)=MIN(E2136:E2136)</f>
        <v>1</v>
      </c>
    </row>
    <row r="2137" spans="7:7" ht="11.25">
      <c r="G2137" t="b">
        <f>MAX(E2137:E2137)=MIN(E2137:E2137)</f>
        <v>1</v>
      </c>
    </row>
    <row r="2138" spans="7:7" ht="11.25">
      <c r="G2138" t="b">
        <f>MAX(E2138:E2138)=MIN(E2138:E2138)</f>
        <v>1</v>
      </c>
    </row>
    <row r="2139" spans="7:7" ht="11.25">
      <c r="G2139" t="b">
        <f>MAX(E2139:E2139)=MIN(E2139:E2139)</f>
        <v>1</v>
      </c>
    </row>
    <row r="2140" spans="7:7" ht="11.25">
      <c r="G2140" t="b">
        <f>MAX(E2140:E2140)=MIN(E2140:E2140)</f>
        <v>1</v>
      </c>
    </row>
    <row r="2141" spans="7:7" ht="11.25">
      <c r="G2141" t="b">
        <f>MAX(E2141:E2141)=MIN(E2141:E2141)</f>
        <v>1</v>
      </c>
    </row>
    <row r="2142" spans="7:7" ht="11.25">
      <c r="G2142" t="b">
        <f>MAX(E2142:E2142)=MIN(E2142:E2142)</f>
        <v>1</v>
      </c>
    </row>
    <row r="2143" spans="7:7" ht="11.25">
      <c r="G2143" t="b">
        <f>MAX(E2143:E2143)=MIN(E2143:E2143)</f>
        <v>1</v>
      </c>
    </row>
    <row r="2144" spans="7:7" ht="11.25">
      <c r="G2144" t="b">
        <f>MAX(E2144:E2144)=MIN(E2144:E2144)</f>
        <v>1</v>
      </c>
    </row>
    <row r="2145" spans="7:7" ht="11.25">
      <c r="G2145" t="b">
        <f>MAX(E2145:E2145)=MIN(E2145:E2145)</f>
        <v>1</v>
      </c>
    </row>
    <row r="2146" spans="7:7" ht="11.25">
      <c r="G2146" t="b">
        <f>MAX(E2146:E2146)=MIN(E2146:E2146)</f>
        <v>1</v>
      </c>
    </row>
    <row r="2147" spans="7:7" ht="11.25">
      <c r="G2147" t="b">
        <f>MAX(E2147:E2147)=MIN(E2147:E2147)</f>
        <v>1</v>
      </c>
    </row>
    <row r="2148" spans="7:7" ht="11.25">
      <c r="G2148" t="b">
        <f>MAX(E2148:E2148)=MIN(E2148:E2148)</f>
        <v>1</v>
      </c>
    </row>
    <row r="2149" spans="7:7" ht="11.25">
      <c r="G2149" t="b">
        <f>MAX(E2149:E2149)=MIN(E2149:E2149)</f>
        <v>1</v>
      </c>
    </row>
    <row r="2150" spans="7:7" ht="11.25">
      <c r="G2150" t="b">
        <f>MAX(E2150:E2150)=MIN(E2150:E2150)</f>
        <v>1</v>
      </c>
    </row>
    <row r="2151" spans="7:7" ht="11.25">
      <c r="G2151" t="b">
        <f>MAX(E2151:E2151)=MIN(E2151:E2151)</f>
        <v>1</v>
      </c>
    </row>
    <row r="2152" spans="7:7" ht="11.25">
      <c r="G2152" t="b">
        <f>MAX(E2152:E2152)=MIN(E2152:E2152)</f>
        <v>1</v>
      </c>
    </row>
    <row r="2153" spans="7:7" ht="11.25">
      <c r="G2153" t="b">
        <f>MAX(E2153:E2153)=MIN(E2153:E2153)</f>
        <v>1</v>
      </c>
    </row>
    <row r="2154" spans="7:7" ht="11.25">
      <c r="G2154" t="b">
        <f>MAX(E2154:E2154)=MIN(E2154:E2154)</f>
        <v>1</v>
      </c>
    </row>
    <row r="2155" spans="7:7" ht="11.25">
      <c r="G2155" t="b">
        <f>MAX(E2155:E2155)=MIN(E2155:E2155)</f>
        <v>1</v>
      </c>
    </row>
    <row r="2156" spans="7:7" ht="11.25">
      <c r="G2156" t="b">
        <f>MAX(E2156:E2156)=MIN(E2156:E2156)</f>
        <v>1</v>
      </c>
    </row>
    <row r="2157" spans="7:7" ht="11.25">
      <c r="G2157" t="b">
        <f>MAX(E2157:E2157)=MIN(E2157:E2157)</f>
        <v>1</v>
      </c>
    </row>
    <row r="2158" spans="7:7" ht="11.25">
      <c r="G2158" t="b">
        <f>MAX(E2158:E2158)=MIN(E2158:E2158)</f>
        <v>1</v>
      </c>
    </row>
    <row r="2159" spans="7:7" ht="11.25">
      <c r="G2159" t="b">
        <f>MAX(E2159:E2159)=MIN(E2159:E2159)</f>
        <v>1</v>
      </c>
    </row>
    <row r="2160" spans="7:7" ht="11.25">
      <c r="G2160" t="b">
        <f>MAX(E2160:E2160)=MIN(E2160:E2160)</f>
        <v>1</v>
      </c>
    </row>
    <row r="2161" spans="7:7" ht="11.25">
      <c r="G2161" t="b">
        <f>MAX(E2161:E2161)=MIN(E2161:E2161)</f>
        <v>1</v>
      </c>
    </row>
    <row r="2162" spans="7:7" ht="11.25">
      <c r="G2162" t="b">
        <f>MAX(E2162:E2162)=MIN(E2162:E2162)</f>
        <v>1</v>
      </c>
    </row>
    <row r="2163" spans="7:7" ht="11.25">
      <c r="G2163" t="b">
        <f>MAX(E2163:E2163)=MIN(E2163:E2163)</f>
        <v>1</v>
      </c>
    </row>
    <row r="2164" spans="7:7" ht="11.25">
      <c r="G2164" t="b">
        <f>MAX(E2164:E2164)=MIN(E2164:E2164)</f>
        <v>1</v>
      </c>
    </row>
    <row r="2165" spans="7:7" ht="11.25">
      <c r="G2165" t="b">
        <f>MAX(E2165:E2165)=MIN(E2165:E2165)</f>
        <v>1</v>
      </c>
    </row>
    <row r="2166" spans="7:7" ht="11.25">
      <c r="G2166" t="b">
        <f>MAX(E2166:E2166)=MIN(E2166:E2166)</f>
        <v>1</v>
      </c>
    </row>
    <row r="2167" spans="7:7" ht="11.25">
      <c r="G2167" t="b">
        <f>MAX(E2167:E2167)=MIN(E2167:E2167)</f>
        <v>1</v>
      </c>
    </row>
    <row r="2168" spans="7:7" ht="11.25">
      <c r="G2168" t="b">
        <f>MAX(E2168:E2168)=MIN(E2168:E2168)</f>
        <v>1</v>
      </c>
    </row>
    <row r="2169" spans="7:7" ht="11.25">
      <c r="G2169" t="b">
        <f>MAX(E2169:E2169)=MIN(E2169:E2169)</f>
        <v>1</v>
      </c>
    </row>
    <row r="2170" spans="7:7" ht="11.25">
      <c r="G2170" t="b">
        <f>MAX(E2170:E2170)=MIN(E2170:E2170)</f>
        <v>1</v>
      </c>
    </row>
    <row r="2171" spans="7:7" ht="11.25">
      <c r="G2171" t="b">
        <f>MAX(E2171:E2171)=MIN(E2171:E2171)</f>
        <v>1</v>
      </c>
    </row>
    <row r="2172" spans="7:7" ht="11.25">
      <c r="G2172" t="b">
        <f>MAX(E2172:E2172)=MIN(E2172:E2172)</f>
        <v>1</v>
      </c>
    </row>
    <row r="2173" spans="7:7" ht="11.25">
      <c r="G2173" t="b">
        <f>MAX(E2173:E2173)=MIN(E2173:E2173)</f>
        <v>1</v>
      </c>
    </row>
    <row r="2174" spans="7:7" ht="11.25">
      <c r="G2174" t="b">
        <f>MAX(E2174:E2174)=MIN(E2174:E2174)</f>
        <v>1</v>
      </c>
    </row>
    <row r="2175" spans="7:7" ht="11.25">
      <c r="G2175" t="b">
        <f>MAX(E2175:E2175)=MIN(E2175:E2175)</f>
        <v>1</v>
      </c>
    </row>
    <row r="2176" spans="7:7" ht="11.25">
      <c r="G2176" t="b">
        <f>MAX(E2176:E2176)=MIN(E2176:E2176)</f>
        <v>1</v>
      </c>
    </row>
    <row r="2177" spans="7:7" ht="11.25">
      <c r="G2177" t="b">
        <f>MAX(E2177:E2177)=MIN(E2177:E2177)</f>
        <v>1</v>
      </c>
    </row>
    <row r="2178" spans="7:7" ht="11.25">
      <c r="G2178" t="b">
        <f>MAX(E2178:E2178)=MIN(E2178:E2178)</f>
        <v>1</v>
      </c>
    </row>
    <row r="2179" spans="7:7" ht="11.25">
      <c r="G2179" t="b">
        <f>MAX(E2179:E2179)=MIN(E2179:E2179)</f>
        <v>1</v>
      </c>
    </row>
    <row r="2180" spans="7:7" ht="11.25">
      <c r="G2180" t="b">
        <f>MAX(E2180:E2180)=MIN(E2180:E2180)</f>
        <v>1</v>
      </c>
    </row>
    <row r="2181" spans="7:7" ht="11.25">
      <c r="G2181" t="b">
        <f>MAX(E2181:E2181)=MIN(E2181:E2181)</f>
        <v>1</v>
      </c>
    </row>
    <row r="2182" spans="7:7" ht="11.25">
      <c r="G2182" t="b">
        <f>MAX(E2182:E2182)=MIN(E2182:E2182)</f>
        <v>1</v>
      </c>
    </row>
    <row r="2183" spans="7:7" ht="11.25">
      <c r="G2183" t="b">
        <f>MAX(E2183:E2183)=MIN(E2183:E2183)</f>
        <v>1</v>
      </c>
    </row>
    <row r="2184" spans="7:7" ht="11.25">
      <c r="G2184" t="b">
        <f>MAX(E2184:E2184)=MIN(E2184:E2184)</f>
        <v>1</v>
      </c>
    </row>
    <row r="2185" spans="7:7" ht="11.25">
      <c r="G2185" t="b">
        <f>MAX(E2185:E2185)=MIN(E2185:E2185)</f>
        <v>1</v>
      </c>
    </row>
    <row r="2186" spans="7:7" ht="11.25">
      <c r="G2186" t="b">
        <f>MAX(E2186:E2186)=MIN(E2186:E2186)</f>
        <v>1</v>
      </c>
    </row>
    <row r="2187" spans="7:7" ht="11.25">
      <c r="G2187" t="b">
        <f>MAX(E2187:E2187)=MIN(E2187:E2187)</f>
        <v>1</v>
      </c>
    </row>
    <row r="2188" spans="7:7" ht="11.25">
      <c r="G2188" t="b">
        <f>MAX(E2188:E2188)=MIN(E2188:E2188)</f>
        <v>1</v>
      </c>
    </row>
    <row r="2189" spans="7:7" ht="11.25">
      <c r="G2189" t="b">
        <f>MAX(E2189:E2189)=MIN(E2189:E2189)</f>
        <v>1</v>
      </c>
    </row>
    <row r="2190" spans="7:7" ht="11.25">
      <c r="G2190" t="b">
        <f>MAX(E2190:E2190)=MIN(E2190:E2190)</f>
        <v>1</v>
      </c>
    </row>
    <row r="2191" spans="7:7" ht="11.25">
      <c r="G2191" t="b">
        <f>MAX(E2191:E2191)=MIN(E2191:E2191)</f>
        <v>1</v>
      </c>
    </row>
    <row r="2192" spans="7:7" ht="11.25">
      <c r="G2192" t="b">
        <f>MAX(E2192:E2192)=MIN(E2192:E2192)</f>
        <v>1</v>
      </c>
    </row>
    <row r="2193" spans="7:7" ht="11.25">
      <c r="G2193" t="b">
        <f>MAX(E2193:E2193)=MIN(E2193:E2193)</f>
        <v>1</v>
      </c>
    </row>
    <row r="2194" spans="7:7" ht="11.25">
      <c r="G2194" t="b">
        <f>MAX(E2194:E2194)=MIN(E2194:E2194)</f>
        <v>1</v>
      </c>
    </row>
    <row r="2195" spans="7:7" ht="11.25">
      <c r="G2195" t="b">
        <f>MAX(E2195:E2195)=MIN(E2195:E2195)</f>
        <v>1</v>
      </c>
    </row>
    <row r="2196" spans="7:7" ht="11.25">
      <c r="G2196" t="b">
        <f>MAX(E2196:E2196)=MIN(E2196:E2196)</f>
        <v>1</v>
      </c>
    </row>
    <row r="2197" spans="7:7" ht="11.25">
      <c r="G2197" t="b">
        <f>MAX(E2197:E2197)=MIN(E2197:E2197)</f>
        <v>1</v>
      </c>
    </row>
    <row r="2198" spans="7:7" ht="11.25">
      <c r="G2198" t="b">
        <f>MAX(E2198:E2198)=MIN(E2198:E2198)</f>
        <v>1</v>
      </c>
    </row>
    <row r="2199" spans="7:7" ht="11.25">
      <c r="G2199" t="b">
        <f>MAX(E2199:E2199)=MIN(E2199:E2199)</f>
        <v>1</v>
      </c>
    </row>
    <row r="2200" spans="7:7" ht="11.25">
      <c r="G2200" t="b">
        <f>MAX(E2200:E2200)=MIN(E2200:E2200)</f>
        <v>1</v>
      </c>
    </row>
    <row r="2201" spans="7:7" ht="11.25">
      <c r="G2201" t="b">
        <f>MAX(E2201:E2201)=MIN(E2201:E2201)</f>
        <v>1</v>
      </c>
    </row>
    <row r="2202" spans="7:7" ht="11.25">
      <c r="G2202" t="b">
        <f>MAX(E2202:E2202)=MIN(E2202:E2202)</f>
        <v>1</v>
      </c>
    </row>
    <row r="2203" spans="7:7" ht="11.25">
      <c r="G2203" t="b">
        <f>MAX(E2203:E2203)=MIN(E2203:E2203)</f>
        <v>1</v>
      </c>
    </row>
    <row r="2204" spans="7:7" ht="11.25">
      <c r="G2204" t="b">
        <f>MAX(E2204:E2204)=MIN(E2204:E2204)</f>
        <v>1</v>
      </c>
    </row>
    <row r="2205" spans="7:7" ht="11.25">
      <c r="G2205" t="b">
        <f>MAX(E2205:E2205)=MIN(E2205:E2205)</f>
        <v>1</v>
      </c>
    </row>
    <row r="2206" spans="7:7" ht="11.25">
      <c r="G2206" t="b">
        <f>MAX(E2206:E2206)=MIN(E2206:E2206)</f>
        <v>1</v>
      </c>
    </row>
    <row r="2207" spans="7:7" ht="11.25">
      <c r="G2207" t="b">
        <f>MAX(E2207:E2207)=MIN(E2207:E2207)</f>
        <v>1</v>
      </c>
    </row>
    <row r="2208" spans="7:7" ht="11.25">
      <c r="G2208" t="b">
        <f>MAX(E2208:E2208)=MIN(E2208:E2208)</f>
        <v>1</v>
      </c>
    </row>
    <row r="2209" spans="7:7" ht="11.25">
      <c r="G2209" t="b">
        <f>MAX(E2209:E2209)=MIN(E2209:E2209)</f>
        <v>1</v>
      </c>
    </row>
    <row r="2210" spans="7:7" ht="11.25">
      <c r="G2210" t="b">
        <f>MAX(E2210:E2210)=MIN(E2210:E2210)</f>
        <v>1</v>
      </c>
    </row>
    <row r="2211" spans="7:7" ht="11.25">
      <c r="G2211" t="b">
        <f>MAX(E2211:E2211)=MIN(E2211:E2211)</f>
        <v>1</v>
      </c>
    </row>
    <row r="2212" spans="7:7" ht="11.25">
      <c r="G2212" t="b">
        <f>MAX(E2212:E2212)=MIN(E2212:E2212)</f>
        <v>1</v>
      </c>
    </row>
    <row r="2213" spans="7:7" ht="11.25">
      <c r="G2213" t="b">
        <f>MAX(E2213:E2213)=MIN(E2213:E2213)</f>
        <v>1</v>
      </c>
    </row>
    <row r="2214" spans="7:7" ht="11.25">
      <c r="G2214" t="b">
        <f>MAX(E2214:E2214)=MIN(E2214:E2214)</f>
        <v>1</v>
      </c>
    </row>
    <row r="2215" spans="7:7" ht="11.25">
      <c r="G2215" t="b">
        <f>MAX(E2215:E2215)=MIN(E2215:E2215)</f>
        <v>1</v>
      </c>
    </row>
    <row r="2216" spans="7:7" ht="11.25">
      <c r="G2216" t="b">
        <f>MAX(E2216:E2216)=MIN(E2216:E2216)</f>
        <v>1</v>
      </c>
    </row>
    <row r="2217" spans="7:7" ht="11.25">
      <c r="G2217" t="b">
        <f>MAX(E2217:E2217)=MIN(E2217:E2217)</f>
        <v>1</v>
      </c>
    </row>
    <row r="2218" spans="7:7" ht="11.25">
      <c r="G2218" t="b">
        <f>MAX(E2218:E2218)=MIN(E2218:E2218)</f>
        <v>1</v>
      </c>
    </row>
    <row r="2219" spans="7:7" ht="11.25">
      <c r="G2219" t="b">
        <f>MAX(E2219:E2219)=MIN(E2219:E2219)</f>
        <v>1</v>
      </c>
    </row>
    <row r="2220" spans="7:7" ht="11.25">
      <c r="G2220" t="b">
        <f>MAX(E2220:E2220)=MIN(E2220:E2220)</f>
        <v>1</v>
      </c>
    </row>
    <row r="2221" spans="7:7" ht="11.25">
      <c r="G2221" t="b">
        <f>MAX(E2221:E2221)=MIN(E2221:E2221)</f>
        <v>1</v>
      </c>
    </row>
    <row r="2222" spans="7:7" ht="11.25">
      <c r="G2222" t="b">
        <f>MAX(E2222:E2222)=MIN(E2222:E2222)</f>
        <v>1</v>
      </c>
    </row>
    <row r="2223" spans="7:7" ht="11.25">
      <c r="G2223" t="b">
        <f>MAX(E2223:E2223)=MIN(E2223:E2223)</f>
        <v>1</v>
      </c>
    </row>
    <row r="2224" spans="7:7" ht="11.25">
      <c r="G2224" t="b">
        <f>MAX(E2224:E2224)=MIN(E2224:E2224)</f>
        <v>1</v>
      </c>
    </row>
    <row r="2225" spans="7:7" ht="11.25">
      <c r="G2225" t="b">
        <f>MAX(E2225:E2225)=MIN(E2225:E2225)</f>
        <v>1</v>
      </c>
    </row>
    <row r="2226" spans="7:7" ht="11.25">
      <c r="G2226" t="b">
        <f>MAX(E2226:E2226)=MIN(E2226:E2226)</f>
        <v>1</v>
      </c>
    </row>
    <row r="2227" spans="7:7" ht="11.25">
      <c r="G2227" t="b">
        <f>MAX(E2227:E2227)=MIN(E2227:E2227)</f>
        <v>1</v>
      </c>
    </row>
    <row r="2228" spans="7:7" ht="11.25">
      <c r="G2228" t="b">
        <f>MAX(E2228:E2228)=MIN(E2228:E2228)</f>
        <v>1</v>
      </c>
    </row>
    <row r="2229" spans="7:7" ht="11.25">
      <c r="G2229" t="b">
        <f>MAX(E2229:E2229)=MIN(E2229:E2229)</f>
        <v>1</v>
      </c>
    </row>
    <row r="2230" spans="7:7" ht="11.25">
      <c r="G2230" t="b">
        <f>MAX(E2230:E2230)=MIN(E2230:E2230)</f>
        <v>1</v>
      </c>
    </row>
    <row r="2231" spans="7:7" ht="11.25">
      <c r="G2231" t="b">
        <f>MAX(E2231:E2231)=MIN(E2231:E2231)</f>
        <v>1</v>
      </c>
    </row>
    <row r="2232" spans="7:7" ht="11.25">
      <c r="G2232" t="b">
        <f>MAX(E2232:E2232)=MIN(E2232:E2232)</f>
        <v>1</v>
      </c>
    </row>
    <row r="2233" spans="7:7" ht="11.25">
      <c r="G2233" t="b">
        <f>MAX(E2233:E2233)=MIN(E2233:E2233)</f>
        <v>1</v>
      </c>
    </row>
    <row r="2234" spans="7:7" ht="11.25">
      <c r="G2234" t="b">
        <f>MAX(E2234:E2234)=MIN(E2234:E2234)</f>
        <v>1</v>
      </c>
    </row>
    <row r="2235" spans="7:7" ht="11.25">
      <c r="G2235" t="b">
        <f>MAX(E2235:E2235)=MIN(E2235:E2235)</f>
        <v>1</v>
      </c>
    </row>
    <row r="2236" spans="7:7" ht="11.25">
      <c r="G2236" t="b">
        <f>MAX(E2236:E2236)=MIN(E2236:E2236)</f>
        <v>1</v>
      </c>
    </row>
    <row r="2237" spans="7:7" ht="11.25">
      <c r="G2237" t="b">
        <f>MAX(E2237:E2237)=MIN(E2237:E2237)</f>
        <v>1</v>
      </c>
    </row>
    <row r="2238" spans="7:7" ht="11.25">
      <c r="G2238" t="b">
        <f>MAX(E2238:E2238)=MIN(E2238:E2238)</f>
        <v>1</v>
      </c>
    </row>
    <row r="2239" spans="7:7" ht="11.25">
      <c r="G2239" t="b">
        <f>MAX(E2239:E2239)=MIN(E2239:E2239)</f>
        <v>1</v>
      </c>
    </row>
    <row r="2240" spans="7:7" ht="11.25">
      <c r="G2240" t="b">
        <f>MAX(E2240:E2240)=MIN(E2240:E2240)</f>
        <v>1</v>
      </c>
    </row>
    <row r="2241" spans="7:7" ht="11.25">
      <c r="G2241" t="b">
        <f>MAX(E2241:E2241)=MIN(E2241:E2241)</f>
        <v>1</v>
      </c>
    </row>
    <row r="2242" spans="7:7" ht="11.25">
      <c r="G2242" t="b">
        <f>MAX(E2242:E2242)=MIN(E2242:E2242)</f>
        <v>1</v>
      </c>
    </row>
    <row r="2243" spans="7:7" ht="11.25">
      <c r="G2243" t="b">
        <f>MAX(E2243:E2243)=MIN(E2243:E2243)</f>
        <v>1</v>
      </c>
    </row>
    <row r="2244" spans="7:7" ht="11.25">
      <c r="G2244" t="b">
        <f>MAX(E2244:E2244)=MIN(E2244:E2244)</f>
        <v>1</v>
      </c>
    </row>
    <row r="2245" spans="7:7" ht="11.25">
      <c r="G2245" t="b">
        <f>MAX(E2245:E2245)=MIN(E2245:E2245)</f>
        <v>1</v>
      </c>
    </row>
    <row r="2246" spans="7:7" ht="11.25">
      <c r="G2246" t="b">
        <f>MAX(E2246:E2246)=MIN(E2246:E2246)</f>
        <v>1</v>
      </c>
    </row>
    <row r="2247" spans="7:7" ht="11.25">
      <c r="G2247" t="b">
        <f>MAX(E2247:E2247)=MIN(E2247:E2247)</f>
        <v>1</v>
      </c>
    </row>
    <row r="2248" spans="7:7" ht="11.25">
      <c r="G2248" t="b">
        <f>MAX(E2248:E2248)=MIN(E2248:E2248)</f>
        <v>1</v>
      </c>
    </row>
    <row r="2249" spans="7:7" ht="11.25">
      <c r="G2249" t="b">
        <f>MAX(E2249:E2249)=MIN(E2249:E2249)</f>
        <v>1</v>
      </c>
    </row>
    <row r="2250" spans="7:7" ht="11.25">
      <c r="G2250" t="b">
        <f>MAX(E2250:E2250)=MIN(E2250:E2250)</f>
        <v>1</v>
      </c>
    </row>
    <row r="2251" spans="7:7" ht="11.25">
      <c r="G2251" t="b">
        <f>MAX(E2251:E2251)=MIN(E2251:E2251)</f>
        <v>1</v>
      </c>
    </row>
    <row r="2252" spans="7:7" ht="11.25">
      <c r="G2252" t="b">
        <f>MAX(E2252:E2252)=MIN(E2252:E2252)</f>
        <v>1</v>
      </c>
    </row>
    <row r="2253" spans="7:7" ht="11.25">
      <c r="G2253" t="b">
        <f>MAX(E2253:E2253)=MIN(E2253:E2253)</f>
        <v>1</v>
      </c>
    </row>
    <row r="2254" spans="7:7" ht="11.25">
      <c r="G2254" t="b">
        <f>MAX(E2254:E2254)=MIN(E2254:E2254)</f>
        <v>1</v>
      </c>
    </row>
    <row r="2255" spans="7:7" ht="11.25">
      <c r="G2255" t="b">
        <f>MAX(E2255:E2255)=MIN(E2255:E2255)</f>
        <v>1</v>
      </c>
    </row>
    <row r="2256" spans="7:7" ht="11.25">
      <c r="G2256" t="b">
        <f>MAX(E2256:E2256)=MIN(E2256:E2256)</f>
        <v>1</v>
      </c>
    </row>
    <row r="2257" spans="7:7" ht="11.25">
      <c r="G2257" t="b">
        <f>MAX(E2257:E2257)=MIN(E2257:E2257)</f>
        <v>1</v>
      </c>
    </row>
    <row r="2258" spans="7:7" ht="11.25">
      <c r="G2258" t="b">
        <f>MAX(E2258:E2258)=MIN(E2258:E2258)</f>
        <v>1</v>
      </c>
    </row>
    <row r="2259" spans="7:7" ht="11.25">
      <c r="G2259" t="b">
        <f>MAX(E2259:E2259)=MIN(E2259:E2259)</f>
        <v>1</v>
      </c>
    </row>
    <row r="2260" spans="7:7" ht="11.25">
      <c r="G2260" t="b">
        <f>MAX(E2260:E2260)=MIN(E2260:E2260)</f>
        <v>1</v>
      </c>
    </row>
    <row r="2261" spans="7:7" ht="11.25">
      <c r="G2261" t="b">
        <f>MAX(E2261:E2261)=MIN(E2261:E2261)</f>
        <v>1</v>
      </c>
    </row>
    <row r="2262" spans="7:7" ht="11.25">
      <c r="G2262" t="b">
        <f>MAX(E2262:E2262)=MIN(E2262:E2262)</f>
        <v>1</v>
      </c>
    </row>
    <row r="2263" spans="7:7" ht="11.25">
      <c r="G2263" t="b">
        <f>MAX(E2263:E2263)=MIN(E2263:E2263)</f>
        <v>1</v>
      </c>
    </row>
    <row r="2264" spans="7:7" ht="11.25">
      <c r="G2264" t="b">
        <f>MAX(E2264:E2264)=MIN(E2264:E2264)</f>
        <v>1</v>
      </c>
    </row>
    <row r="2265" spans="7:7" ht="11.25">
      <c r="G2265" t="b">
        <f>MAX(E2265:E2265)=MIN(E2265:E2265)</f>
        <v>1</v>
      </c>
    </row>
    <row r="2266" spans="7:7" ht="11.25">
      <c r="G2266" t="b">
        <f>MAX(E2266:E2266)=MIN(E2266:E2266)</f>
        <v>1</v>
      </c>
    </row>
    <row r="2267" spans="7:7" ht="11.25">
      <c r="G2267" t="b">
        <f>MAX(E2267:E2267)=MIN(E2267:E2267)</f>
        <v>1</v>
      </c>
    </row>
    <row r="2268" spans="7:7" ht="11.25">
      <c r="G2268" t="b">
        <f>MAX(E2268:E2268)=MIN(E2268:E2268)</f>
        <v>1</v>
      </c>
    </row>
    <row r="2269" spans="7:7" ht="11.25">
      <c r="G2269" t="b">
        <f>MAX(E2269:E2269)=MIN(E2269:E2269)</f>
        <v>1</v>
      </c>
    </row>
    <row r="2270" spans="7:7" ht="11.25">
      <c r="G2270" t="b">
        <f>MAX(E2270:E2270)=MIN(E2270:E2270)</f>
        <v>1</v>
      </c>
    </row>
    <row r="2271" spans="7:7" ht="11.25">
      <c r="G2271" t="b">
        <f>MAX(E2271:E2271)=MIN(E2271:E2271)</f>
        <v>1</v>
      </c>
    </row>
    <row r="2272" spans="7:7" ht="11.25">
      <c r="G2272" t="b">
        <f>MAX(E2272:E2272)=MIN(E2272:E2272)</f>
        <v>1</v>
      </c>
    </row>
    <row r="2273" spans="7:7" ht="11.25">
      <c r="G2273" t="b">
        <f>MAX(E2273:E2273)=MIN(E2273:E2273)</f>
        <v>1</v>
      </c>
    </row>
    <row r="2274" spans="7:7" ht="11.25">
      <c r="G2274" t="b">
        <f>MAX(E2274:E2274)=MIN(E2274:E2274)</f>
        <v>1</v>
      </c>
    </row>
    <row r="2275" spans="7:7" ht="11.25">
      <c r="G2275" t="b">
        <f>MAX(E2275:E2275)=MIN(E2275:E2275)</f>
        <v>1</v>
      </c>
    </row>
    <row r="2276" spans="7:7" ht="11.25">
      <c r="G2276" t="b">
        <f>MAX(E2276:E2276)=MIN(E2276:E2276)</f>
        <v>1</v>
      </c>
    </row>
    <row r="2277" spans="7:7" ht="11.25">
      <c r="G2277" t="b">
        <f>MAX(E2277:E2277)=MIN(E2277:E2277)</f>
        <v>1</v>
      </c>
    </row>
    <row r="2278" spans="7:7" ht="11.25">
      <c r="G2278" t="b">
        <f>MAX(E2278:E2278)=MIN(E2278:E2278)</f>
        <v>1</v>
      </c>
    </row>
    <row r="2279" spans="7:7" ht="11.25">
      <c r="G2279" t="b">
        <f>MAX(E2279:E2279)=MIN(E2279:E2279)</f>
        <v>1</v>
      </c>
    </row>
    <row r="2280" spans="7:7" ht="11.25">
      <c r="G2280" t="b">
        <f>MAX(E2280:E2280)=MIN(E2280:E2280)</f>
        <v>1</v>
      </c>
    </row>
    <row r="2281" spans="7:7" ht="11.25">
      <c r="G2281" t="b">
        <f>MAX(E2281:E2281)=MIN(E2281:E2281)</f>
        <v>1</v>
      </c>
    </row>
    <row r="2282" spans="7:7" ht="11.25">
      <c r="G2282" t="b">
        <f>MAX(E2282:E2282)=MIN(E2282:E2282)</f>
        <v>1</v>
      </c>
    </row>
    <row r="2283" spans="7:7" ht="11.25">
      <c r="G2283" t="b">
        <f>MAX(E2283:E2283)=MIN(E2283:E2283)</f>
        <v>1</v>
      </c>
    </row>
    <row r="2284" spans="7:7" ht="11.25">
      <c r="G2284" t="b">
        <f>MAX(E2284:E2284)=MIN(E2284:E2284)</f>
        <v>1</v>
      </c>
    </row>
    <row r="2285" spans="7:7" ht="11.25">
      <c r="G2285" t="b">
        <f>MAX(E2285:E2285)=MIN(E2285:E2285)</f>
        <v>1</v>
      </c>
    </row>
    <row r="2286" spans="7:7" ht="11.25">
      <c r="G2286" t="b">
        <f>MAX(E2286:E2286)=MIN(E2286:E2286)</f>
        <v>1</v>
      </c>
    </row>
    <row r="2287" spans="7:7" ht="11.25">
      <c r="G2287" t="b">
        <f>MAX(E2287:E2287)=MIN(E2287:E2287)</f>
        <v>1</v>
      </c>
    </row>
    <row r="2288" spans="7:7" ht="11.25">
      <c r="G2288" t="b">
        <f>MAX(E2288:E2288)=MIN(E2288:E2288)</f>
        <v>1</v>
      </c>
    </row>
    <row r="2289" spans="7:7" ht="11.25">
      <c r="G2289" t="b">
        <f>MAX(E2289:E2289)=MIN(E2289:E2289)</f>
        <v>1</v>
      </c>
    </row>
    <row r="2290" spans="7:7" ht="11.25">
      <c r="G2290" t="b">
        <f>MAX(E2290:E2290)=MIN(E2290:E2290)</f>
        <v>1</v>
      </c>
    </row>
    <row r="2291" spans="7:7" ht="11.25">
      <c r="G2291" t="b">
        <f>MAX(E2291:E2291)=MIN(E2291:E2291)</f>
        <v>1</v>
      </c>
    </row>
    <row r="2292" spans="7:7" ht="11.25">
      <c r="G2292" t="b">
        <f>MAX(E2292:E2292)=MIN(E2292:E2292)</f>
        <v>1</v>
      </c>
    </row>
    <row r="2293" spans="7:7" ht="11.25">
      <c r="G2293" t="b">
        <f>MAX(E2293:E2293)=MIN(E2293:E2293)</f>
        <v>1</v>
      </c>
    </row>
    <row r="2294" spans="7:7" ht="11.25">
      <c r="G2294" t="b">
        <f>MAX(E2294:E2294)=MIN(E2294:E2294)</f>
        <v>1</v>
      </c>
    </row>
    <row r="2295" spans="7:7" ht="11.25">
      <c r="G2295" t="b">
        <f>MAX(E2295:E2295)=MIN(E2295:E2295)</f>
        <v>1</v>
      </c>
    </row>
    <row r="2296" spans="7:7" ht="11.25">
      <c r="G2296" t="b">
        <f>MAX(E2296:E2296)=MIN(E2296:E2296)</f>
        <v>1</v>
      </c>
    </row>
    <row r="2297" spans="7:7" ht="11.25">
      <c r="G2297" t="b">
        <f>MAX(E2297:E2297)=MIN(E2297:E2297)</f>
        <v>1</v>
      </c>
    </row>
    <row r="2298" spans="7:7" ht="11.25">
      <c r="G2298" t="b">
        <f>MAX(E2298:E2298)=MIN(E2298:E2298)</f>
        <v>1</v>
      </c>
    </row>
    <row r="2299" spans="7:7" ht="11.25">
      <c r="G2299" t="b">
        <f>MAX(E2299:E2299)=MIN(E2299:E2299)</f>
        <v>1</v>
      </c>
    </row>
    <row r="2300" spans="7:7" ht="11.25">
      <c r="G2300" t="b">
        <f>MAX(E2300:E2300)=MIN(E2300:E2300)</f>
        <v>1</v>
      </c>
    </row>
    <row r="2301" spans="7:7" ht="11.25">
      <c r="G2301" t="b">
        <f>MAX(E2301:E2301)=MIN(E2301:E2301)</f>
        <v>1</v>
      </c>
    </row>
    <row r="2302" spans="7:7" ht="11.25">
      <c r="G2302" t="b">
        <f>MAX(E2302:E2302)=MIN(E2302:E2302)</f>
        <v>1</v>
      </c>
    </row>
    <row r="2303" spans="7:7" ht="11.25">
      <c r="G2303" t="b">
        <f>MAX(E2303:E2303)=MIN(E2303:E2303)</f>
        <v>1</v>
      </c>
    </row>
    <row r="2304" spans="7:7" ht="11.25">
      <c r="G2304" t="b">
        <f>MAX(E2304:E2304)=MIN(E2304:E2304)</f>
        <v>1</v>
      </c>
    </row>
    <row r="2305" spans="7:7" ht="11.25">
      <c r="G2305" t="b">
        <f>MAX(E2305:E2305)=MIN(E2305:E2305)</f>
        <v>1</v>
      </c>
    </row>
    <row r="2306" spans="7:7" ht="11.25">
      <c r="G2306" t="b">
        <f>MAX(E2306:E2306)=MIN(E2306:E2306)</f>
        <v>1</v>
      </c>
    </row>
    <row r="2307" spans="7:7" ht="11.25">
      <c r="G2307" t="b">
        <f>MAX(E2307:E2307)=MIN(E2307:E2307)</f>
        <v>1</v>
      </c>
    </row>
    <row r="2308" spans="7:7" ht="11.25">
      <c r="G2308" t="b">
        <f>MAX(E2308:E2308)=MIN(E2308:E2308)</f>
        <v>1</v>
      </c>
    </row>
    <row r="2309" spans="7:7" ht="11.25">
      <c r="G2309" t="b">
        <f>MAX(E2309:E2309)=MIN(E2309:E2309)</f>
        <v>1</v>
      </c>
    </row>
    <row r="2310" spans="7:7" ht="11.25">
      <c r="G2310" t="b">
        <f>MAX(E2310:E2310)=MIN(E2310:E2310)</f>
        <v>1</v>
      </c>
    </row>
    <row r="2311" spans="7:7" ht="11.25">
      <c r="G2311" t="b">
        <f>MAX(E2311:E2311)=MIN(E2311:E2311)</f>
        <v>1</v>
      </c>
    </row>
    <row r="2312" spans="7:7" ht="11.25">
      <c r="G2312" t="b">
        <f>MAX(E2312:E2312)=MIN(E2312:E2312)</f>
        <v>1</v>
      </c>
    </row>
    <row r="2313" spans="7:7" ht="11.25">
      <c r="G2313" t="b">
        <f>MAX(E2313:E2313)=MIN(E2313:E2313)</f>
        <v>1</v>
      </c>
    </row>
    <row r="2314" spans="7:7" ht="11.25">
      <c r="G2314" t="b">
        <f>MAX(E2314:E2314)=MIN(E2314:E2314)</f>
        <v>1</v>
      </c>
    </row>
    <row r="2315" spans="7:7" ht="11.25">
      <c r="G2315" t="b">
        <f>MAX(E2315:E2315)=MIN(E2315:E2315)</f>
        <v>1</v>
      </c>
    </row>
    <row r="2316" spans="7:7" ht="11.25">
      <c r="G2316" t="b">
        <f>MAX(E2316:E2316)=MIN(E2316:E2316)</f>
        <v>1</v>
      </c>
    </row>
    <row r="2317" spans="7:7" ht="11.25">
      <c r="G2317" t="b">
        <f>MAX(E2317:E2317)=MIN(E2317:E2317)</f>
        <v>1</v>
      </c>
    </row>
    <row r="2318" spans="7:7" ht="11.25">
      <c r="G2318" t="b">
        <f>MAX(E2318:E2318)=MIN(E2318:E2318)</f>
        <v>1</v>
      </c>
    </row>
    <row r="2319" spans="7:7" ht="11.25">
      <c r="G2319" t="b">
        <f>MAX(E2319:E2319)=MIN(E2319:E2319)</f>
        <v>1</v>
      </c>
    </row>
    <row r="2320" spans="7:7" ht="11.25">
      <c r="G2320" t="b">
        <f>MAX(E2320:E2320)=MIN(E2320:E2320)</f>
        <v>1</v>
      </c>
    </row>
    <row r="2321" spans="7:7" ht="11.25">
      <c r="G2321" t="b">
        <f>MAX(E2321:E2321)=MIN(E2321:E2321)</f>
        <v>1</v>
      </c>
    </row>
    <row r="2322" spans="7:7" ht="11.25">
      <c r="G2322" t="b">
        <f>MAX(E2322:E2322)=MIN(E2322:E2322)</f>
        <v>1</v>
      </c>
    </row>
    <row r="2323" spans="7:7" ht="11.25">
      <c r="G2323" t="b">
        <f>MAX(E2323:E2323)=MIN(E2323:E2323)</f>
        <v>1</v>
      </c>
    </row>
    <row r="2324" spans="7:7" ht="11.25">
      <c r="G2324" t="b">
        <f>MAX(E2324:E2324)=MIN(E2324:E2324)</f>
        <v>1</v>
      </c>
    </row>
    <row r="2325" spans="7:7" ht="11.25">
      <c r="G2325" t="b">
        <f>MAX(E2325:E2325)=MIN(E2325:E2325)</f>
        <v>1</v>
      </c>
    </row>
    <row r="2326" spans="7:7" ht="11.25">
      <c r="G2326" t="b">
        <f>MAX(E2326:E2326)=MIN(E2326:E2326)</f>
        <v>1</v>
      </c>
    </row>
    <row r="2327" spans="7:7" ht="11.25">
      <c r="G2327" t="b">
        <f>MAX(E2327:E2327)=MIN(E2327:E2327)</f>
        <v>1</v>
      </c>
    </row>
    <row r="2328" spans="7:7" ht="11.25">
      <c r="G2328" t="b">
        <f>MAX(E2328:E2328)=MIN(E2328:E2328)</f>
        <v>1</v>
      </c>
    </row>
    <row r="2329" spans="7:7" ht="11.25">
      <c r="G2329" t="b">
        <f>MAX(E2329:E2329)=MIN(E2329:E2329)</f>
        <v>1</v>
      </c>
    </row>
    <row r="2330" spans="7:7" ht="11.25">
      <c r="G2330" t="b">
        <f>MAX(E2330:E2330)=MIN(E2330:E2330)</f>
        <v>1</v>
      </c>
    </row>
    <row r="2331" spans="7:7" ht="11.25">
      <c r="G2331" t="b">
        <f>MAX(E2331:E2331)=MIN(E2331:E2331)</f>
        <v>1</v>
      </c>
    </row>
    <row r="2332" spans="7:7" ht="11.25">
      <c r="G2332" t="b">
        <f>MAX(E2332:E2332)=MIN(E2332:E2332)</f>
        <v>1</v>
      </c>
    </row>
    <row r="2333" spans="7:7" ht="11.25">
      <c r="G2333" t="b">
        <f>MAX(E2333:E2333)=MIN(E2333:E2333)</f>
        <v>1</v>
      </c>
    </row>
    <row r="2334" spans="7:7" ht="11.25">
      <c r="G2334" t="b">
        <f>MAX(E2334:E2334)=MIN(E2334:E2334)</f>
        <v>1</v>
      </c>
    </row>
    <row r="2335" spans="7:7" ht="11.25">
      <c r="G2335" t="b">
        <f>MAX(E2335:E2335)=MIN(E2335:E2335)</f>
        <v>1</v>
      </c>
    </row>
    <row r="2336" spans="7:7" ht="11.25">
      <c r="G2336" t="b">
        <f>MAX(E2336:E2336)=MIN(E2336:E2336)</f>
        <v>1</v>
      </c>
    </row>
    <row r="2337" spans="7:7" ht="11.25">
      <c r="G2337" t="b">
        <f>MAX(E2337:E2337)=MIN(E2337:E2337)</f>
        <v>1</v>
      </c>
    </row>
    <row r="2338" spans="7:7" ht="11.25">
      <c r="G2338" t="b">
        <f>MAX(E2338:E2338)=MIN(E2338:E2338)</f>
        <v>1</v>
      </c>
    </row>
    <row r="2339" spans="7:7" ht="11.25">
      <c r="G2339" t="b">
        <f>MAX(E2339:E2339)=MIN(E2339:E2339)</f>
        <v>1</v>
      </c>
    </row>
    <row r="2340" spans="7:7" ht="11.25">
      <c r="G2340" t="b">
        <f>MAX(E2340:E2340)=MIN(E2340:E2340)</f>
        <v>1</v>
      </c>
    </row>
    <row r="2341" spans="7:7" ht="11.25">
      <c r="G2341" t="b">
        <f>MAX(E2341:E2341)=MIN(E2341:E2341)</f>
        <v>1</v>
      </c>
    </row>
    <row r="2342" spans="7:7" ht="11.25">
      <c r="G2342" t="b">
        <f>MAX(E2342:E2342)=MIN(E2342:E2342)</f>
        <v>1</v>
      </c>
    </row>
    <row r="2343" spans="7:7" ht="11.25">
      <c r="G2343" t="b">
        <f>MAX(E2343:E2343)=MIN(E2343:E2343)</f>
        <v>1</v>
      </c>
    </row>
    <row r="2344" spans="7:7" ht="11.25">
      <c r="G2344" t="b">
        <f>MAX(E2344:E2344)=MIN(E2344:E2344)</f>
        <v>1</v>
      </c>
    </row>
    <row r="2345" spans="7:7" ht="11.25">
      <c r="G2345" t="b">
        <f>MAX(E2345:E2345)=MIN(E2345:E2345)</f>
        <v>1</v>
      </c>
    </row>
    <row r="2346" spans="7:7" ht="11.25">
      <c r="G2346" t="b">
        <f>MAX(E2346:E2346)=MIN(E2346:E2346)</f>
        <v>1</v>
      </c>
    </row>
    <row r="2347" spans="7:7" ht="11.25">
      <c r="G2347" t="b">
        <f>MAX(E2347:E2347)=MIN(E2347:E2347)</f>
        <v>1</v>
      </c>
    </row>
    <row r="2348" spans="7:7" ht="11.25">
      <c r="G2348" t="b">
        <f>MAX(E2348:E2348)=MIN(E2348:E2348)</f>
        <v>1</v>
      </c>
    </row>
    <row r="2349" spans="7:7" ht="11.25">
      <c r="G2349" t="b">
        <f>MAX(E2349:E2349)=MIN(E2349:E2349)</f>
        <v>1</v>
      </c>
    </row>
    <row r="2350" spans="7:7" ht="11.25">
      <c r="G2350" t="b">
        <f>MAX(E2350:E2350)=MIN(E2350:E2350)</f>
        <v>1</v>
      </c>
    </row>
    <row r="2351" spans="7:7" ht="11.25">
      <c r="G2351" t="b">
        <f>MAX(E2351:E2351)=MIN(E2351:E2351)</f>
        <v>1</v>
      </c>
    </row>
    <row r="2352" spans="7:7" ht="11.25">
      <c r="G2352" t="b">
        <f>MAX(E2352:E2352)=MIN(E2352:E2352)</f>
        <v>1</v>
      </c>
    </row>
    <row r="2353" spans="7:7" ht="11.25">
      <c r="G2353" t="b">
        <f>MAX(E2353:E2353)=MIN(E2353:E2353)</f>
        <v>1</v>
      </c>
    </row>
    <row r="2354" spans="7:7" ht="11.25">
      <c r="G2354" t="b">
        <f>MAX(E2354:E2354)=MIN(E2354:E2354)</f>
        <v>1</v>
      </c>
    </row>
    <row r="2355" spans="7:7" ht="11.25">
      <c r="G2355" t="b">
        <f>MAX(E2355:E2355)=MIN(E2355:E2355)</f>
        <v>1</v>
      </c>
    </row>
    <row r="2356" spans="7:7" ht="11.25">
      <c r="G2356" t="b">
        <f>MAX(E2356:E2356)=MIN(E2356:E2356)</f>
        <v>1</v>
      </c>
    </row>
    <row r="2357" spans="7:7" ht="11.25">
      <c r="G2357" t="b">
        <f>MAX(E2357:E2357)=MIN(E2357:E2357)</f>
        <v>1</v>
      </c>
    </row>
    <row r="2358" spans="7:7" ht="11.25">
      <c r="G2358" t="b">
        <f>MAX(E2358:E2358)=MIN(E2358:E2358)</f>
        <v>1</v>
      </c>
    </row>
    <row r="2359" spans="7:7" ht="11.25">
      <c r="G2359" t="b">
        <f>MAX(E2359:E2359)=MIN(E2359:E2359)</f>
        <v>1</v>
      </c>
    </row>
    <row r="2360" spans="7:7" ht="11.25">
      <c r="G2360" t="b">
        <f>MAX(E2360:E2360)=MIN(E2360:E2360)</f>
        <v>1</v>
      </c>
    </row>
    <row r="2361" spans="7:7" ht="11.25">
      <c r="G2361" t="b">
        <f>MAX(E2361:E2361)=MIN(E2361:E2361)</f>
        <v>1</v>
      </c>
    </row>
    <row r="2362" spans="7:7" ht="11.25">
      <c r="G2362" t="b">
        <f>MAX(E2362:E2362)=MIN(E2362:E2362)</f>
        <v>1</v>
      </c>
    </row>
    <row r="2363" spans="7:7" ht="11.25">
      <c r="G2363" t="b">
        <f>MAX(E2363:E2363)=MIN(E2363:E2363)</f>
        <v>1</v>
      </c>
    </row>
    <row r="2364" spans="7:7" ht="11.25">
      <c r="G2364" t="b">
        <f>MAX(E2364:E2364)=MIN(E2364:E2364)</f>
        <v>1</v>
      </c>
    </row>
    <row r="2365" spans="7:7" ht="11.25">
      <c r="G2365" t="b">
        <f>MAX(E2365:E2365)=MIN(E2365:E2365)</f>
        <v>1</v>
      </c>
    </row>
    <row r="2366" spans="7:7" ht="11.25">
      <c r="G2366" t="b">
        <f>MAX(E2366:E2366)=MIN(E2366:E2366)</f>
        <v>1</v>
      </c>
    </row>
    <row r="2367" spans="7:7" ht="11.25">
      <c r="G2367" t="b">
        <f>MAX(E2367:E2367)=MIN(E2367:E2367)</f>
        <v>1</v>
      </c>
    </row>
    <row r="2368" spans="7:7" ht="11.25">
      <c r="G2368" t="b">
        <f>MAX(E2368:E2368)=MIN(E2368:E2368)</f>
        <v>1</v>
      </c>
    </row>
    <row r="2369" spans="7:7" ht="11.25">
      <c r="G2369" t="b">
        <f>MAX(E2369:E2369)=MIN(E2369:E2369)</f>
        <v>1</v>
      </c>
    </row>
    <row r="2370" spans="7:7" ht="11.25">
      <c r="G2370" t="b">
        <f>MAX(E2370:E2370)=MIN(E2370:E2370)</f>
        <v>1</v>
      </c>
    </row>
    <row r="2371" spans="7:7" ht="11.25">
      <c r="G2371" t="b">
        <f>MAX(E2371:E2371)=MIN(E2371:E2371)</f>
        <v>1</v>
      </c>
    </row>
    <row r="2372" spans="7:7" ht="11.25">
      <c r="G2372" t="b">
        <f>MAX(E2372:E2372)=MIN(E2372:E2372)</f>
        <v>1</v>
      </c>
    </row>
    <row r="2373" spans="7:7" ht="11.25">
      <c r="G2373" t="b">
        <f>MAX(E2373:E2373)=MIN(E2373:E2373)</f>
        <v>1</v>
      </c>
    </row>
    <row r="2374" spans="7:7" ht="11.25">
      <c r="G2374" t="b">
        <f>MAX(E2374:E2374)=MIN(E2374:E2374)</f>
        <v>1</v>
      </c>
    </row>
    <row r="2375" spans="7:7" ht="11.25">
      <c r="G2375" t="b">
        <f>MAX(E2375:E2375)=MIN(E2375:E2375)</f>
        <v>1</v>
      </c>
    </row>
    <row r="2376" spans="7:7" ht="11.25">
      <c r="G2376" t="b">
        <f>MAX(E2376:E2376)=MIN(E2376:E2376)</f>
        <v>1</v>
      </c>
    </row>
    <row r="2377" spans="7:7" ht="11.25">
      <c r="G2377" t="b">
        <f>MAX(E2377:E2377)=MIN(E2377:E2377)</f>
        <v>1</v>
      </c>
    </row>
    <row r="2378" spans="7:7" ht="11.25">
      <c r="G2378" t="b">
        <f>MAX(E2378:E2378)=MIN(E2378:E2378)</f>
        <v>1</v>
      </c>
    </row>
    <row r="2379" spans="7:7" ht="11.25">
      <c r="G2379" t="b">
        <f>MAX(E2379:E2379)=MIN(E2379:E2379)</f>
        <v>1</v>
      </c>
    </row>
    <row r="2380" spans="7:7" ht="11.25">
      <c r="G2380" t="b">
        <f>MAX(E2380:E2380)=MIN(E2380:E2380)</f>
        <v>1</v>
      </c>
    </row>
    <row r="2381" spans="7:7" ht="11.25">
      <c r="G2381" t="b">
        <f>MAX(E2381:E2381)=MIN(E2381:E2381)</f>
        <v>1</v>
      </c>
    </row>
    <row r="2382" spans="7:7" ht="11.25">
      <c r="G2382" t="b">
        <f>MAX(E2382:E2382)=MIN(E2382:E2382)</f>
        <v>1</v>
      </c>
    </row>
    <row r="2383" spans="7:7" ht="11.25">
      <c r="G2383" t="b">
        <f>MAX(E2383:E2383)=MIN(E2383:E2383)</f>
        <v>1</v>
      </c>
    </row>
    <row r="2384" spans="7:7" ht="11.25">
      <c r="G2384" t="b">
        <f>MAX(E2384:E2384)=MIN(E2384:E2384)</f>
        <v>1</v>
      </c>
    </row>
    <row r="2385" spans="7:7" ht="11.25">
      <c r="G2385" t="b">
        <f>MAX(E2385:E2385)=MIN(E2385:E2385)</f>
        <v>1</v>
      </c>
    </row>
    <row r="2386" spans="7:7" ht="11.25">
      <c r="G2386" t="b">
        <f>MAX(E2386:E2386)=MIN(E2386:E2386)</f>
        <v>1</v>
      </c>
    </row>
    <row r="2387" spans="7:7" ht="11.25">
      <c r="G2387" t="b">
        <f>MAX(E2387:E2387)=MIN(E2387:E2387)</f>
        <v>1</v>
      </c>
    </row>
    <row r="2388" spans="7:7" ht="11.25">
      <c r="G2388" t="b">
        <f>MAX(E2388:E2388)=MIN(E2388:E2388)</f>
        <v>1</v>
      </c>
    </row>
    <row r="2389" spans="7:7" ht="11.25">
      <c r="G2389" t="b">
        <f>MAX(E2389:E2389)=MIN(E2389:E2389)</f>
        <v>1</v>
      </c>
    </row>
    <row r="2390" spans="7:7" ht="11.25">
      <c r="G2390" t="b">
        <f>MAX(E2390:E2390)=MIN(E2390:E2390)</f>
        <v>1</v>
      </c>
    </row>
    <row r="2391" spans="7:7" ht="11.25">
      <c r="G2391" t="b">
        <f>MAX(E2391:E2391)=MIN(E2391:E2391)</f>
        <v>1</v>
      </c>
    </row>
    <row r="2392" spans="7:7" ht="11.25">
      <c r="G2392" t="b">
        <f>MAX(E2392:E2392)=MIN(E2392:E2392)</f>
        <v>1</v>
      </c>
    </row>
    <row r="2393" spans="7:7" ht="11.25">
      <c r="G2393" t="b">
        <f>MAX(E2393:E2393)=MIN(E2393:E2393)</f>
        <v>1</v>
      </c>
    </row>
    <row r="2394" spans="7:7" ht="11.25">
      <c r="G2394" t="b">
        <f>MAX(E2394:E2394)=MIN(E2394:E2394)</f>
        <v>1</v>
      </c>
    </row>
    <row r="2395" spans="7:7" ht="11.25">
      <c r="G2395" t="b">
        <f>MAX(E2395:E2395)=MIN(E2395:E2395)</f>
        <v>1</v>
      </c>
    </row>
    <row r="2396" spans="7:7" ht="11.25">
      <c r="G2396" t="b">
        <f>MAX(E2396:E2396)=MIN(E2396:E2396)</f>
        <v>1</v>
      </c>
    </row>
    <row r="2397" spans="7:7" ht="11.25">
      <c r="G2397" t="b">
        <f>MAX(E2397:E2397)=MIN(E2397:E2397)</f>
        <v>1</v>
      </c>
    </row>
    <row r="2398" spans="7:7" ht="11.25">
      <c r="G2398" t="b">
        <f>MAX(E2398:E2398)=MIN(E2398:E2398)</f>
        <v>1</v>
      </c>
    </row>
    <row r="2399" spans="7:7" ht="11.25">
      <c r="G2399" t="b">
        <f>MAX(E2399:E2399)=MIN(E2399:E2399)</f>
        <v>1</v>
      </c>
    </row>
    <row r="2400" spans="7:7" ht="11.25">
      <c r="G2400" t="b">
        <f>MAX(E2400:E2400)=MIN(E2400:E2400)</f>
        <v>1</v>
      </c>
    </row>
    <row r="2401" spans="7:7" ht="11.25">
      <c r="G2401" t="b">
        <f>MAX(E2401:E2401)=MIN(E2401:E2401)</f>
        <v>1</v>
      </c>
    </row>
    <row r="2402" spans="7:7" ht="11.25">
      <c r="G2402" t="b">
        <f>MAX(E2402:E2402)=MIN(E2402:E2402)</f>
        <v>1</v>
      </c>
    </row>
    <row r="2403" spans="7:7" ht="11.25">
      <c r="G2403" t="b">
        <f>MAX(E2403:E2403)=MIN(E2403:E2403)</f>
        <v>1</v>
      </c>
    </row>
    <row r="2404" spans="7:7" ht="11.25">
      <c r="G2404" t="b">
        <f>MAX(E2404:E2404)=MIN(E2404:E2404)</f>
        <v>1</v>
      </c>
    </row>
    <row r="2405" spans="7:7" ht="11.25">
      <c r="G2405" t="b">
        <f>MAX(E2405:E2405)=MIN(E2405:E2405)</f>
        <v>1</v>
      </c>
    </row>
    <row r="2406" spans="7:7" ht="11.25">
      <c r="G2406" t="b">
        <f>MAX(E2406:E2406)=MIN(E2406:E2406)</f>
        <v>1</v>
      </c>
    </row>
    <row r="2407" spans="7:7" ht="11.25">
      <c r="G2407" t="b">
        <f>MAX(E2407:E2407)=MIN(E2407:E2407)</f>
        <v>1</v>
      </c>
    </row>
    <row r="2408" spans="7:7" ht="11.25">
      <c r="G2408" t="b">
        <f>MAX(E2408:E2408)=MIN(E2408:E2408)</f>
        <v>1</v>
      </c>
    </row>
    <row r="2409" spans="7:7" ht="11.25">
      <c r="G2409" t="b">
        <f>MAX(E2409:E2409)=MIN(E2409:E2409)</f>
        <v>1</v>
      </c>
    </row>
    <row r="2410" spans="7:7" ht="11.25">
      <c r="G2410" t="b">
        <f>MAX(E2410:E2410)=MIN(E2410:E2410)</f>
        <v>1</v>
      </c>
    </row>
    <row r="2411" spans="7:7" ht="11.25">
      <c r="G2411" t="b">
        <f>MAX(E2411:E2411)=MIN(E2411:E2411)</f>
        <v>1</v>
      </c>
    </row>
    <row r="2412" spans="7:7" ht="11.25">
      <c r="G2412" t="b">
        <f>MAX(E2412:E2412)=MIN(E2412:E2412)</f>
        <v>1</v>
      </c>
    </row>
    <row r="2413" spans="7:7" ht="11.25">
      <c r="G2413" t="b">
        <f>MAX(E2413:E2413)=MIN(E2413:E2413)</f>
        <v>1</v>
      </c>
    </row>
    <row r="2414" spans="7:7" ht="11.25">
      <c r="G2414" t="b">
        <f>MAX(E2414:E2414)=MIN(E2414:E2414)</f>
        <v>1</v>
      </c>
    </row>
    <row r="2415" spans="7:7" ht="11.25">
      <c r="G2415" t="b">
        <f>MAX(E2415:E2415)=MIN(E2415:E2415)</f>
        <v>1</v>
      </c>
    </row>
    <row r="2416" spans="7:7" ht="11.25">
      <c r="G2416" t="b">
        <f>MAX(E2416:E2416)=MIN(E2416:E2416)</f>
        <v>1</v>
      </c>
    </row>
    <row r="2417" spans="7:7" ht="11.25">
      <c r="G2417" t="b">
        <f>MAX(E2417:E2417)=MIN(E2417:E2417)</f>
        <v>1</v>
      </c>
    </row>
    <row r="2418" spans="7:7" ht="11.25">
      <c r="G2418" t="b">
        <f>MAX(E2418:E2418)=MIN(E2418:E2418)</f>
        <v>1</v>
      </c>
    </row>
    <row r="2419" spans="7:7" ht="11.25">
      <c r="G2419" t="b">
        <f>MAX(E2419:E2419)=MIN(E2419:E2419)</f>
        <v>1</v>
      </c>
    </row>
    <row r="2420" spans="7:7" ht="11.25">
      <c r="G2420" t="b">
        <f>MAX(E2420:E2420)=MIN(E2420:E2420)</f>
        <v>1</v>
      </c>
    </row>
    <row r="2421" spans="7:7" ht="11.25">
      <c r="G2421" t="b">
        <f>MAX(E2421:E2421)=MIN(E2421:E2421)</f>
        <v>1</v>
      </c>
    </row>
    <row r="2422" spans="7:7" ht="11.25">
      <c r="G2422" t="b">
        <f>MAX(E2422:E2422)=MIN(E2422:E2422)</f>
        <v>1</v>
      </c>
    </row>
    <row r="2423" spans="7:7" ht="11.25">
      <c r="G2423" t="b">
        <f>MAX(E2423:E2423)=MIN(E2423:E2423)</f>
        <v>1</v>
      </c>
    </row>
    <row r="2424" spans="7:7" ht="11.25">
      <c r="G2424" t="b">
        <f>MAX(E2424:E2424)=MIN(E2424:E2424)</f>
        <v>1</v>
      </c>
    </row>
    <row r="2425" spans="7:7" ht="11.25">
      <c r="G2425" t="b">
        <f>MAX(E2425:E2425)=MIN(E2425:E2425)</f>
        <v>1</v>
      </c>
    </row>
    <row r="2426" spans="7:7" ht="11.25">
      <c r="G2426" t="b">
        <f>MAX(E2426:E2426)=MIN(E2426:E2426)</f>
        <v>1</v>
      </c>
    </row>
    <row r="2427" spans="7:7" ht="11.25">
      <c r="G2427" t="b">
        <f>MAX(E2427:E2427)=MIN(E2427:E2427)</f>
        <v>1</v>
      </c>
    </row>
    <row r="2428" spans="7:7" ht="11.25">
      <c r="G2428" t="b">
        <f>MAX(E2428:E2428)=MIN(E2428:E2428)</f>
        <v>1</v>
      </c>
    </row>
    <row r="2429" spans="7:7" ht="11.25">
      <c r="G2429" t="b">
        <f>MAX(E2429:E2429)=MIN(E2429:E2429)</f>
        <v>1</v>
      </c>
    </row>
    <row r="2430" spans="7:7" ht="11.25">
      <c r="G2430" t="b">
        <f>MAX(E2430:E2430)=MIN(E2430:E2430)</f>
        <v>1</v>
      </c>
    </row>
    <row r="2431" spans="7:7" ht="11.25">
      <c r="G2431" t="b">
        <f>MAX(E2431:E2431)=MIN(E2431:E2431)</f>
        <v>1</v>
      </c>
    </row>
    <row r="2432" spans="7:7" ht="11.25">
      <c r="G2432" t="b">
        <f>MAX(E2432:E2432)=MIN(E2432:E2432)</f>
        <v>1</v>
      </c>
    </row>
    <row r="2433" spans="7:7" ht="11.25">
      <c r="G2433" t="b">
        <f>MAX(E2433:E2433)=MIN(E2433:E2433)</f>
        <v>1</v>
      </c>
    </row>
    <row r="2434" spans="7:7" ht="11.25">
      <c r="G2434" t="b">
        <f>MAX(E2434:E2434)=MIN(E2434:E2434)</f>
        <v>1</v>
      </c>
    </row>
    <row r="2435" spans="7:7" ht="11.25">
      <c r="G2435" t="b">
        <f>MAX(E2435:E2435)=MIN(E2435:E2435)</f>
        <v>1</v>
      </c>
    </row>
    <row r="2436" spans="7:7" ht="11.25">
      <c r="G2436" t="b">
        <f>MAX(E2436:E2436)=MIN(E2436:E2436)</f>
        <v>1</v>
      </c>
    </row>
    <row r="2437" spans="7:7" ht="11.25">
      <c r="G2437" t="b">
        <f>MAX(E2437:E2437)=MIN(E2437:E2437)</f>
        <v>1</v>
      </c>
    </row>
    <row r="2438" spans="7:7" ht="11.25">
      <c r="G2438" t="b">
        <f>MAX(E2438:E2438)=MIN(E2438:E2438)</f>
        <v>1</v>
      </c>
    </row>
    <row r="2439" spans="7:7" ht="11.25">
      <c r="G2439" t="b">
        <f>MAX(E2439:E2439)=MIN(E2439:E2439)</f>
        <v>1</v>
      </c>
    </row>
    <row r="2440" spans="7:7" ht="11.25">
      <c r="G2440" t="b">
        <f>MAX(E2440:E2440)=MIN(E2440:E2440)</f>
        <v>1</v>
      </c>
    </row>
    <row r="2441" spans="7:7" ht="11.25">
      <c r="G2441" t="b">
        <f>MAX(E2441:E2441)=MIN(E2441:E2441)</f>
        <v>1</v>
      </c>
    </row>
    <row r="2442" spans="7:7" ht="11.25">
      <c r="G2442" t="b">
        <f>MAX(E2442:E2442)=MIN(E2442:E2442)</f>
        <v>1</v>
      </c>
    </row>
    <row r="2443" spans="7:7" ht="11.25">
      <c r="G2443" t="b">
        <f>MAX(E2443:E2443)=MIN(E2443:E2443)</f>
        <v>1</v>
      </c>
    </row>
    <row r="2444" spans="7:7" ht="11.25">
      <c r="G2444" t="b">
        <f>MAX(E2444:E2444)=MIN(E2444:E2444)</f>
        <v>1</v>
      </c>
    </row>
    <row r="2445" spans="7:7" ht="11.25">
      <c r="G2445" t="b">
        <f>MAX(E2445:E2445)=MIN(E2445:E2445)</f>
        <v>1</v>
      </c>
    </row>
    <row r="2446" spans="7:7" ht="11.25">
      <c r="G2446" t="b">
        <f>MAX(E2446:E2446)=MIN(E2446:E2446)</f>
        <v>1</v>
      </c>
    </row>
    <row r="2447" spans="7:7" ht="11.25">
      <c r="G2447" t="b">
        <f>MAX(E2447:E2447)=MIN(E2447:E2447)</f>
        <v>1</v>
      </c>
    </row>
    <row r="2448" spans="7:7" ht="11.25">
      <c r="G2448" t="b">
        <f>MAX(E2448:E2448)=MIN(E2448:E2448)</f>
        <v>1</v>
      </c>
    </row>
    <row r="2449" spans="7:7" ht="11.25">
      <c r="G2449" t="b">
        <f>MAX(E2449:E2449)=MIN(E2449:E2449)</f>
        <v>1</v>
      </c>
    </row>
    <row r="2450" spans="7:7" ht="11.25">
      <c r="G2450" t="b">
        <f>MAX(E2450:E2450)=MIN(E2450:E2450)</f>
        <v>1</v>
      </c>
    </row>
    <row r="2451" spans="7:7" ht="11.25">
      <c r="G2451" t="b">
        <f>MAX(E2451:E2451)=MIN(E2451:E2451)</f>
        <v>1</v>
      </c>
    </row>
    <row r="2452" spans="7:7" ht="11.25">
      <c r="G2452" t="b">
        <f>MAX(E2452:E2452)=MIN(E2452:E2452)</f>
        <v>1</v>
      </c>
    </row>
    <row r="2453" spans="7:7" ht="11.25">
      <c r="G2453" t="b">
        <f>MAX(E2453:E2453)=MIN(E2453:E2453)</f>
        <v>1</v>
      </c>
    </row>
    <row r="2454" spans="7:7" ht="11.25">
      <c r="G2454" t="b">
        <f>MAX(E2454:E2454)=MIN(E2454:E2454)</f>
        <v>1</v>
      </c>
    </row>
    <row r="2455" spans="7:7" ht="11.25">
      <c r="G2455" t="b">
        <f>MAX(E2455:E2455)=MIN(E2455:E2455)</f>
        <v>1</v>
      </c>
    </row>
    <row r="2456" spans="7:7" ht="11.25">
      <c r="G2456" t="b">
        <f>MAX(E2456:E2456)=MIN(E2456:E2456)</f>
        <v>1</v>
      </c>
    </row>
    <row r="2457" spans="7:7" ht="11.25">
      <c r="G2457" t="b">
        <f>MAX(E2457:E2457)=MIN(E2457:E2457)</f>
        <v>1</v>
      </c>
    </row>
    <row r="2458" spans="7:7" ht="11.25">
      <c r="G2458" t="b">
        <f>MAX(E2458:E2458)=MIN(E2458:E2458)</f>
        <v>1</v>
      </c>
    </row>
    <row r="2459" spans="7:7" ht="11.25">
      <c r="G2459" t="b">
        <f>MAX(E2459:E2459)=MIN(E2459:E2459)</f>
        <v>1</v>
      </c>
    </row>
    <row r="2460" spans="7:7" ht="11.25">
      <c r="G2460" t="b">
        <f>MAX(E2460:E2460)=MIN(E2460:E2460)</f>
        <v>1</v>
      </c>
    </row>
    <row r="2461" spans="7:7" ht="11.25">
      <c r="G2461" t="b">
        <f>MAX(E2461:E2461)=MIN(E2461:E2461)</f>
        <v>1</v>
      </c>
    </row>
    <row r="2462" spans="7:7" ht="11.25">
      <c r="G2462" t="b">
        <f>MAX(E2462:E2462)=MIN(E2462:E2462)</f>
        <v>1</v>
      </c>
    </row>
    <row r="2463" spans="7:7" ht="11.25">
      <c r="G2463" t="b">
        <f>MAX(E2463:E2463)=MIN(E2463:E2463)</f>
        <v>1</v>
      </c>
    </row>
    <row r="2464" spans="7:7" ht="11.25">
      <c r="G2464" t="b">
        <f>MAX(E2464:E2464)=MIN(E2464:E2464)</f>
        <v>1</v>
      </c>
    </row>
    <row r="2465" spans="7:7" ht="11.25">
      <c r="G2465" t="b">
        <f>MAX(E2465:E2465)=MIN(E2465:E2465)</f>
        <v>1</v>
      </c>
    </row>
    <row r="2466" spans="7:7" ht="11.25">
      <c r="G2466" t="b">
        <f>MAX(E2466:E2466)=MIN(E2466:E2466)</f>
        <v>1</v>
      </c>
    </row>
    <row r="2467" spans="7:7" ht="11.25">
      <c r="G2467" t="b">
        <f>MAX(E2467:E2467)=MIN(E2467:E2467)</f>
        <v>1</v>
      </c>
    </row>
    <row r="2468" spans="7:7" ht="11.25">
      <c r="G2468" t="b">
        <f>MAX(E2468:E2468)=MIN(E2468:E2468)</f>
        <v>1</v>
      </c>
    </row>
    <row r="2469" spans="7:7" ht="11.25">
      <c r="G2469" t="b">
        <f>MAX(E2469:E2469)=MIN(E2469:E2469)</f>
        <v>1</v>
      </c>
    </row>
    <row r="2470" spans="7:7" ht="11.25">
      <c r="G2470" t="b">
        <f>MAX(E2470:E2470)=MIN(E2470:E2470)</f>
        <v>1</v>
      </c>
    </row>
    <row r="2471" spans="7:7" ht="11.25">
      <c r="G2471" t="b">
        <f>MAX(E2471:E2471)=MIN(E2471:E2471)</f>
        <v>1</v>
      </c>
    </row>
    <row r="2472" spans="7:7" ht="11.25">
      <c r="G2472" t="b">
        <f>MAX(E2472:E2472)=MIN(E2472:E2472)</f>
        <v>1</v>
      </c>
    </row>
    <row r="2473" spans="7:7" ht="11.25">
      <c r="G2473" t="b">
        <f>MAX(E2473:E2473)=MIN(E2473:E2473)</f>
        <v>1</v>
      </c>
    </row>
    <row r="2474" spans="7:7" ht="11.25">
      <c r="G2474" t="b">
        <f>MAX(E2474:E2474)=MIN(E2474:E2474)</f>
        <v>1</v>
      </c>
    </row>
    <row r="2475" spans="7:7" ht="11.25">
      <c r="G2475" t="b">
        <f>MAX(E2475:E2475)=MIN(E2475:E2475)</f>
        <v>1</v>
      </c>
    </row>
    <row r="2476" spans="7:7" ht="11.25">
      <c r="G2476" t="b">
        <f>MAX(E2476:E2476)=MIN(E2476:E2476)</f>
        <v>1</v>
      </c>
    </row>
    <row r="2477" spans="7:7" ht="11.25">
      <c r="G2477" t="b">
        <f>MAX(E2477:E2477)=MIN(E2477:E2477)</f>
        <v>1</v>
      </c>
    </row>
    <row r="2478" spans="7:7" ht="11.25">
      <c r="G2478" t="b">
        <f>MAX(E2478:E2478)=MIN(E2478:E2478)</f>
        <v>1</v>
      </c>
    </row>
    <row r="2479" spans="7:7" ht="11.25">
      <c r="G2479" t="b">
        <f>MAX(E2479:E2479)=MIN(E2479:E2479)</f>
        <v>1</v>
      </c>
    </row>
    <row r="2480" spans="7:7" ht="11.25">
      <c r="G2480" t="b">
        <f>MAX(E2480:E2480)=MIN(E2480:E2480)</f>
        <v>1</v>
      </c>
    </row>
    <row r="2481" spans="7:7" ht="11.25">
      <c r="G2481" t="b">
        <f>MAX(E2481:E2481)=MIN(E2481:E2481)</f>
        <v>1</v>
      </c>
    </row>
    <row r="2482" spans="7:7" ht="11.25">
      <c r="G2482" t="b">
        <f>MAX(E2482:E2482)=MIN(E2482:E2482)</f>
        <v>1</v>
      </c>
    </row>
    <row r="2483" spans="7:7" ht="11.25">
      <c r="G2483" t="b">
        <f>MAX(E2483:E2483)=MIN(E2483:E2483)</f>
        <v>1</v>
      </c>
    </row>
    <row r="2484" spans="7:7" ht="11.25">
      <c r="G2484" t="b">
        <f>MAX(E2484:E2484)=MIN(E2484:E2484)</f>
        <v>1</v>
      </c>
    </row>
    <row r="2485" spans="7:7" ht="11.25">
      <c r="G2485" t="b">
        <f>MAX(E2485:E2485)=MIN(E2485:E2485)</f>
        <v>1</v>
      </c>
    </row>
    <row r="2486" spans="7:7" ht="11.25">
      <c r="G2486" t="b">
        <f>MAX(E2486:E2486)=MIN(E2486:E2486)</f>
        <v>1</v>
      </c>
    </row>
    <row r="2487" spans="7:7" ht="11.25">
      <c r="G2487" t="b">
        <f>MAX(E2487:E2487)=MIN(E2487:E2487)</f>
        <v>1</v>
      </c>
    </row>
    <row r="2488" spans="7:7" ht="11.25">
      <c r="G2488" t="b">
        <f>MAX(E2488:E2488)=MIN(E2488:E2488)</f>
        <v>1</v>
      </c>
    </row>
    <row r="2489" spans="7:7" ht="11.25">
      <c r="G2489" t="b">
        <f>MAX(E2489:E2489)=MIN(E2489:E2489)</f>
        <v>1</v>
      </c>
    </row>
    <row r="2490" spans="7:7" ht="11.25">
      <c r="G2490" t="b">
        <f>MAX(E2490:E2490)=MIN(E2490:E2490)</f>
        <v>1</v>
      </c>
    </row>
    <row r="2491" spans="7:7" ht="11.25">
      <c r="G2491" t="b">
        <f>MAX(E2491:E2491)=MIN(E2491:E2491)</f>
        <v>1</v>
      </c>
    </row>
    <row r="2492" spans="7:7" ht="11.25">
      <c r="G2492" t="b">
        <f>MAX(E2492:E2492)=MIN(E2492:E2492)</f>
        <v>1</v>
      </c>
    </row>
    <row r="2493" spans="7:7" ht="11.25">
      <c r="G2493" t="b">
        <f>MAX(E2493:E2493)=MIN(E2493:E2493)</f>
        <v>1</v>
      </c>
    </row>
    <row r="2494" spans="7:7" ht="11.25">
      <c r="G2494" t="b">
        <f>MAX(E2494:E2494)=MIN(E2494:E2494)</f>
        <v>1</v>
      </c>
    </row>
    <row r="2495" spans="7:7" ht="11.25">
      <c r="G2495" t="b">
        <f>MAX(E2495:E2495)=MIN(E2495:E2495)</f>
        <v>1</v>
      </c>
    </row>
    <row r="2496" spans="7:7" ht="11.25">
      <c r="G2496" t="b">
        <f>MAX(E2496:E2496)=MIN(E2496:E2496)</f>
        <v>1</v>
      </c>
    </row>
    <row r="2497" spans="7:7" ht="11.25">
      <c r="G2497" t="b">
        <f>MAX(E2497:E2497)=MIN(E2497:E2497)</f>
        <v>1</v>
      </c>
    </row>
    <row r="2498" spans="7:7" ht="11.25">
      <c r="G2498" t="b">
        <f>MAX(E2498:E2498)=MIN(E2498:E2498)</f>
        <v>1</v>
      </c>
    </row>
    <row r="2499" spans="7:7" ht="11.25">
      <c r="G2499" t="b">
        <f>MAX(E2499:E2499)=MIN(E2499:E2499)</f>
        <v>1</v>
      </c>
    </row>
    <row r="2500" spans="7:7" ht="11.25">
      <c r="G2500" t="b">
        <f>MAX(E2500:E2500)=MIN(E2500:E2500)</f>
        <v>1</v>
      </c>
    </row>
    <row r="2501" spans="7:7" ht="11.25">
      <c r="G2501" t="b">
        <f>MAX(E2501:E2501)=MIN(E2501:E2501)</f>
        <v>1</v>
      </c>
    </row>
    <row r="2502" spans="7:7" ht="11.25">
      <c r="G2502" t="b">
        <f>MAX(E2502:E2502)=MIN(E2502:E2502)</f>
        <v>1</v>
      </c>
    </row>
    <row r="2503" spans="7:7" ht="11.25">
      <c r="G2503" t="b">
        <f>MAX(E2503:E2503)=MIN(E2503:E2503)</f>
        <v>1</v>
      </c>
    </row>
    <row r="2504" spans="7:7" ht="11.25">
      <c r="G2504" t="b">
        <f>MAX(E2504:E2504)=MIN(E2504:E2504)</f>
        <v>1</v>
      </c>
    </row>
    <row r="2505" spans="7:7" ht="11.25">
      <c r="G2505" t="b">
        <f>MAX(E2505:E2505)=MIN(E2505:E2505)</f>
        <v>1</v>
      </c>
    </row>
    <row r="2506" spans="7:7" ht="11.25">
      <c r="G2506" t="b">
        <f>MAX(E2506:E2506)=MIN(E2506:E2506)</f>
        <v>1</v>
      </c>
    </row>
    <row r="2507" spans="7:7" ht="11.25">
      <c r="G2507" t="b">
        <f>MAX(E2507:E2507)=MIN(E2507:E2507)</f>
        <v>1</v>
      </c>
    </row>
    <row r="2508" spans="7:7" ht="11.25">
      <c r="G2508" t="b">
        <f>MAX(E2508:E2508)=MIN(E2508:E2508)</f>
        <v>1</v>
      </c>
    </row>
    <row r="2509" spans="7:7" ht="11.25">
      <c r="G2509" t="b">
        <f>MAX(E2509:E2509)=MIN(E2509:E2509)</f>
        <v>1</v>
      </c>
    </row>
    <row r="2510" spans="7:7" ht="11.25">
      <c r="G2510" t="b">
        <f>MAX(E2510:E2510)=MIN(E2510:E2510)</f>
        <v>1</v>
      </c>
    </row>
    <row r="2511" spans="7:7" ht="11.25">
      <c r="G2511" t="b">
        <f>MAX(E2511:E2511)=MIN(E2511:E2511)</f>
        <v>1</v>
      </c>
    </row>
    <row r="2512" spans="7:7" ht="11.25">
      <c r="G2512" t="b">
        <f>MAX(E2512:E2512)=MIN(E2512:E2512)</f>
        <v>1</v>
      </c>
    </row>
    <row r="2513" spans="7:7" ht="11.25">
      <c r="G2513" t="b">
        <f>MAX(E2513:E2513)=MIN(E2513:E2513)</f>
        <v>1</v>
      </c>
    </row>
    <row r="2514" spans="7:7" ht="11.25">
      <c r="G2514" t="b">
        <f>MAX(E2514:E2514)=MIN(E2514:E2514)</f>
        <v>1</v>
      </c>
    </row>
    <row r="2515" spans="7:7" ht="11.25">
      <c r="G2515" t="b">
        <f>MAX(E2515:E2515)=MIN(E2515:E2515)</f>
        <v>1</v>
      </c>
    </row>
    <row r="2516" spans="7:7" ht="11.25">
      <c r="G2516" t="b">
        <f>MAX(E2516:E2516)=MIN(E2516:E2516)</f>
        <v>1</v>
      </c>
    </row>
    <row r="2517" spans="7:7" ht="11.25">
      <c r="G2517" t="b">
        <f>MAX(E2517:E2517)=MIN(E2517:E2517)</f>
        <v>1</v>
      </c>
    </row>
    <row r="2518" spans="7:7" ht="11.25">
      <c r="G2518" t="b">
        <f>MAX(E2518:E2518)=MIN(E2518:E2518)</f>
        <v>1</v>
      </c>
    </row>
    <row r="2519" spans="7:7" ht="11.25">
      <c r="G2519" t="b">
        <f>MAX(E2519:E2519)=MIN(E2519:E2519)</f>
        <v>1</v>
      </c>
    </row>
    <row r="2520" spans="7:7" ht="11.25">
      <c r="G2520" t="b">
        <f>MAX(E2520:E2520)=MIN(E2520:E2520)</f>
        <v>1</v>
      </c>
    </row>
    <row r="2521" spans="7:7" ht="11.25">
      <c r="G2521" t="b">
        <f>MAX(E2521:E2521)=MIN(E2521:E2521)</f>
        <v>1</v>
      </c>
    </row>
    <row r="2522" spans="7:7" ht="11.25">
      <c r="G2522" t="b">
        <f>MAX(E2522:E2522)=MIN(E2522:E2522)</f>
        <v>1</v>
      </c>
    </row>
    <row r="2523" spans="7:7" ht="11.25">
      <c r="G2523" t="b">
        <f>MAX(E2523:E2523)=MIN(E2523:E2523)</f>
        <v>1</v>
      </c>
    </row>
    <row r="2524" spans="7:7" ht="11.25">
      <c r="G2524" t="b">
        <f>MAX(E2524:E2524)=MIN(E2524:E2524)</f>
        <v>1</v>
      </c>
    </row>
    <row r="2525" spans="7:7" ht="11.25">
      <c r="G2525" t="b">
        <f>MAX(E2525:E2525)=MIN(E2525:E2525)</f>
        <v>1</v>
      </c>
    </row>
    <row r="2526" spans="7:7" ht="11.25">
      <c r="G2526" t="b">
        <f>MAX(E2526:E2526)=MIN(E2526:E2526)</f>
        <v>1</v>
      </c>
    </row>
    <row r="2527" spans="7:7" ht="11.25">
      <c r="G2527" t="b">
        <f>MAX(E2527:E2527)=MIN(E2527:E2527)</f>
        <v>1</v>
      </c>
    </row>
    <row r="2528" spans="7:7" ht="11.25">
      <c r="G2528" t="b">
        <f>MAX(E2528:E2528)=MIN(E2528:E2528)</f>
        <v>1</v>
      </c>
    </row>
    <row r="2529" spans="7:7" ht="11.25">
      <c r="G2529" t="b">
        <f>MAX(E2529:E2529)=MIN(E2529:E2529)</f>
        <v>1</v>
      </c>
    </row>
    <row r="2530" spans="7:7" ht="11.25">
      <c r="G2530" t="b">
        <f>MAX(E2530:E2530)=MIN(E2530:E2530)</f>
        <v>1</v>
      </c>
    </row>
    <row r="2531" spans="7:7" ht="11.25">
      <c r="G2531" t="b">
        <f>MAX(E2531:E2531)=MIN(E2531:E2531)</f>
        <v>1</v>
      </c>
    </row>
    <row r="2532" spans="7:7" ht="11.25">
      <c r="G2532" t="b">
        <f>MAX(E2532:E2532)=MIN(E2532:E2532)</f>
        <v>1</v>
      </c>
    </row>
    <row r="2533" spans="7:7" ht="11.25">
      <c r="G2533" t="b">
        <f>MAX(E2533:E2533)=MIN(E2533:E2533)</f>
        <v>1</v>
      </c>
    </row>
    <row r="2534" spans="7:7" ht="11.25">
      <c r="G2534" t="b">
        <f>MAX(E2534:E2534)=MIN(E2534:E2534)</f>
        <v>1</v>
      </c>
    </row>
    <row r="2535" spans="7:7" ht="11.25">
      <c r="G2535" t="b">
        <f>MAX(E2535:E2535)=MIN(E2535:E2535)</f>
        <v>1</v>
      </c>
    </row>
    <row r="2536" spans="7:7" ht="11.25">
      <c r="G2536" t="b">
        <f>MAX(E2536:E2536)=MIN(E2536:E2536)</f>
        <v>1</v>
      </c>
    </row>
    <row r="2537" spans="7:7" ht="11.25">
      <c r="G2537" t="b">
        <f>MAX(E2537:E2537)=MIN(E2537:E2537)</f>
        <v>1</v>
      </c>
    </row>
    <row r="2538" spans="7:7" ht="11.25">
      <c r="G2538" t="b">
        <f>MAX(E2538:E2538)=MIN(E2538:E2538)</f>
        <v>1</v>
      </c>
    </row>
    <row r="2539" spans="7:7" ht="11.25">
      <c r="G2539" t="b">
        <f>MAX(E2539:E2539)=MIN(E2539:E2539)</f>
        <v>1</v>
      </c>
    </row>
    <row r="2540" spans="7:7" ht="11.25">
      <c r="G2540" t="b">
        <f>MAX(E2540:E2540)=MIN(E2540:E2540)</f>
        <v>1</v>
      </c>
    </row>
    <row r="2541" spans="7:7" ht="11.25">
      <c r="G2541" t="b">
        <f>MAX(E2541:E2541)=MIN(E2541:E2541)</f>
        <v>1</v>
      </c>
    </row>
    <row r="2542" spans="7:7" ht="11.25">
      <c r="G2542" t="b">
        <f>MAX(E2542:E2542)=MIN(E2542:E2542)</f>
        <v>1</v>
      </c>
    </row>
    <row r="2543" spans="7:7" ht="11.25">
      <c r="G2543" t="b">
        <f>MAX(E2543:E2543)=MIN(E2543:E2543)</f>
        <v>1</v>
      </c>
    </row>
    <row r="2544" spans="7:7" ht="11.25">
      <c r="G2544" t="b">
        <f>MAX(E2544:E2544)=MIN(E2544:E2544)</f>
        <v>1</v>
      </c>
    </row>
    <row r="2545" spans="7:7" ht="11.25">
      <c r="G2545" t="b">
        <f>MAX(E2545:E2545)=MIN(E2545:E2545)</f>
        <v>1</v>
      </c>
    </row>
    <row r="2546" spans="7:7" ht="11.25">
      <c r="G2546" t="b">
        <f>MAX(E2546:E2546)=MIN(E2546:E2546)</f>
        <v>1</v>
      </c>
    </row>
    <row r="2547" spans="7:7" ht="11.25">
      <c r="G2547" t="b">
        <f>MAX(E2547:E2547)=MIN(E2547:E2547)</f>
        <v>1</v>
      </c>
    </row>
    <row r="2548" spans="7:7" ht="11.25">
      <c r="G2548" t="b">
        <f>MAX(E2548:E2548)=MIN(E2548:E2548)</f>
        <v>1</v>
      </c>
    </row>
    <row r="2549" spans="7:7" ht="11.25">
      <c r="G2549" t="b">
        <f>MAX(E2549:E2549)=MIN(E2549:E2549)</f>
        <v>1</v>
      </c>
    </row>
    <row r="2550" spans="7:7" ht="11.25">
      <c r="G2550" t="b">
        <f>MAX(E2550:E2550)=MIN(E2550:E2550)</f>
        <v>1</v>
      </c>
    </row>
    <row r="2551" spans="7:7" ht="11.25">
      <c r="G2551" t="b">
        <f>MAX(E2551:E2551)=MIN(E2551:E2551)</f>
        <v>1</v>
      </c>
    </row>
    <row r="2552" spans="7:7" ht="11.25">
      <c r="G2552" t="b">
        <f>MAX(E2552:E2552)=MIN(E2552:E2552)</f>
        <v>1</v>
      </c>
    </row>
    <row r="2553" spans="7:7" ht="11.25">
      <c r="G2553" t="b">
        <f>MAX(E2553:E2553)=MIN(E2553:E2553)</f>
        <v>1</v>
      </c>
    </row>
    <row r="2554" spans="7:7" ht="11.25">
      <c r="G2554" t="b">
        <f>MAX(E2554:E2554)=MIN(E2554:E2554)</f>
        <v>1</v>
      </c>
    </row>
    <row r="2555" spans="7:7" ht="11.25">
      <c r="G2555" t="b">
        <f>MAX(E2555:E2555)=MIN(E2555:E2555)</f>
        <v>1</v>
      </c>
    </row>
    <row r="2556" spans="7:7" ht="11.25">
      <c r="G2556" t="b">
        <f>MAX(E2556:E2556)=MIN(E2556:E2556)</f>
        <v>1</v>
      </c>
    </row>
    <row r="2557" spans="7:7" ht="11.25">
      <c r="G2557" t="b">
        <f>MAX(E2557:E2557)=MIN(E2557:E2557)</f>
        <v>1</v>
      </c>
    </row>
    <row r="2558" spans="7:7" ht="11.25">
      <c r="G2558" t="b">
        <f>MAX(E2558:E2558)=MIN(E2558:E2558)</f>
        <v>1</v>
      </c>
    </row>
    <row r="2559" spans="7:7" ht="11.25">
      <c r="G2559" t="b">
        <f>MAX(E2559:E2559)=MIN(E2559:E2559)</f>
        <v>1</v>
      </c>
    </row>
    <row r="2560" spans="7:7" ht="11.25">
      <c r="G2560" t="b">
        <f>MAX(E2560:E2560)=MIN(E2560:E2560)</f>
        <v>1</v>
      </c>
    </row>
    <row r="2561" spans="7:7" ht="11.25">
      <c r="G2561" t="b">
        <f>MAX(E2561:E2561)=MIN(E2561:E2561)</f>
        <v>1</v>
      </c>
    </row>
    <row r="2562" spans="7:7" ht="11.25">
      <c r="G2562" t="b">
        <f>MAX(E2562:E2562)=MIN(E2562:E2562)</f>
        <v>1</v>
      </c>
    </row>
    <row r="2563" spans="7:7" ht="11.25">
      <c r="G2563" t="b">
        <f>MAX(E2563:E2563)=MIN(E2563:E2563)</f>
        <v>1</v>
      </c>
    </row>
    <row r="2564" spans="7:7" ht="11.25">
      <c r="G2564" t="b">
        <f>MAX(E2564:E2564)=MIN(E2564:E2564)</f>
        <v>1</v>
      </c>
    </row>
    <row r="2565" spans="7:7" ht="11.25">
      <c r="G2565" t="b">
        <f>MAX(E2565:E2565)=MIN(E2565:E2565)</f>
        <v>1</v>
      </c>
    </row>
    <row r="2566" spans="7:7" ht="11.25">
      <c r="G2566" t="b">
        <f>MAX(E2566:E2566)=MIN(E2566:E2566)</f>
        <v>1</v>
      </c>
    </row>
    <row r="2567" spans="7:7" ht="11.25">
      <c r="G2567" t="b">
        <f>MAX(E2567:E2567)=MIN(E2567:E2567)</f>
        <v>1</v>
      </c>
    </row>
    <row r="2568" spans="7:7" ht="11.25">
      <c r="G2568" t="b">
        <f>MAX(E2568:E2568)=MIN(E2568:E2568)</f>
        <v>1</v>
      </c>
    </row>
    <row r="2569" spans="7:7" ht="11.25">
      <c r="G2569" t="b">
        <f>MAX(E2569:E2569)=MIN(E2569:E2569)</f>
        <v>1</v>
      </c>
    </row>
    <row r="2570" spans="7:7" ht="11.25">
      <c r="G2570" t="b">
        <f>MAX(E2570:E2570)=MIN(E2570:E2570)</f>
        <v>1</v>
      </c>
    </row>
    <row r="2571" spans="7:7" ht="11.25">
      <c r="G2571" t="b">
        <f>MAX(E2571:E2571)=MIN(E2571:E2571)</f>
        <v>1</v>
      </c>
    </row>
    <row r="2572" spans="7:7" ht="11.25">
      <c r="G2572" t="b">
        <f>MAX(E2572:E2572)=MIN(E2572:E2572)</f>
        <v>1</v>
      </c>
    </row>
    <row r="2573" spans="7:7" ht="11.25">
      <c r="G2573" t="b">
        <f>MAX(E2573:E2573)=MIN(E2573:E2573)</f>
        <v>1</v>
      </c>
    </row>
    <row r="2574" spans="7:7" ht="11.25">
      <c r="G2574" t="b">
        <f>MAX(E2574:E2574)=MIN(E2574:E2574)</f>
        <v>1</v>
      </c>
    </row>
    <row r="2575" spans="7:7" ht="11.25">
      <c r="G2575" t="b">
        <f>MAX(E2575:E2575)=MIN(E2575:E2575)</f>
        <v>1</v>
      </c>
    </row>
    <row r="2576" spans="7:7" ht="11.25">
      <c r="G2576" t="b">
        <f>MAX(E2576:E2576)=MIN(E2576:E2576)</f>
        <v>1</v>
      </c>
    </row>
    <row r="2577" spans="7:7" ht="11.25">
      <c r="G2577" t="b">
        <f>MAX(E2577:E2577)=MIN(E2577:E2577)</f>
        <v>1</v>
      </c>
    </row>
    <row r="2578" spans="7:7" ht="11.25">
      <c r="G2578" t="b">
        <f>MAX(E2578:E2578)=MIN(E2578:E2578)</f>
        <v>1</v>
      </c>
    </row>
    <row r="2579" spans="7:7" ht="11.25">
      <c r="G2579" t="b">
        <f>MAX(E2579:E2579)=MIN(E2579:E2579)</f>
        <v>1</v>
      </c>
    </row>
    <row r="2580" spans="7:7" ht="11.25">
      <c r="G2580" t="b">
        <f>MAX(E2580:E2580)=MIN(E2580:E2580)</f>
        <v>1</v>
      </c>
    </row>
    <row r="2581" spans="7:7" ht="11.25">
      <c r="G2581" t="b">
        <f>MAX(E2581:E2581)=MIN(E2581:E2581)</f>
        <v>1</v>
      </c>
    </row>
    <row r="2582" spans="7:7" ht="11.25">
      <c r="G2582" t="b">
        <f>MAX(E2582:E2582)=MIN(E2582:E2582)</f>
        <v>1</v>
      </c>
    </row>
    <row r="2583" spans="7:7" ht="11.25">
      <c r="G2583" t="b">
        <f>MAX(E2583:E2583)=MIN(E2583:E2583)</f>
        <v>1</v>
      </c>
    </row>
    <row r="2584" spans="7:7" ht="11.25">
      <c r="G2584" t="b">
        <f>MAX(E2584:E2584)=MIN(E2584:E2584)</f>
        <v>1</v>
      </c>
    </row>
    <row r="2585" spans="7:7" ht="11.25">
      <c r="G2585" t="b">
        <f>MAX(E2585:E2585)=MIN(E2585:E2585)</f>
        <v>1</v>
      </c>
    </row>
    <row r="2586" spans="7:7" ht="11.25">
      <c r="G2586" t="b">
        <f>MAX(E2586:E2586)=MIN(E2586:E2586)</f>
        <v>1</v>
      </c>
    </row>
    <row r="2587" spans="7:7" ht="11.25">
      <c r="G2587" t="b">
        <f>MAX(E2587:E2587)=MIN(E2587:E2587)</f>
        <v>1</v>
      </c>
    </row>
    <row r="2588" spans="7:7" ht="11.25">
      <c r="G2588" t="b">
        <f>MAX(E2588:E2588)=MIN(E2588:E2588)</f>
        <v>1</v>
      </c>
    </row>
    <row r="2589" spans="7:7" ht="11.25">
      <c r="G2589" t="b">
        <f>MAX(E2589:E2589)=MIN(E2589:E2589)</f>
        <v>1</v>
      </c>
    </row>
    <row r="2590" spans="7:7" ht="11.25">
      <c r="G2590" t="b">
        <f>MAX(E2590:E2590)=MIN(E2590:E2590)</f>
        <v>1</v>
      </c>
    </row>
    <row r="2591" spans="7:7" ht="11.25">
      <c r="G2591" t="b">
        <f>MAX(E2591:E2591)=MIN(E2591:E2591)</f>
        <v>1</v>
      </c>
    </row>
    <row r="2592" spans="7:7" ht="11.25">
      <c r="G2592" t="b">
        <f>MAX(E2592:E2592)=MIN(E2592:E2592)</f>
        <v>1</v>
      </c>
    </row>
    <row r="2593" spans="7:7" ht="11.25">
      <c r="G2593" t="b">
        <f>MAX(E2593:E2593)=MIN(E2593:E2593)</f>
        <v>1</v>
      </c>
    </row>
    <row r="2594" spans="7:7" ht="11.25">
      <c r="G2594" t="b">
        <f>MAX(E2594:E2594)=MIN(E2594:E2594)</f>
        <v>1</v>
      </c>
    </row>
    <row r="2595" spans="7:7" ht="11.25">
      <c r="G2595" t="b">
        <f>MAX(E2595:E2595)=MIN(E2595:E2595)</f>
        <v>1</v>
      </c>
    </row>
    <row r="2596" spans="7:7" ht="11.25">
      <c r="G2596" t="b">
        <f>MAX(E2596:E2596)=MIN(E2596:E2596)</f>
        <v>1</v>
      </c>
    </row>
    <row r="2597" spans="7:7" ht="11.25">
      <c r="G2597" t="b">
        <f>MAX(E2597:E2597)=MIN(E2597:E2597)</f>
        <v>1</v>
      </c>
    </row>
    <row r="2598" spans="7:7" ht="11.25">
      <c r="G2598" t="b">
        <f>MAX(E2598:E2598)=MIN(E2598:E2598)</f>
        <v>1</v>
      </c>
    </row>
    <row r="2599" spans="7:7" ht="11.25">
      <c r="G2599" t="b">
        <f>MAX(E2599:E2599)=MIN(E2599:E2599)</f>
        <v>1</v>
      </c>
    </row>
    <row r="2600" spans="7:7" ht="11.25">
      <c r="G2600" t="b">
        <f>MAX(E2600:E2600)=MIN(E2600:E2600)</f>
        <v>1</v>
      </c>
    </row>
  </sheetData>
  <phoneticPr fontId="0" type="noConversion"/>
  <conditionalFormatting sqref="G5:G200 G1009:G1015 G1023:G1798 G1800:G1814 G1821:G1824 G205:G409 G427:G994 G1826:G2600">
    <cfRule type="cellIs" dxfId="96" priority="30" stopIfTrue="1" operator="notEqual">
      <formula>TRUE</formula>
    </cfRule>
  </conditionalFormatting>
  <conditionalFormatting sqref="G995:G1010">
    <cfRule type="cellIs" dxfId="95" priority="29" stopIfTrue="1" operator="notEqual">
      <formula>TRUE</formula>
    </cfRule>
  </conditionalFormatting>
  <conditionalFormatting sqref="G1016:G1022">
    <cfRule type="cellIs" dxfId="94" priority="19" stopIfTrue="1" operator="notEqual">
      <formula>TRUE</formula>
    </cfRule>
  </conditionalFormatting>
  <conditionalFormatting sqref="G1001:G1008">
    <cfRule type="cellIs" dxfId="93" priority="18" stopIfTrue="1" operator="notEqual">
      <formula>TRUE</formula>
    </cfRule>
  </conditionalFormatting>
  <conditionalFormatting sqref="G201:G204">
    <cfRule type="cellIs" dxfId="92" priority="17" stopIfTrue="1" operator="notEqual">
      <formula>TRUE</formula>
    </cfRule>
  </conditionalFormatting>
  <conditionalFormatting sqref="G1815:G1820">
    <cfRule type="cellIs" dxfId="91" priority="16" stopIfTrue="1" operator="notEqual">
      <formula>TRUE</formula>
    </cfRule>
  </conditionalFormatting>
  <conditionalFormatting sqref="G409 G428">
    <cfRule type="cellIs" dxfId="90" priority="15" stopIfTrue="1" operator="notEqual">
      <formula>TRUE</formula>
    </cfRule>
  </conditionalFormatting>
  <conditionalFormatting sqref="G410">
    <cfRule type="cellIs" dxfId="89" priority="14" stopIfTrue="1" operator="notEqual">
      <formula>TRUE</formula>
    </cfRule>
  </conditionalFormatting>
  <conditionalFormatting sqref="G425:G427 G411:G416 G420">
    <cfRule type="cellIs" dxfId="88" priority="13" stopIfTrue="1" operator="notEqual">
      <formula>TRUE</formula>
    </cfRule>
  </conditionalFormatting>
  <conditionalFormatting sqref="G422">
    <cfRule type="cellIs" dxfId="87" priority="12" stopIfTrue="1" operator="notEqual">
      <formula>TRUE</formula>
    </cfRule>
  </conditionalFormatting>
  <conditionalFormatting sqref="G423">
    <cfRule type="cellIs" dxfId="86" priority="10" stopIfTrue="1" operator="notEqual">
      <formula>TRUE</formula>
    </cfRule>
  </conditionalFormatting>
  <conditionalFormatting sqref="G424">
    <cfRule type="cellIs" dxfId="85" priority="9" stopIfTrue="1" operator="notEqual">
      <formula>TRUE</formula>
    </cfRule>
  </conditionalFormatting>
  <conditionalFormatting sqref="G421">
    <cfRule type="cellIs" dxfId="84" priority="8" stopIfTrue="1" operator="notEqual">
      <formula>TRUE</formula>
    </cfRule>
  </conditionalFormatting>
  <conditionalFormatting sqref="G397">
    <cfRule type="cellIs" dxfId="83" priority="7" stopIfTrue="1" operator="notEqual">
      <formula>TRUE</formula>
    </cfRule>
  </conditionalFormatting>
  <conditionalFormatting sqref="G398">
    <cfRule type="cellIs" dxfId="82" priority="6" stopIfTrue="1" operator="notEqual">
      <formula>TRUE</formula>
    </cfRule>
  </conditionalFormatting>
  <conditionalFormatting sqref="G399">
    <cfRule type="cellIs" dxfId="81" priority="5" stopIfTrue="1" operator="notEqual">
      <formula>TRUE</formula>
    </cfRule>
  </conditionalFormatting>
  <conditionalFormatting sqref="G400">
    <cfRule type="cellIs" dxfId="80" priority="4" stopIfTrue="1" operator="notEqual">
      <formula>TRUE</formula>
    </cfRule>
  </conditionalFormatting>
  <conditionalFormatting sqref="G417:G419">
    <cfRule type="cellIs" dxfId="79" priority="3" stopIfTrue="1" operator="notEqual">
      <formula>TRUE</formula>
    </cfRule>
  </conditionalFormatting>
  <conditionalFormatting sqref="G418">
    <cfRule type="cellIs" dxfId="78" priority="2" stopIfTrue="1" operator="notEqual">
      <formula>TRUE</formula>
    </cfRule>
  </conditionalFormatting>
  <conditionalFormatting sqref="G419">
    <cfRule type="cellIs" dxfId="77" priority="1" stopIfTrue="1" operator="notEqual">
      <formula>TRUE</formula>
    </cfRule>
  </conditionalFormatting>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
    <tabColor rgb="FF0AAE02"/>
    <pageSetUpPr fitToPage="1"/>
  </sheetPr>
  <dimension ref="A1:K752"/>
  <sheetViews>
    <sheetView view="pageBreakPreview" topLeftCell="A17" zoomScaleNormal="100" workbookViewId="0">
      <selection activeCell="H28" sqref="H28"/>
    </sheetView>
  </sheetViews>
  <sheetFormatPr defaultColWidth="18.83203125" defaultRowHeight="12.75" customHeight="1"/>
  <cols>
    <col min="1" max="1" width="4.5" customWidth="1"/>
    <col min="2" max="2" width="5.1640625" customWidth="1"/>
    <col min="3" max="3" width="15" customWidth="1"/>
    <col min="4" max="4" width="30.6640625" customWidth="1"/>
    <col min="5" max="5" width="16" style="324" customWidth="1"/>
    <col min="6" max="6" width="43.6640625" bestFit="1" customWidth="1"/>
    <col min="7" max="7" width="22" customWidth="1"/>
    <col min="8" max="11" width="9.33203125" customWidth="1"/>
  </cols>
  <sheetData>
    <row r="1" spans="1:7" s="93" customFormat="1" ht="15.75">
      <c r="A1" s="91" t="s">
        <v>2648</v>
      </c>
      <c r="E1" s="397" t="s">
        <v>470</v>
      </c>
    </row>
    <row r="2" spans="1:7" ht="11.25"/>
    <row r="3" spans="1:7" ht="11.25"/>
    <row r="4" spans="1:7" ht="15.75">
      <c r="A4" s="22" t="s">
        <v>1211</v>
      </c>
      <c r="B4" s="23"/>
      <c r="C4" s="23"/>
      <c r="D4" s="23"/>
      <c r="E4" s="398"/>
    </row>
    <row r="5" spans="1:7" ht="11.25">
      <c r="E5"/>
    </row>
    <row r="6" spans="1:7">
      <c r="A6" s="19" t="s">
        <v>3569</v>
      </c>
      <c r="E6"/>
    </row>
    <row r="7" spans="1:7" ht="11.25">
      <c r="C7" t="s">
        <v>3051</v>
      </c>
      <c r="F7" t="s">
        <v>4040</v>
      </c>
      <c r="G7" t="b">
        <f>MAX(E7:E7)=MIN(E7:E7)</f>
        <v>1</v>
      </c>
    </row>
    <row r="8" spans="1:7" ht="11.25">
      <c r="C8" t="s">
        <v>4765</v>
      </c>
      <c r="E8" s="324">
        <f>((decEntSvcsSalesSupportLevelPrac1+decEntSvcsSalesSupportLevelPrac2+decEntSvcsSalesSupportLevelPrac3)/capEmp6HrsRequired)*capEmp6Exp</f>
        <v>25445137.848936137</v>
      </c>
      <c r="F8" t="s">
        <v>3053</v>
      </c>
      <c r="G8" t="b">
        <f>MAX(E8:E8)=MIN(E8:E8)</f>
        <v>1</v>
      </c>
    </row>
    <row r="9" spans="1:7" ht="11.25">
      <c r="C9" t="s">
        <v>303</v>
      </c>
      <c r="E9" s="402">
        <f>(decEntWFTraining/(capEmp6End*paramEmp6HoursPYear))*(capEmp6End*paramEmp6Exp)</f>
        <v>14999.999999999998</v>
      </c>
      <c r="F9" t="s">
        <v>4041</v>
      </c>
      <c r="G9" t="b">
        <f>MAX(E9:E9)=MIN(E9:E9)</f>
        <v>1</v>
      </c>
    </row>
    <row r="10" spans="1:7" ht="11.25">
      <c r="E10"/>
      <c r="G10" t="b">
        <f>MAX(E10:E10)=MIN(E10:E10)</f>
        <v>1</v>
      </c>
    </row>
    <row r="11" spans="1:7" ht="11.25">
      <c r="C11" t="s">
        <v>306</v>
      </c>
      <c r="E11" s="402">
        <f>capEmp6RecDismExp</f>
        <v>25375000</v>
      </c>
      <c r="F11" t="s">
        <v>4042</v>
      </c>
      <c r="G11" t="b">
        <f>MAX(E11:E11)=MIN(E11:E11)</f>
        <v>1</v>
      </c>
    </row>
    <row r="12" spans="1:7" ht="11.25">
      <c r="E12"/>
      <c r="G12" t="b">
        <f>MAX(E12:E12)=MIN(E12:E12)</f>
        <v>1</v>
      </c>
    </row>
    <row r="13" spans="1:7" ht="11.25">
      <c r="C13" t="s">
        <v>304</v>
      </c>
      <c r="E13" s="402">
        <f>capEmp6Exp*paramEmp6AdminCostPct</f>
        <v>1275000</v>
      </c>
      <c r="F13" t="s">
        <v>4043</v>
      </c>
      <c r="G13" t="b">
        <f>MAX(E13:E13)=MIN(E13:E13)</f>
        <v>1</v>
      </c>
    </row>
    <row r="14" spans="1:7" ht="11.25">
      <c r="E14"/>
      <c r="G14" t="b">
        <f>MAX(E14:E14)=MIN(E14:E14)</f>
        <v>1</v>
      </c>
    </row>
    <row r="15" spans="1:7" ht="11.25">
      <c r="C15" t="s">
        <v>3544</v>
      </c>
      <c r="E15" s="402">
        <f>capProd1Adv</f>
        <v>7500000</v>
      </c>
      <c r="F15" t="s">
        <v>4044</v>
      </c>
      <c r="G15" t="b">
        <f>MAX(E15:E15)=MIN(E15:E15)</f>
        <v>1</v>
      </c>
    </row>
    <row r="16" spans="1:7" ht="11.25">
      <c r="E16"/>
      <c r="G16" t="b">
        <f>MAX(E16:E16)=MIN(E16:E16)</f>
        <v>1</v>
      </c>
    </row>
    <row r="17" spans="1:7" ht="11.25">
      <c r="C17" t="s">
        <v>305</v>
      </c>
      <c r="G17" t="b">
        <f>MAX(E17:E17)=MIN(E17:E17)</f>
        <v>1</v>
      </c>
    </row>
    <row r="18" spans="1:7" ht="11.25">
      <c r="D18" t="s">
        <v>941</v>
      </c>
      <c r="E18" s="407"/>
      <c r="G18" t="b">
        <f>MAX(E18:E18)=MIN(E18:E18)</f>
        <v>1</v>
      </c>
    </row>
    <row r="19" spans="1:7" ht="11.25">
      <c r="D19" t="s">
        <v>940</v>
      </c>
      <c r="E19" s="407">
        <f>decEmp2TrainingBudget</f>
        <v>4250</v>
      </c>
      <c r="G19" t="b">
        <f>MAX(E19:E19)=MIN(E19:E19)</f>
        <v>1</v>
      </c>
    </row>
    <row r="20" spans="1:7" ht="11.25">
      <c r="D20" t="s">
        <v>939</v>
      </c>
      <c r="E20" s="407">
        <f>decEmp3TrainingBudget</f>
        <v>4250</v>
      </c>
      <c r="G20" t="b">
        <f>MAX(E20:E20)=MIN(E20:E20)</f>
        <v>1</v>
      </c>
    </row>
    <row r="21" spans="1:7" ht="11.25">
      <c r="D21" t="s">
        <v>2757</v>
      </c>
      <c r="E21" s="666">
        <f>decEmp4TrainingBudget</f>
        <v>4250</v>
      </c>
      <c r="G21" t="b">
        <f>MAX(E21:E21)=MIN(E21:E21)</f>
        <v>1</v>
      </c>
    </row>
    <row r="22" spans="1:7" ht="11.25">
      <c r="D22" t="s">
        <v>4267</v>
      </c>
      <c r="E22" s="408">
        <f>obalEmp6GeneralTrainingBudget</f>
        <v>1500</v>
      </c>
      <c r="G22" t="b">
        <f>MAX(E22:E22)=MIN(E22:E22)</f>
        <v>1</v>
      </c>
    </row>
    <row r="23" spans="1:7" ht="11.25">
      <c r="D23" t="s">
        <v>404</v>
      </c>
      <c r="E23" s="407">
        <f>SUM(E18:E21)</f>
        <v>12750</v>
      </c>
      <c r="F23" t="s">
        <v>405</v>
      </c>
      <c r="G23" t="b">
        <f>MAX(E23:E23)=MIN(E23:E23)</f>
        <v>1</v>
      </c>
    </row>
    <row r="24" spans="1:7" ht="11.25">
      <c r="E24"/>
      <c r="G24" t="b">
        <f>MAX(E24:E24)=MIN(E24:E24)</f>
        <v>1</v>
      </c>
    </row>
    <row r="25" spans="1:7" ht="11.25">
      <c r="B25" s="2" t="s">
        <v>403</v>
      </c>
      <c r="E25" s="409">
        <f>finEmp6SalaryExp+finEmp6TrainingTimeExp+finEmp6RecDismExp+finEmp6AdminExp+finEntSvcsTotalTrainingBudgetExp</f>
        <v>26677750</v>
      </c>
      <c r="F25" t="s">
        <v>406</v>
      </c>
      <c r="G25" t="b">
        <f>MAX(E25:E25)=MIN(E25:E25)</f>
        <v>1</v>
      </c>
    </row>
    <row r="26" spans="1:7" ht="11.25">
      <c r="E26"/>
      <c r="G26" t="b">
        <f>MAX(E26:E26)=MIN(E26:E26)</f>
        <v>1</v>
      </c>
    </row>
    <row r="27" spans="1:7" ht="11.25">
      <c r="E27"/>
      <c r="G27" t="b">
        <f>MAX(E27:E27)=MIN(E27:E27)</f>
        <v>1</v>
      </c>
    </row>
    <row r="28" spans="1:7" s="26" customFormat="1" ht="11.25">
      <c r="C28" s="774" t="s">
        <v>408</v>
      </c>
      <c r="G28" s="26" t="b">
        <f>MAX(E28:E28)=MIN(E28:E28)</f>
        <v>1</v>
      </c>
    </row>
    <row r="29" spans="1:7" s="26" customFormat="1" ht="11.25">
      <c r="C29" s="26" t="s">
        <v>3293</v>
      </c>
      <c r="E29" s="419">
        <v>1</v>
      </c>
      <c r="F29" s="26" t="s">
        <v>1828</v>
      </c>
      <c r="G29" s="26" t="b">
        <f>MAX(E29:E29)=MIN(E29:E29)</f>
        <v>1</v>
      </c>
    </row>
    <row r="30" spans="1:7" s="26" customFormat="1" ht="11.25">
      <c r="C30" s="26" t="s">
        <v>635</v>
      </c>
      <c r="E30" s="419">
        <v>0</v>
      </c>
      <c r="F30" s="26" t="s">
        <v>4475</v>
      </c>
      <c r="G30" s="26" t="b">
        <f>MAX(E30:E30)=MIN(E30:E30)</f>
        <v>1</v>
      </c>
    </row>
    <row r="31" spans="1:7" ht="11.25">
      <c r="E31"/>
      <c r="G31" t="b">
        <f>MAX(E31:E31)=MIN(E31:E31)</f>
        <v>1</v>
      </c>
    </row>
    <row r="32" spans="1:7">
      <c r="A32" s="19" t="str">
        <f>DataNameProd1</f>
        <v>Consulting</v>
      </c>
      <c r="E32" s="51"/>
      <c r="G32" t="b">
        <f>MAX(E32:E32)=MIN(E32:E32)</f>
        <v>1</v>
      </c>
    </row>
    <row r="33" spans="2:7" ht="11.25">
      <c r="B33" s="2" t="s">
        <v>4726</v>
      </c>
      <c r="G33" t="b">
        <f>MAX(E33:E33)=MIN(E33:E33)</f>
        <v>1</v>
      </c>
    </row>
    <row r="34" spans="2:7" ht="11.25">
      <c r="B34" s="2"/>
      <c r="C34" s="3" t="str">
        <f>DataNameProd1 &amp; " P1 Bookings"</f>
        <v>Consulting P1 Bookings</v>
      </c>
      <c r="D34" s="3"/>
      <c r="E34" s="399">
        <f>capBusACurrProjV1HrsReqBookings*cbalBusAV1PricePerHr</f>
        <v>218723281.55856597</v>
      </c>
      <c r="F34" t="s">
        <v>4722</v>
      </c>
      <c r="G34" t="b">
        <f>MAX(E34:E34)=MIN(E34:E34)</f>
        <v>1</v>
      </c>
    </row>
    <row r="35" spans="2:7" ht="11.25">
      <c r="B35" s="2"/>
      <c r="C35" s="3" t="str">
        <f>DataNameProd1 &amp; " P2 Bookings"</f>
        <v>Consulting P2 Bookings</v>
      </c>
      <c r="D35" s="3"/>
      <c r="E35" s="399">
        <f>capBusACurrProjV2HrsReqBookings*cbalBusAV2PricePerHr</f>
        <v>148311154.92392948</v>
      </c>
      <c r="F35" t="s">
        <v>4723</v>
      </c>
      <c r="G35" t="b">
        <f>MAX(E35:E35)=MIN(E35:E35)</f>
        <v>1</v>
      </c>
    </row>
    <row r="36" spans="2:7" ht="11.25">
      <c r="B36" s="2"/>
      <c r="C36" s="38" t="str">
        <f>DataNameProd1 &amp; " P3 Bookings"</f>
        <v>Consulting P3 Bookings</v>
      </c>
      <c r="D36" s="38"/>
      <c r="E36" s="400">
        <f>capBusACurrProjV3HrsReqBookings*cbalBusAV3PricePerHr</f>
        <v>74226756.670516759</v>
      </c>
      <c r="F36" t="s">
        <v>4724</v>
      </c>
      <c r="G36" t="b">
        <f>MAX(E36:E36)=MIN(E36:E36)</f>
        <v>1</v>
      </c>
    </row>
    <row r="37" spans="2:7" ht="11.25">
      <c r="C37" s="2" t="str">
        <f>DataNameProd1 &amp; " Total Bookings"</f>
        <v>Consulting Total Bookings</v>
      </c>
      <c r="D37" s="2"/>
      <c r="E37" s="396">
        <f>SUM(E34:E36)</f>
        <v>441261193.15301216</v>
      </c>
      <c r="F37" t="s">
        <v>4725</v>
      </c>
      <c r="G37" t="b">
        <f>MAX(E37:E37)=MIN(E37:E37)</f>
        <v>1</v>
      </c>
    </row>
    <row r="38" spans="2:7" ht="11.25">
      <c r="E38"/>
      <c r="G38" t="b">
        <f>MAX(E38:E38)=MIN(E38:E38)</f>
        <v>1</v>
      </c>
    </row>
    <row r="39" spans="2:7" ht="11.25">
      <c r="B39" s="2" t="s">
        <v>1487</v>
      </c>
      <c r="G39" t="b">
        <f>MAX(E39:E39)=MIN(E39:E39)</f>
        <v>1</v>
      </c>
    </row>
    <row r="40" spans="2:7" ht="11.25">
      <c r="B40" s="2"/>
      <c r="C40" s="3" t="str">
        <f>DataNameProd1 &amp; " P1 Revenues"</f>
        <v>Consulting P1 Revenues</v>
      </c>
      <c r="D40" s="3"/>
      <c r="E40" s="399">
        <f>capBusACurrProjV1HrsReq*obalBusAV1PricePerHr*IF(xxYear&lt;=0,1,MIN(1,capBusACurrProjV1PctStaffed+0))</f>
        <v>115165477.39585172</v>
      </c>
      <c r="F40" t="s">
        <v>231</v>
      </c>
      <c r="G40" t="b">
        <f>MAX(E40:E40)=MIN(E40:E40)</f>
        <v>1</v>
      </c>
    </row>
    <row r="41" spans="2:7" ht="11.25">
      <c r="B41" s="2"/>
      <c r="C41" s="3" t="str">
        <f>DataNameProd1 &amp; " P2 Revenues"</f>
        <v>Consulting P2 Revenues</v>
      </c>
      <c r="D41" s="3"/>
      <c r="E41" s="399">
        <f>capBusACurrProjV2HrsReq*obalBusAV2PricePerHr*IF(xxYear&lt;=0,1,MIN(1,capBusACurrProjV2PctStaffed+0))</f>
        <v>62659656.377267309</v>
      </c>
      <c r="F41" t="s">
        <v>232</v>
      </c>
      <c r="G41" t="b">
        <f>MAX(E41:E41)=MIN(E41:E41)</f>
        <v>1</v>
      </c>
    </row>
    <row r="42" spans="2:7" ht="11.25">
      <c r="B42" s="2"/>
      <c r="C42" s="38" t="str">
        <f>DataNameProd1 &amp; " P3 Revenues"</f>
        <v>Consulting P3 Revenues</v>
      </c>
      <c r="D42" s="38"/>
      <c r="E42" s="400">
        <f>capBusACurrProjV3HrsReq*obalBusAV3PricePerHr*IF(xxYear&lt;=0,1,MIN(1,capBusACurrProjV3PctStaffed+0))</f>
        <v>22687371.279670905</v>
      </c>
      <c r="F42" t="s">
        <v>233</v>
      </c>
      <c r="G42" t="b">
        <f>MAX(E42:E42)=MIN(E42:E42)</f>
        <v>1</v>
      </c>
    </row>
    <row r="43" spans="2:7" ht="11.25">
      <c r="C43" s="2" t="str">
        <f>DataNameProd1 &amp; " Total Revenues"</f>
        <v>Consulting Total Revenues</v>
      </c>
      <c r="D43" s="2"/>
      <c r="E43" s="396">
        <f>SUM(E40:E42)</f>
        <v>200512505.05278993</v>
      </c>
      <c r="F43" t="s">
        <v>1478</v>
      </c>
      <c r="G43" t="b">
        <f>MAX(E43:E43)=MIN(E43:E43)</f>
        <v>1</v>
      </c>
    </row>
    <row r="44" spans="2:7" ht="11.25">
      <c r="B44" s="2" t="s">
        <v>234</v>
      </c>
      <c r="G44" t="b">
        <f>MAX(E44:E44)=MIN(E44:E44)</f>
        <v>1</v>
      </c>
    </row>
    <row r="45" spans="2:7" ht="11.25">
      <c r="B45" s="2"/>
      <c r="C45" s="2" t="s">
        <v>2755</v>
      </c>
      <c r="G45" t="b">
        <f>MAX(E45:E45)=MIN(E45:E45)</f>
        <v>1</v>
      </c>
    </row>
    <row r="46" spans="2:7" ht="11.25">
      <c r="B46" s="2"/>
      <c r="C46" s="2"/>
      <c r="D46" s="2" t="s">
        <v>42</v>
      </c>
      <c r="G46" t="b">
        <f>MAX(E46:E46)=MIN(E46:E46)</f>
        <v>1</v>
      </c>
    </row>
    <row r="47" spans="2:7" ht="11.25">
      <c r="B47" s="2"/>
      <c r="C47" s="2"/>
      <c r="D47" t="s">
        <v>5169</v>
      </c>
      <c r="E47" s="324">
        <f>capEmp1BusAV1Exp</f>
        <v>1060876.7349310094</v>
      </c>
      <c r="F47" t="s">
        <v>787</v>
      </c>
      <c r="G47" t="b">
        <f>MAX(E47:E47)=MIN(E47:E47)</f>
        <v>1</v>
      </c>
    </row>
    <row r="48" spans="2:7" ht="11.25">
      <c r="B48" s="2"/>
      <c r="C48" s="2"/>
      <c r="D48" t="s">
        <v>4705</v>
      </c>
      <c r="E48" s="324">
        <f>capEmp2BusAV1Exp</f>
        <v>8750000</v>
      </c>
      <c r="F48" t="s">
        <v>3577</v>
      </c>
      <c r="G48" t="b">
        <f>MAX(E48:E48)=MIN(E48:E48)</f>
        <v>1</v>
      </c>
    </row>
    <row r="49" spans="2:7" ht="11.25">
      <c r="B49" s="2"/>
      <c r="C49" s="2"/>
      <c r="D49" t="s">
        <v>4704</v>
      </c>
      <c r="E49" s="331">
        <f>capEmp3BusAV1Exp</f>
        <v>8250000</v>
      </c>
      <c r="F49" t="s">
        <v>3578</v>
      </c>
      <c r="G49" t="b">
        <f>MAX(E49:E49)=MIN(E49:E49)</f>
        <v>1</v>
      </c>
    </row>
    <row r="50" spans="2:7" ht="11.25">
      <c r="B50" s="2"/>
      <c r="C50" s="2"/>
      <c r="D50" t="s">
        <v>4703</v>
      </c>
      <c r="E50" s="331">
        <f>capEmp4BusAV1Exp</f>
        <v>5999999.9999999991</v>
      </c>
      <c r="F50" t="s">
        <v>1757</v>
      </c>
      <c r="G50" t="b">
        <f>MAX(E50:E50)=MIN(E50:E50)</f>
        <v>1</v>
      </c>
    </row>
    <row r="51" spans="2:7" ht="11.25">
      <c r="B51" s="2"/>
      <c r="C51" s="3" t="s">
        <v>2631</v>
      </c>
      <c r="D51" t="s">
        <v>5178</v>
      </c>
      <c r="E51" s="331">
        <f>capEmp9BusAV1Exp</f>
        <v>7375000</v>
      </c>
      <c r="F51" t="s">
        <v>4376</v>
      </c>
      <c r="G51" t="b">
        <f>MAX(E51:E51)=MIN(E51:E51)</f>
        <v>1</v>
      </c>
    </row>
    <row r="52" spans="2:7" ht="11.25">
      <c r="B52" s="2"/>
      <c r="C52" s="3" t="s">
        <v>2631</v>
      </c>
      <c r="E52" s="331"/>
      <c r="F52" t="s">
        <v>4377</v>
      </c>
      <c r="G52" t="b">
        <f>MAX(E52:E52)=MIN(E52:E52)</f>
        <v>1</v>
      </c>
    </row>
    <row r="53" spans="2:7" ht="11.25">
      <c r="B53" s="2"/>
      <c r="C53" s="3" t="s">
        <v>2631</v>
      </c>
      <c r="E53" s="401"/>
      <c r="F53" t="s">
        <v>4378</v>
      </c>
      <c r="G53" t="b">
        <f>MAX(E53:E53)=MIN(E53:E53)</f>
        <v>1</v>
      </c>
    </row>
    <row r="54" spans="2:7" ht="11.25">
      <c r="B54" s="2"/>
      <c r="C54" s="2"/>
      <c r="D54" t="s">
        <v>2355</v>
      </c>
      <c r="E54" s="396">
        <f>SUM(E47:E53)+finPNLBusAV1LoadExp</f>
        <v>34579464.408424109</v>
      </c>
      <c r="F54" t="s">
        <v>4396</v>
      </c>
      <c r="G54" t="b">
        <f>MAX(E54:E54)=MIN(E54:E54)</f>
        <v>1</v>
      </c>
    </row>
    <row r="55" spans="2:7" ht="11.25">
      <c r="B55" s="2"/>
      <c r="C55" s="2"/>
      <c r="D55" s="2" t="s">
        <v>43</v>
      </c>
      <c r="G55" t="b">
        <f>MAX(E55:E55)=MIN(E55:E55)</f>
        <v>1</v>
      </c>
    </row>
    <row r="56" spans="2:7" ht="11.25">
      <c r="B56" s="2"/>
      <c r="C56" s="2"/>
      <c r="D56" t="s">
        <v>5169</v>
      </c>
      <c r="E56" s="324">
        <f>capEmp1BusAV2Exp</f>
        <v>592168.00000000012</v>
      </c>
      <c r="F56" t="s">
        <v>1802</v>
      </c>
      <c r="G56" t="b">
        <f>MAX(E56:E56)=MIN(E56:E56)</f>
        <v>1</v>
      </c>
    </row>
    <row r="57" spans="2:7" ht="11.25">
      <c r="B57" s="2"/>
      <c r="C57" s="2"/>
      <c r="D57" t="s">
        <v>4705</v>
      </c>
      <c r="E57" s="324">
        <f>capEmp2BusAV2Exp</f>
        <v>8250000</v>
      </c>
      <c r="F57" t="s">
        <v>1803</v>
      </c>
      <c r="G57" t="b">
        <f>MAX(E57:E57)=MIN(E57:E57)</f>
        <v>1</v>
      </c>
    </row>
    <row r="58" spans="2:7" ht="11.25">
      <c r="B58" s="2"/>
      <c r="C58" s="2"/>
      <c r="D58" t="s">
        <v>4704</v>
      </c>
      <c r="E58" s="324">
        <f>capEmp3BusAV2Exp</f>
        <v>6375000</v>
      </c>
      <c r="F58" t="s">
        <v>1804</v>
      </c>
      <c r="G58" t="b">
        <f>MAX(E58:E58)=MIN(E58:E58)</f>
        <v>1</v>
      </c>
    </row>
    <row r="59" spans="2:7" ht="11.25">
      <c r="B59" s="2"/>
      <c r="C59" s="2"/>
      <c r="D59" t="s">
        <v>4703</v>
      </c>
      <c r="E59" s="331">
        <f>capEmp4BusAV2Exp</f>
        <v>3750000.0000000005</v>
      </c>
      <c r="F59" t="s">
        <v>1805</v>
      </c>
      <c r="G59" t="b">
        <f>MAX(E59:E59)=MIN(E59:E59)</f>
        <v>1</v>
      </c>
    </row>
    <row r="60" spans="2:7" ht="11.25">
      <c r="B60" s="2"/>
      <c r="C60" s="3" t="s">
        <v>2631</v>
      </c>
      <c r="D60" t="s">
        <v>5178</v>
      </c>
      <c r="E60" s="331">
        <f>capEmp9BusAV2Exp</f>
        <v>500000</v>
      </c>
      <c r="F60" t="s">
        <v>4382</v>
      </c>
      <c r="G60" t="b">
        <f>MAX(E60:E60)=MIN(E60:E60)</f>
        <v>1</v>
      </c>
    </row>
    <row r="61" spans="2:7" ht="11.25">
      <c r="B61" s="2"/>
      <c r="C61" s="3" t="s">
        <v>2631</v>
      </c>
      <c r="E61" s="331"/>
      <c r="F61" t="s">
        <v>4383</v>
      </c>
      <c r="G61" t="b">
        <f>MAX(E61:E61)=MIN(E61:E61)</f>
        <v>1</v>
      </c>
    </row>
    <row r="62" spans="2:7" ht="11.25">
      <c r="B62" s="2"/>
      <c r="C62" s="3" t="s">
        <v>2631</v>
      </c>
      <c r="E62" s="401"/>
      <c r="F62" t="s">
        <v>4384</v>
      </c>
      <c r="G62" t="b">
        <f>MAX(E62:E62)=MIN(E62:E62)</f>
        <v>1</v>
      </c>
    </row>
    <row r="63" spans="2:7" ht="11.25">
      <c r="B63" s="2"/>
      <c r="C63" s="2"/>
      <c r="D63" t="s">
        <v>2356</v>
      </c>
      <c r="E63" s="396">
        <f>SUM(E56:E62)+finPNLBusAV2LoadExp</f>
        <v>21413884.800000001</v>
      </c>
      <c r="F63" t="s">
        <v>1806</v>
      </c>
      <c r="G63" t="b">
        <f>MAX(E63:E63)=MIN(E63:E63)</f>
        <v>1</v>
      </c>
    </row>
    <row r="64" spans="2:7" ht="11.25">
      <c r="B64" s="2"/>
      <c r="C64" s="2"/>
      <c r="D64" s="2" t="s">
        <v>44</v>
      </c>
      <c r="G64" t="b">
        <f>MAX(E64:E64)=MIN(E64:E64)</f>
        <v>1</v>
      </c>
    </row>
    <row r="65" spans="2:7" ht="11.25">
      <c r="B65" s="2"/>
      <c r="C65" s="2"/>
      <c r="D65" t="s">
        <v>5169</v>
      </c>
      <c r="E65" s="324">
        <f>capEmp1BusAV3Exp</f>
        <v>233943.70370370371</v>
      </c>
      <c r="F65" t="s">
        <v>1807</v>
      </c>
      <c r="G65" t="b">
        <f>MAX(E65:E65)=MIN(E65:E65)</f>
        <v>1</v>
      </c>
    </row>
    <row r="66" spans="2:7" ht="11.25">
      <c r="B66" s="2"/>
      <c r="C66" s="2"/>
      <c r="D66" t="s">
        <v>4705</v>
      </c>
      <c r="E66" s="324">
        <f>capEmp2BusAV3Exp</f>
        <v>2500000</v>
      </c>
      <c r="F66" t="s">
        <v>1808</v>
      </c>
      <c r="G66" t="b">
        <f>MAX(E66:E66)=MIN(E66:E66)</f>
        <v>1</v>
      </c>
    </row>
    <row r="67" spans="2:7" ht="11.25">
      <c r="B67" s="2"/>
      <c r="C67" s="2"/>
      <c r="D67" t="s">
        <v>4704</v>
      </c>
      <c r="E67" s="324">
        <f>capEmp3BusAV3Exp</f>
        <v>1875000</v>
      </c>
      <c r="F67" t="s">
        <v>1809</v>
      </c>
      <c r="G67" t="b">
        <f>MAX(E67:E67)=MIN(E67:E67)</f>
        <v>1</v>
      </c>
    </row>
    <row r="68" spans="2:7" ht="11.25">
      <c r="B68" s="2"/>
      <c r="C68" s="2"/>
      <c r="D68" t="s">
        <v>4703</v>
      </c>
      <c r="E68" s="331">
        <f>capEmp4BusAV3Exp</f>
        <v>900000</v>
      </c>
      <c r="F68" t="s">
        <v>2396</v>
      </c>
      <c r="G68" t="b">
        <f>MAX(E68:E68)=MIN(E68:E68)</f>
        <v>1</v>
      </c>
    </row>
    <row r="69" spans="2:7" ht="11.25">
      <c r="B69" s="2"/>
      <c r="C69" s="3" t="s">
        <v>2631</v>
      </c>
      <c r="D69" t="s">
        <v>5178</v>
      </c>
      <c r="E69" s="331">
        <f>capEmp9BusAV3Exp</f>
        <v>500000</v>
      </c>
      <c r="F69" t="s">
        <v>4379</v>
      </c>
      <c r="G69" t="b">
        <f>MAX(E69:E69)=MIN(E69:E69)</f>
        <v>1</v>
      </c>
    </row>
    <row r="70" spans="2:7" ht="11.25">
      <c r="B70" s="2"/>
      <c r="C70" s="3" t="s">
        <v>2631</v>
      </c>
      <c r="E70" s="331"/>
      <c r="F70" t="s">
        <v>4380</v>
      </c>
      <c r="G70" t="b">
        <f>MAX(E70:E70)=MIN(E70:E70)</f>
        <v>1</v>
      </c>
    </row>
    <row r="71" spans="2:7" ht="11.25">
      <c r="B71" s="2"/>
      <c r="C71" s="3" t="s">
        <v>2631</v>
      </c>
      <c r="E71" s="401"/>
      <c r="F71" t="s">
        <v>4381</v>
      </c>
      <c r="G71" t="b">
        <f>MAX(E71:E71)=MIN(E71:E71)</f>
        <v>1</v>
      </c>
    </row>
    <row r="72" spans="2:7" ht="11.25">
      <c r="B72" s="2"/>
      <c r="C72" s="2"/>
      <c r="D72" t="s">
        <v>2357</v>
      </c>
      <c r="E72" s="396">
        <f>SUM(E65:E71)+finPNLBusAV3LoadExp</f>
        <v>6609838.0740740737</v>
      </c>
      <c r="F72" t="s">
        <v>2397</v>
      </c>
      <c r="G72" t="b">
        <f>MAX(E72:E72)=MIN(E72:E72)</f>
        <v>1</v>
      </c>
    </row>
    <row r="73" spans="2:7" s="26" customFormat="1" ht="11.25">
      <c r="B73" s="774"/>
      <c r="C73" s="774" t="s">
        <v>2756</v>
      </c>
      <c r="E73" s="323"/>
      <c r="G73" s="26" t="b">
        <f>MAX(E73:E73)=MIN(E73:E73)</f>
        <v>1</v>
      </c>
    </row>
    <row r="74" spans="2:7" s="26" customFormat="1" ht="11.25">
      <c r="B74" s="774"/>
      <c r="C74" s="774"/>
      <c r="D74" s="26" t="s">
        <v>42</v>
      </c>
      <c r="E74" s="781">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(1-capBusALocalPerCostReduce)</f>
        <v>3143587.6734931008</v>
      </c>
      <c r="F74" s="26" t="s">
        <v>2398</v>
      </c>
      <c r="G74" s="26" t="b">
        <f>MAX(E74:E74)=MIN(E74:E74)</f>
        <v>1</v>
      </c>
    </row>
    <row r="75" spans="2:7" s="26" customFormat="1" ht="11.25">
      <c r="B75" s="774"/>
      <c r="D75" s="26" t="s">
        <v>43</v>
      </c>
      <c r="E75" s="781">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(1-capBusALocalPerCostReduce)</f>
        <v>1946716.8</v>
      </c>
      <c r="F75" s="26" t="s">
        <v>2399</v>
      </c>
      <c r="G75" s="26" t="b">
        <f>MAX(E75:E75)=MIN(E75:E75)</f>
        <v>1</v>
      </c>
    </row>
    <row r="76" spans="2:7" s="26" customFormat="1" ht="11.25">
      <c r="B76" s="774"/>
      <c r="D76" s="26" t="s">
        <v>44</v>
      </c>
      <c r="E76" s="782">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(1-capBusALocalPerCostReduce)</f>
        <v>600894.37037037034</v>
      </c>
      <c r="F76" s="26" t="s">
        <v>2400</v>
      </c>
      <c r="G76" s="26" t="b">
        <f>MAX(E76:E76)=MIN(E76:E76)</f>
        <v>1</v>
      </c>
    </row>
    <row r="77" spans="2:7" ht="11.25">
      <c r="B77" s="2"/>
      <c r="D77" s="2" t="s">
        <v>1340</v>
      </c>
      <c r="E77" s="780">
        <f>finPNLBusAV1LoadExp+finPNLBusAV2LoadExp+finPNLBusAV3LoadExp</f>
        <v>5691198.8438634714</v>
      </c>
      <c r="F77" t="s">
        <v>2401</v>
      </c>
      <c r="G77" t="b">
        <f>MAX(E77:E77)=MIN(E77:E77)</f>
        <v>1</v>
      </c>
    </row>
    <row r="78" spans="2:7" ht="11.25">
      <c r="B78" s="2"/>
      <c r="C78" s="2" t="s">
        <v>2060</v>
      </c>
      <c r="G78" t="b">
        <f>MAX(E78:E78)=MIN(E78:E78)</f>
        <v>1</v>
      </c>
    </row>
    <row r="79" spans="2:7" ht="11.25">
      <c r="B79" s="2"/>
      <c r="C79" s="2"/>
      <c r="D79" t="s">
        <v>42</v>
      </c>
      <c r="E79" s="324">
        <f>((decBusAV1HrsBorrowed/paramEmp5ProductivityCoef)/paramEmp5HoursPYear)*paramEmp5Exp</f>
        <v>0</v>
      </c>
      <c r="F79" t="s">
        <v>2402</v>
      </c>
      <c r="G79" t="b">
        <f>MAX(E79:E79)=MIN(E79:E79)</f>
        <v>1</v>
      </c>
    </row>
    <row r="80" spans="2:7" ht="11.25">
      <c r="B80" s="2"/>
      <c r="C80" s="2"/>
      <c r="D80" t="s">
        <v>43</v>
      </c>
      <c r="E80" s="324">
        <f>((decBusAV2HrsBorrowed/paramEmp5ProductivityCoef)/paramEmp5HoursPYear)*paramEmp5Exp</f>
        <v>0</v>
      </c>
      <c r="F80" t="s">
        <v>4053</v>
      </c>
      <c r="G80" t="b">
        <f>MAX(E80:E80)=MIN(E80:E80)</f>
        <v>1</v>
      </c>
    </row>
    <row r="81" spans="2:7" ht="11.25">
      <c r="B81" s="2"/>
      <c r="C81" s="2"/>
      <c r="D81" t="s">
        <v>44</v>
      </c>
      <c r="E81" s="401">
        <f>((decBusAV3HrsBorrowed/paramEmp5ProductivityCoef)/paramEmp5HoursPYear)*paramEmp5Exp</f>
        <v>0</v>
      </c>
      <c r="F81" t="s">
        <v>4054</v>
      </c>
      <c r="G81" t="b">
        <f>MAX(E81:E81)=MIN(E81:E81)</f>
        <v>1</v>
      </c>
    </row>
    <row r="82" spans="2:7" ht="11.25">
      <c r="B82" s="2"/>
      <c r="C82" s="2"/>
      <c r="D82" s="2" t="s">
        <v>1340</v>
      </c>
      <c r="E82" s="396">
        <f>SUM(E79:E81)</f>
        <v>0</v>
      </c>
      <c r="F82" t="s">
        <v>2861</v>
      </c>
      <c r="G82" t="b">
        <f>MAX(E82:E82)=MIN(E82:E82)</f>
        <v>1</v>
      </c>
    </row>
    <row r="83" spans="2:7" ht="11.25">
      <c r="C83" s="2" t="s">
        <v>3369</v>
      </c>
      <c r="D83" s="2"/>
      <c r="E83" s="396"/>
      <c r="G83" t="b">
        <f>MAX(E83:E83)=MIN(E83:E83)</f>
        <v>1</v>
      </c>
    </row>
    <row r="84" spans="2:7" ht="11.25">
      <c r="D84" t="s">
        <v>42</v>
      </c>
      <c r="E84" s="779">
        <f>(MAX(0,(finPNLBusAV1Emp1SalaryExp+finPNLBusAV1LoadExp)*paramBusAQualityCostPctCOS-(((finPNLBusAV1Emp3SalaryExp*paramEmp3LoadPctSalary))*0.5))*paramBusALocalPerQualityCost)*capBusARiskUtiliz</f>
        <v>727161.79370175663</v>
      </c>
      <c r="F84" t="s">
        <v>509</v>
      </c>
      <c r="G84" t="b">
        <f>MAX(E84:E84)=MIN(E84:E84)</f>
        <v>1</v>
      </c>
    </row>
    <row r="85" spans="2:7" ht="11.25">
      <c r="C85" s="2"/>
      <c r="D85" t="s">
        <v>43</v>
      </c>
      <c r="E85" s="779">
        <f>(MAX(0,(finPNLBusAV2Emp1SalaryExp+finPNLBusAV2LoadExp)*paramBusAQualityCostPctCOS-(((finPNLBusAV2Emp3SalaryExp*paramEmp3LoadPctSalary))*0.5))*paramBusALocalPerQualityCost)*capBusARiskUtiliz</f>
        <v>404862.82688824751</v>
      </c>
      <c r="F85" t="s">
        <v>510</v>
      </c>
      <c r="G85" t="b">
        <f>MAX(E85:E85)=MIN(E85:E85)</f>
        <v>1</v>
      </c>
    </row>
    <row r="86" spans="2:7" ht="11.25">
      <c r="C86" s="2"/>
      <c r="D86" t="s">
        <v>44</v>
      </c>
      <c r="E86" s="805">
        <f>(MAX(0,(finPNLBusAV3Emp1SalaryExp+finPNLBusAV3LoadExp)*paramBusAQualityCostPctCOS-(((finPNLBusAV3Emp3SalaryExp*paramEmp3LoadPctSalary))*0.5))*paramBusALocalPerQualityCost)*capBusARiskUtiliz</f>
        <v>138563.97102948694</v>
      </c>
      <c r="F86" t="s">
        <v>511</v>
      </c>
      <c r="G86" t="b">
        <f>MAX(E86:E86)=MIN(E86:E86)</f>
        <v>1</v>
      </c>
    </row>
    <row r="87" spans="2:7" ht="11.25">
      <c r="C87" s="2"/>
      <c r="D87" s="2" t="s">
        <v>1340</v>
      </c>
      <c r="E87" s="780">
        <f>SUM(E84:E86)</f>
        <v>1270588.5916194911</v>
      </c>
      <c r="F87" t="s">
        <v>512</v>
      </c>
      <c r="G87" t="b">
        <f>MAX(E87:E87)=MIN(E87:E87)</f>
        <v>1</v>
      </c>
    </row>
    <row r="88" spans="2:7" ht="11.25">
      <c r="C88" s="2" t="s">
        <v>2151</v>
      </c>
      <c r="G88" t="b">
        <f>MAX(E88:E88)=MIN(E88:E88)</f>
        <v>1</v>
      </c>
    </row>
    <row r="89" spans="2:7" ht="11.25">
      <c r="C89" s="2" t="s">
        <v>42</v>
      </c>
      <c r="E89" s="324">
        <v>2387183.5357865789</v>
      </c>
      <c r="G89" t="b">
        <f>MAX(E89:E89)=MIN(E89:E89)</f>
        <v>1</v>
      </c>
    </row>
    <row r="90" spans="2:7" ht="11.25">
      <c r="C90" t="s">
        <v>5169</v>
      </c>
      <c r="D90">
        <v>4</v>
      </c>
      <c r="E90" s="324">
        <f>IF(capBusAEmp1CompDevTtlHrReq=0,0,capEmp1BusACompDevExp*(capBusAV1Emp1CompDevTtlHrReq/capBusAEmp1CompDevTtlHrReq))*$D90</f>
        <v>0</v>
      </c>
      <c r="F90" t="s">
        <v>3649</v>
      </c>
      <c r="G90" t="b">
        <f>MAX(E90:E90)=MIN(E90:E90)</f>
        <v>1</v>
      </c>
    </row>
    <row r="91" spans="2:7" ht="11.25">
      <c r="C91" t="s">
        <v>4705</v>
      </c>
      <c r="D91">
        <v>4</v>
      </c>
      <c r="E91" s="324">
        <f>IF(capBusAEmp2CompDevTtlHrReq=0,0,capEmp2BusACompDevExp*(capBusAV1Emp2CompDevTtlHrReq/capBusAEmp2CompDevTtlHrReq))*$D91</f>
        <v>0</v>
      </c>
      <c r="F91" t="s">
        <v>3650</v>
      </c>
      <c r="G91" t="b">
        <f>MAX(E91:E91)=MIN(E91:E91)</f>
        <v>1</v>
      </c>
    </row>
    <row r="92" spans="2:7" ht="11.25">
      <c r="C92" t="s">
        <v>4704</v>
      </c>
      <c r="D92">
        <v>4</v>
      </c>
      <c r="E92" s="324">
        <f>IF(capBusAEmp3CompDevTtlHrReq=0,0,capEmp3BusACompDevExp*(capBusAV1Emp3CompDevTtlHrReq/capBusAEmp3CompDevTtlHrReq))*$D$92</f>
        <v>123750.00000000001</v>
      </c>
      <c r="F92" t="s">
        <v>3651</v>
      </c>
      <c r="G92" t="b">
        <f>MAX(E92:E92)=MIN(E92:E92)</f>
        <v>1</v>
      </c>
    </row>
    <row r="93" spans="2:7" ht="11.25">
      <c r="C93" t="s">
        <v>4703</v>
      </c>
      <c r="D93">
        <v>4</v>
      </c>
      <c r="E93" s="331">
        <f>IF(capBusAEmp4CompDevTtlHrReq=0,0,capEmp4BusACompDevExp*(capBusAV1Emp4CompDevTtlHrReq/capBusAEmp4CompDevTtlHrReq))*$D$93</f>
        <v>164999.99999999997</v>
      </c>
      <c r="F93" t="s">
        <v>444</v>
      </c>
      <c r="G93" t="b">
        <f>MAX(E93:E93)=MIN(E93:E93)</f>
        <v>1</v>
      </c>
    </row>
    <row r="94" spans="2:7" ht="11.25">
      <c r="C94" t="s">
        <v>5178</v>
      </c>
      <c r="D94">
        <v>4</v>
      </c>
      <c r="E94" s="331">
        <f>IF(capBusAEmp9CompDevTtlHrReq=0,0,capEmp9BusACompDevExp*(capBusAV1Emp9CompDevTtlHrReq/capBusAEmp9CompDevTtlHrReq))*$D$94</f>
        <v>0</v>
      </c>
      <c r="F94" t="s">
        <v>1697</v>
      </c>
      <c r="G94" t="b">
        <f>MAX(E94:E94)=MIN(E94:E94)</f>
        <v>1</v>
      </c>
    </row>
    <row r="95" spans="2:7" ht="11.25">
      <c r="C95" s="3" t="s">
        <v>1734</v>
      </c>
      <c r="D95">
        <v>4</v>
      </c>
      <c r="E95" s="331">
        <f>IF(capBusAEmp8CompDevTtlHrReq=0,0,capEmp8BusACompDevExp*(capBusAV1Emp8CompDevTtlHrReq/capBusAEmp8CompDevTtlHrReq))*$D$95</f>
        <v>0</v>
      </c>
      <c r="F95" t="s">
        <v>4459</v>
      </c>
      <c r="G95" t="b">
        <f>MAX(E95:E95)=MIN(E95:E95)</f>
        <v>1</v>
      </c>
    </row>
    <row r="96" spans="2:7" ht="11.25">
      <c r="C96" s="3" t="s">
        <v>1735</v>
      </c>
      <c r="D96">
        <v>4</v>
      </c>
      <c r="E96" s="401">
        <f>IF(capBusAEmp7CompDevTtlHrReq=0,0,capEmp7BusACompDevExp*(capBusAV1Emp7CompDevTtlHrReq/capBusAEmp7CompDevTtlHrReq))*$D$96</f>
        <v>0</v>
      </c>
      <c r="F96" t="s">
        <v>4458</v>
      </c>
      <c r="G96" t="b">
        <f>MAX(E96:E96)=MIN(E96:E96)</f>
        <v>1</v>
      </c>
    </row>
    <row r="97" spans="3:7" ht="11.25">
      <c r="C97" t="s">
        <v>2355</v>
      </c>
      <c r="E97" s="399">
        <f>SUM(E90:E96)</f>
        <v>288750</v>
      </c>
      <c r="F97" t="s">
        <v>2978</v>
      </c>
      <c r="G97" t="b">
        <f>MAX(E97:E97)=MIN(E97:E97)</f>
        <v>1</v>
      </c>
    </row>
    <row r="98" spans="3:7" ht="11.25">
      <c r="C98" s="2" t="s">
        <v>43</v>
      </c>
      <c r="G98" t="b">
        <f>MAX(E98:E98)=MIN(E98:E98)</f>
        <v>1</v>
      </c>
    </row>
    <row r="99" spans="3:7" ht="11.25">
      <c r="C99" t="s">
        <v>5169</v>
      </c>
      <c r="D99">
        <v>4</v>
      </c>
      <c r="E99" s="324">
        <f>IF(capBusAEmp1CompDevTtlHrReq=0,0,capEmp1BusACompDevExp*(capBusAV2Emp1CompDevTtlHrReq/capBusAEmp1CompDevTtlHrReq))*$D$99</f>
        <v>0</v>
      </c>
      <c r="F99" t="s">
        <v>4365</v>
      </c>
      <c r="G99" t="b">
        <f>MAX(E99:E99)=MIN(E99:E99)</f>
        <v>1</v>
      </c>
    </row>
    <row r="100" spans="3:7" ht="11.25">
      <c r="C100" t="s">
        <v>4705</v>
      </c>
      <c r="D100">
        <v>4</v>
      </c>
      <c r="E100" s="324">
        <f>IF(capBusAEmp2CompDevTtlHrReq=0,0,capEmp2BusACompDevExp*(capBusAV2Emp2CompDevTtlHrReq/capBusAEmp2CompDevTtlHrReq))*$D$100</f>
        <v>0</v>
      </c>
      <c r="F100" t="s">
        <v>4366</v>
      </c>
      <c r="G100" t="b">
        <f>MAX(E100:E100)=MIN(E100:E100)</f>
        <v>1</v>
      </c>
    </row>
    <row r="101" spans="3:7" ht="11.25">
      <c r="C101" t="s">
        <v>4704</v>
      </c>
      <c r="D101">
        <v>4</v>
      </c>
      <c r="E101" s="324">
        <f>IF(capBusAEmp3CompDevTtlHrReq=0,0,capEmp3BusACompDevExp*(capBusAV2Emp3CompDevTtlHrReq/capBusAEmp3CompDevTtlHrReq))*$D$101</f>
        <v>272250.00000000006</v>
      </c>
      <c r="F101" t="s">
        <v>4367</v>
      </c>
      <c r="G101" t="b">
        <f>MAX(E101:E101)=MIN(E101:E101)</f>
        <v>1</v>
      </c>
    </row>
    <row r="102" spans="3:7" ht="11.25">
      <c r="C102" t="s">
        <v>4703</v>
      </c>
      <c r="D102">
        <v>4</v>
      </c>
      <c r="E102" s="331">
        <f>IF(capBusAEmp4CompDevTtlHrReq=0,0,capEmp4BusACompDevExp*(capBusAV2Emp4CompDevTtlHrReq/capBusAEmp4CompDevTtlHrReq))*$D$102</f>
        <v>363000</v>
      </c>
      <c r="F102" t="s">
        <v>2777</v>
      </c>
      <c r="G102" t="b">
        <f>MAX(E102:E102)=MIN(E102:E102)</f>
        <v>1</v>
      </c>
    </row>
    <row r="103" spans="3:7" ht="11.25">
      <c r="C103" t="s">
        <v>5178</v>
      </c>
      <c r="D103">
        <v>4</v>
      </c>
      <c r="E103" s="331">
        <f>IF(capBusAEmp9CompDevTtlHrReq=0,0,capEmp9BusACompDevExp*(capBusAV2Emp9CompDevTtlHrReq/capBusAEmp9CompDevTtlHrReq))*$D$103</f>
        <v>0</v>
      </c>
      <c r="F103" t="s">
        <v>3422</v>
      </c>
      <c r="G103" t="b">
        <f>MAX(E103:E103)=MIN(E103:E103)</f>
        <v>1</v>
      </c>
    </row>
    <row r="104" spans="3:7" ht="11.25">
      <c r="C104" s="3"/>
      <c r="E104" s="331"/>
      <c r="F104" t="s">
        <v>3423</v>
      </c>
      <c r="G104" t="b">
        <f>MAX(E104:E104)=MIN(E104:E104)</f>
        <v>1</v>
      </c>
    </row>
    <row r="105" spans="3:7" ht="11.25">
      <c r="C105" s="3"/>
      <c r="E105" s="401"/>
      <c r="F105" t="s">
        <v>3424</v>
      </c>
      <c r="G105" t="b">
        <f>MAX(E105:E105)=MIN(E105:E105)</f>
        <v>1</v>
      </c>
    </row>
    <row r="106" spans="3:7" ht="11.25">
      <c r="C106" t="s">
        <v>2356</v>
      </c>
      <c r="E106" s="399">
        <f>SUM(E99:E105)</f>
        <v>635250</v>
      </c>
      <c r="F106" t="s">
        <v>1686</v>
      </c>
      <c r="G106" t="b">
        <f>MAX(E106:E106)=MIN(E106:E106)</f>
        <v>1</v>
      </c>
    </row>
    <row r="107" spans="3:7" ht="11.25">
      <c r="C107" s="2" t="s">
        <v>44</v>
      </c>
      <c r="G107" t="b">
        <f>MAX(E107:E107)=MIN(E107:E107)</f>
        <v>1</v>
      </c>
    </row>
    <row r="108" spans="3:7" ht="11.25">
      <c r="C108" t="s">
        <v>5169</v>
      </c>
      <c r="D108">
        <v>4</v>
      </c>
      <c r="E108" s="324">
        <f>IF(capBusAEmp1CompDevTtlHrReq=0,0,capEmp1BusACompDevExp*(capBusAV3Emp1CompDevTtlHrReq/capBusAEmp1CompDevTtlHrReq))*$D$108</f>
        <v>0</v>
      </c>
      <c r="F108" t="s">
        <v>2778</v>
      </c>
      <c r="G108" t="b">
        <f>MAX(E108:E108)=MIN(E108:E108)</f>
        <v>1</v>
      </c>
    </row>
    <row r="109" spans="3:7" ht="11.25">
      <c r="C109" t="s">
        <v>4705</v>
      </c>
      <c r="D109">
        <v>4</v>
      </c>
      <c r="E109" s="324">
        <f>IF(capBusAEmp2CompDevTtlHrReq=0,0,capEmp2BusACompDevExp*(capBusAV3Emp2CompDevTtlHrReq/capBusAEmp2CompDevTtlHrReq))*$D$109</f>
        <v>0</v>
      </c>
      <c r="F109" t="s">
        <v>1234</v>
      </c>
      <c r="G109" t="b">
        <f>MAX(E109:E109)=MIN(E109:E109)</f>
        <v>1</v>
      </c>
    </row>
    <row r="110" spans="3:7" ht="11.25">
      <c r="C110" t="s">
        <v>4704</v>
      </c>
      <c r="D110">
        <v>4</v>
      </c>
      <c r="E110" s="324">
        <f>IF(capBusAEmp3CompDevTtlHrReq=0,0,capEmp3BusACompDevExp*(capBusAV3Emp3CompDevTtlHrReq/capBusAEmp3CompDevTtlHrReq))*$D$110</f>
        <v>0</v>
      </c>
      <c r="F110" t="s">
        <v>1235</v>
      </c>
      <c r="G110" t="b">
        <f>MAX(E110:E110)=MIN(E110:E110)</f>
        <v>1</v>
      </c>
    </row>
    <row r="111" spans="3:7" ht="11.25">
      <c r="C111" t="s">
        <v>4703</v>
      </c>
      <c r="D111">
        <v>4</v>
      </c>
      <c r="E111" s="331">
        <f>IF(capBusAEmp4CompDevTtlHrReq=0,0,capEmp4BusACompDevExp*(capBusAV3Emp4CompDevTtlHrReq/capBusAEmp4CompDevTtlHrReq))*$D$111</f>
        <v>0</v>
      </c>
      <c r="F111" t="s">
        <v>1236</v>
      </c>
      <c r="G111" t="b">
        <f>MAX(E111:E111)=MIN(E111:E111)</f>
        <v>1</v>
      </c>
    </row>
    <row r="112" spans="3:7" ht="11.25">
      <c r="C112" t="s">
        <v>5178</v>
      </c>
      <c r="D112">
        <v>4</v>
      </c>
      <c r="E112" s="331">
        <f>IF(capBusAEmp9CompDevTtlHrReq=0,0,capEmp9BusACompDevExp*(capBusAV3Emp9CompDevTtlHrReq/capBusAEmp9CompDevTtlHrReq))*$D$112</f>
        <v>0</v>
      </c>
      <c r="F112" t="s">
        <v>3425</v>
      </c>
      <c r="G112" t="b">
        <f>MAX(E112:E112)=MIN(E112:E112)</f>
        <v>1</v>
      </c>
    </row>
    <row r="113" spans="3:7" ht="11.25">
      <c r="C113" s="3"/>
      <c r="E113" s="331"/>
      <c r="F113" t="s">
        <v>1695</v>
      </c>
      <c r="G113" t="b">
        <f>MAX(E113:E113)=MIN(E113:E113)</f>
        <v>1</v>
      </c>
    </row>
    <row r="114" spans="3:7" ht="11.25">
      <c r="C114" s="3"/>
      <c r="E114" s="401"/>
      <c r="F114" t="s">
        <v>1696</v>
      </c>
      <c r="G114" t="b">
        <f>MAX(E114:E114)=MIN(E114:E114)</f>
        <v>1</v>
      </c>
    </row>
    <row r="115" spans="3:7" ht="11.25">
      <c r="C115" t="s">
        <v>2357</v>
      </c>
      <c r="E115" s="399">
        <f>SUM(E108:E114)</f>
        <v>0</v>
      </c>
      <c r="F115" t="s">
        <v>1687</v>
      </c>
      <c r="G115" t="b">
        <f>MAX(E115:E115)=MIN(E115:E115)</f>
        <v>1</v>
      </c>
    </row>
    <row r="116" spans="3:7" ht="11.25">
      <c r="E116" s="399"/>
      <c r="G116" t="b">
        <f>MAX(E116:E116)=MIN(E116:E116)</f>
        <v>1</v>
      </c>
    </row>
    <row r="117" spans="3:7" ht="11.25">
      <c r="C117" s="2" t="str">
        <f>DataNameProd1 &amp; " Recruit/ Dismisall Expense"</f>
        <v>Consulting Recruit/ Dismisall Expense</v>
      </c>
      <c r="D117" s="3"/>
      <c r="G117" t="b">
        <f>MAX(E117:E117)=MIN(E117:E117)</f>
        <v>1</v>
      </c>
    </row>
    <row r="118" spans="3:7" ht="11.25">
      <c r="C118" s="3"/>
      <c r="D118" t="s">
        <v>5169</v>
      </c>
      <c r="E118" s="331">
        <f>capEmp1BusARecDismExp</f>
        <v>0</v>
      </c>
      <c r="G118" t="b">
        <f>MAX(E118:E118)=MIN(E118:E118)</f>
        <v>1</v>
      </c>
    </row>
    <row r="119" spans="3:7" ht="11.25">
      <c r="C119" s="3"/>
      <c r="D119" t="s">
        <v>4705</v>
      </c>
      <c r="E119" s="331">
        <f>capEmp2BusARecDismExp</f>
        <v>11950000</v>
      </c>
      <c r="G119" t="b">
        <f>MAX(E119:E119)=MIN(E119:E119)</f>
        <v>1</v>
      </c>
    </row>
    <row r="120" spans="3:7" ht="11.25">
      <c r="C120" s="3"/>
      <c r="D120" t="s">
        <v>4704</v>
      </c>
      <c r="E120" s="331">
        <f>capEmp3BusARecDismExp</f>
        <v>8295000</v>
      </c>
      <c r="G120" t="b">
        <f>MAX(E120:E120)=MIN(E120:E120)</f>
        <v>1</v>
      </c>
    </row>
    <row r="121" spans="3:7" ht="11.25">
      <c r="C121" s="3"/>
      <c r="D121" t="s">
        <v>4703</v>
      </c>
      <c r="E121" s="331">
        <f>capEmp4BusARecDismExp</f>
        <v>2835000</v>
      </c>
      <c r="G121" t="b">
        <f>MAX(E121:E121)=MIN(E121:E121)</f>
        <v>1</v>
      </c>
    </row>
    <row r="122" spans="3:7" ht="11.25">
      <c r="C122" s="3"/>
      <c r="D122" t="s">
        <v>5178</v>
      </c>
      <c r="E122" s="402">
        <f>capEmp9BusARecDismExp</f>
        <v>1995000</v>
      </c>
      <c r="F122" t="s">
        <v>3429</v>
      </c>
      <c r="G122" t="b">
        <f>MAX(E122:E122)=MIN(E122:E122)</f>
        <v>1</v>
      </c>
    </row>
    <row r="123" spans="3:7" ht="11.25">
      <c r="C123" s="3"/>
      <c r="D123" s="3"/>
      <c r="E123" s="402"/>
      <c r="F123" t="s">
        <v>3430</v>
      </c>
      <c r="G123" t="b">
        <f>MAX(E123:E123)=MIN(E123:E123)</f>
        <v>1</v>
      </c>
    </row>
    <row r="124" spans="3:7" ht="11.25">
      <c r="C124" s="3"/>
      <c r="D124" s="3"/>
      <c r="E124" s="400"/>
      <c r="F124" t="s">
        <v>3431</v>
      </c>
      <c r="G124" t="b">
        <f>MAX(E124:E124)=MIN(E124:E124)</f>
        <v>1</v>
      </c>
    </row>
    <row r="125" spans="3:7" ht="11.25">
      <c r="D125" t="s">
        <v>1340</v>
      </c>
      <c r="E125" s="396">
        <f>SUM(E118:E124)</f>
        <v>25075000</v>
      </c>
      <c r="F125" t="s">
        <v>985</v>
      </c>
      <c r="G125" t="b">
        <f>MAX(E125:E125)=MIN(E125:E125)</f>
        <v>1</v>
      </c>
    </row>
    <row r="126" spans="3:7" ht="11.25">
      <c r="D126" s="403" t="s">
        <v>42</v>
      </c>
      <c r="E126" s="399">
        <f>finPNLBusAEmpRecDismExp*finPNLBusAV1OverheadPctAlloc</f>
        <v>14686858.582729083</v>
      </c>
      <c r="F126" t="s">
        <v>558</v>
      </c>
      <c r="G126" t="b">
        <f>MAX(E126:E126)=MIN(E126:E126)</f>
        <v>1</v>
      </c>
    </row>
    <row r="127" spans="3:7" ht="11.25">
      <c r="D127" s="403" t="s">
        <v>43</v>
      </c>
      <c r="E127" s="399">
        <f>finPNLBusAEmpRecDismExp*finPNLBusAV2OverheadPctAlloc</f>
        <v>7453016.3228861922</v>
      </c>
      <c r="F127" t="s">
        <v>559</v>
      </c>
      <c r="G127" t="b">
        <f>MAX(E127:E127)=MIN(E127:E127)</f>
        <v>1</v>
      </c>
    </row>
    <row r="128" spans="3:7" ht="11.25">
      <c r="D128" s="403" t="s">
        <v>44</v>
      </c>
      <c r="E128" s="399">
        <f>finPNLBusAEmpRecDismExp*finPNLBusAV3OverheadPctAlloc</f>
        <v>2935125.0943847247</v>
      </c>
      <c r="F128" t="s">
        <v>560</v>
      </c>
      <c r="G128" t="b">
        <f>MAX(E128:E128)=MIN(E128:E128)</f>
        <v>1</v>
      </c>
    </row>
    <row r="129" spans="2:7" ht="11.25">
      <c r="D129" s="403"/>
      <c r="E129" s="399"/>
      <c r="G129" t="b">
        <f>MAX(E129:E129)=MIN(E129:E129)</f>
        <v>1</v>
      </c>
    </row>
    <row r="130" spans="2:7" ht="11.25">
      <c r="C130" s="2" t="s">
        <v>408</v>
      </c>
      <c r="D130" s="403"/>
      <c r="E130" s="396">
        <f>finPNLTotalEntWFExp</f>
        <v>6260318.7282498181</v>
      </c>
      <c r="F130" t="s">
        <v>4476</v>
      </c>
      <c r="G130" t="b">
        <f>MAX(E130:E130)=MIN(E130:E130)</f>
        <v>1</v>
      </c>
    </row>
    <row r="131" spans="2:7" ht="11.25">
      <c r="C131" s="2"/>
      <c r="D131" s="403" t="s">
        <v>42</v>
      </c>
      <c r="E131" s="399">
        <f>finPNLBusAEntSvcsTtlExpAlloc*finPNLBusAV1OverheadPctAlloc</f>
        <v>3666776.304870008</v>
      </c>
      <c r="F131" t="s">
        <v>3841</v>
      </c>
      <c r="G131" t="b">
        <f>MAX(E131:E131)=MIN(E131:E131)</f>
        <v>1</v>
      </c>
    </row>
    <row r="132" spans="2:7" ht="11.25">
      <c r="C132" s="2"/>
      <c r="D132" s="403" t="s">
        <v>43</v>
      </c>
      <c r="E132" s="399">
        <f>finPNLBusAEntSvcsTtlExpAlloc*finPNLBusAV2OverheadPctAlloc</f>
        <v>1860748.0625370299</v>
      </c>
      <c r="F132" t="s">
        <v>3842</v>
      </c>
      <c r="G132" t="b">
        <f>MAX(E132:E132)=MIN(E132:E132)</f>
        <v>1</v>
      </c>
    </row>
    <row r="133" spans="2:7" ht="11.25">
      <c r="C133" s="2"/>
      <c r="D133" s="403" t="s">
        <v>44</v>
      </c>
      <c r="E133" s="399">
        <f>finPNLBusAEntSvcsTtlExpAlloc*finPNLBusAV3OverheadPctAlloc</f>
        <v>732794.36084277998</v>
      </c>
      <c r="F133" t="s">
        <v>3843</v>
      </c>
      <c r="G133" t="b">
        <f>MAX(E133:E133)=MIN(E133:E133)</f>
        <v>1</v>
      </c>
    </row>
    <row r="134" spans="2:7" ht="11.25">
      <c r="B134" s="2" t="s">
        <v>3546</v>
      </c>
      <c r="C134" s="3"/>
      <c r="D134" s="3"/>
      <c r="E134" s="399"/>
      <c r="G134" t="b">
        <f>MAX(E134:E134)=MIN(E134:E134)</f>
        <v>1</v>
      </c>
    </row>
    <row r="135" spans="2:7" ht="11.25">
      <c r="C135" s="3" t="s">
        <v>3781</v>
      </c>
      <c r="D135" s="2"/>
      <c r="E135" s="399">
        <f>finPNLProd1V1Rev-finPNLBusAV1TotalSalaryExp-finPNLBusAV1CompDevTimeExp-finPNLBusAV1EmpRecDismExp-finPNLBusAV1GlobalSalaryExp-finPNLBusAV1QualityCost-finPNLBusAEntSvcsV1ExpAlloc</f>
        <v>61216466.306126758</v>
      </c>
      <c r="F135" t="s">
        <v>2862</v>
      </c>
      <c r="G135" t="b">
        <f>MAX(E135:E135)=MIN(E135:E135)</f>
        <v>1</v>
      </c>
    </row>
    <row r="136" spans="2:7" ht="11.25">
      <c r="C136" s="3" t="s">
        <v>3782</v>
      </c>
      <c r="D136" s="2"/>
      <c r="E136" s="399">
        <f>finPNLProd1V2Rev-finPNLBusAV2TotalSalaryExp-finPNLBusAV2CompDevTimeExp-finPNLBusAV2EmpRecDismExp-finPNLBusAV2GlobalSalaryExp-finPNLBusAV2QualityCost-finPNLBusAEntSvcsV2ExpAlloc</f>
        <v>30891894.364955835</v>
      </c>
      <c r="F136" t="s">
        <v>2863</v>
      </c>
      <c r="G136" t="b">
        <f>MAX(E136:E136)=MIN(E136:E136)</f>
        <v>1</v>
      </c>
    </row>
    <row r="137" spans="2:7" ht="11.25">
      <c r="C137" s="3" t="s">
        <v>3783</v>
      </c>
      <c r="D137" s="2"/>
      <c r="E137" s="400">
        <f>finPNLProd1V3Rev-finPNLBusAV3TotalSalaryExp-finPNLBusAV3CompDevTimeExp-finPNLBusAV3EmpRecDismExp-finPNLBusAV3GlobalSalaryExp-finPNLBusAV3QualityCost-finPNLBusAEntSvcsV3ExpAlloc</f>
        <v>12271049.779339841</v>
      </c>
      <c r="F137" t="s">
        <v>2864</v>
      </c>
      <c r="G137" t="b">
        <f>MAX(E137:E137)=MIN(E137:E137)</f>
        <v>1</v>
      </c>
    </row>
    <row r="138" spans="2:7" ht="11.25">
      <c r="C138" t="s">
        <v>1340</v>
      </c>
      <c r="D138" s="2"/>
      <c r="E138" s="396">
        <f>SUM(E135:E137)</f>
        <v>104379410.45042242</v>
      </c>
      <c r="F138" t="s">
        <v>2865</v>
      </c>
      <c r="G138" t="b">
        <f>MAX(E138:E138)=MIN(E138:E138)</f>
        <v>1</v>
      </c>
    </row>
    <row r="139" spans="2:7" ht="11.25">
      <c r="D139" s="2"/>
      <c r="E139" s="396"/>
      <c r="G139" t="b">
        <f>MAX(E139:E139)=MIN(E139:E139)</f>
        <v>1</v>
      </c>
    </row>
    <row r="140" spans="2:7" ht="11.25">
      <c r="B140" s="2" t="s">
        <v>99</v>
      </c>
      <c r="C140" s="3"/>
      <c r="D140" s="3"/>
      <c r="E140" s="399"/>
      <c r="G140" t="b">
        <f>MAX(E140:E140)=MIN(E140:E140)</f>
        <v>1</v>
      </c>
    </row>
    <row r="141" spans="2:7" ht="11.25">
      <c r="C141" s="3" t="s">
        <v>3781</v>
      </c>
      <c r="D141" s="2"/>
      <c r="E141" s="399">
        <f>finPNLProd1V1Rev-finPNLBusAV1TotalSalaryExp-finPNLBusAV1LoadExp-finPNLBusAV1GlobalSalaryExp</f>
        <v>77442425.313934505</v>
      </c>
      <c r="F141" t="s">
        <v>3693</v>
      </c>
      <c r="G141" t="b">
        <f>MAX(E141:E141)=MIN(E141:E141)</f>
        <v>1</v>
      </c>
    </row>
    <row r="142" spans="2:7" ht="11.25">
      <c r="C142" s="3" t="s">
        <v>3782</v>
      </c>
      <c r="D142" s="2"/>
      <c r="E142" s="399">
        <f>finPNLProd1V2Rev-finPNLBusAV2TotalSalaryExp-finPNLBusAV2LoadExp-finPNLBusAV2GlobalSalaryExp</f>
        <v>39299054.777267307</v>
      </c>
      <c r="F142" t="s">
        <v>3694</v>
      </c>
      <c r="G142" t="b">
        <f>MAX(E142:E142)=MIN(E142:E142)</f>
        <v>1</v>
      </c>
    </row>
    <row r="143" spans="2:7" ht="11.25">
      <c r="C143" s="3" t="s">
        <v>3783</v>
      </c>
      <c r="D143" s="2"/>
      <c r="E143" s="400">
        <f>finPNLProd1V3Rev-finPNLBusAV3TotalSalaryExp-finPNLBusAV3LoadExp-finPNLBusAV3GlobalSalaryExp</f>
        <v>15476638.835226461</v>
      </c>
      <c r="F143" t="s">
        <v>3695</v>
      </c>
      <c r="G143" t="b">
        <f>MAX(E143:E143)=MIN(E143:E143)</f>
        <v>1</v>
      </c>
    </row>
    <row r="144" spans="2:7" ht="11.25">
      <c r="C144" t="s">
        <v>1340</v>
      </c>
      <c r="D144" s="2"/>
      <c r="E144" s="396">
        <f>SUM(E141:E143)</f>
        <v>132218118.92642827</v>
      </c>
      <c r="F144" t="s">
        <v>3696</v>
      </c>
      <c r="G144" t="b">
        <f>MAX(E144:E144)=MIN(E144:E144)</f>
        <v>1</v>
      </c>
    </row>
    <row r="145" spans="1:7" ht="11.25">
      <c r="D145" s="2"/>
      <c r="E145" s="396"/>
      <c r="G145" t="b">
        <f>MAX(E145:E145)=MIN(E145:E145)</f>
        <v>1</v>
      </c>
    </row>
    <row r="146" spans="1:7" ht="11.25">
      <c r="B146" s="2" t="s">
        <v>2750</v>
      </c>
      <c r="D146" s="2"/>
      <c r="E146" s="396"/>
      <c r="G146" t="b">
        <f>MAX(E146:E146)=MIN(E146:E146)</f>
        <v>1</v>
      </c>
    </row>
    <row r="147" spans="1:7" ht="11.25">
      <c r="C147" t="s">
        <v>42</v>
      </c>
      <c r="D147" s="2"/>
      <c r="E147" s="314">
        <f>E141/E$144</f>
        <v>0.58571719173396142</v>
      </c>
      <c r="F147" t="s">
        <v>2866</v>
      </c>
      <c r="G147" t="b">
        <f>MAX(E147:E147)=MIN(E147:E147)</f>
        <v>1</v>
      </c>
    </row>
    <row r="148" spans="1:7" ht="11.25">
      <c r="C148" t="s">
        <v>43</v>
      </c>
      <c r="D148" s="2"/>
      <c r="E148" s="314">
        <f t="shared" ref="E148:E149" si="0">E142/E$144</f>
        <v>0.29722896601739551</v>
      </c>
      <c r="F148" t="s">
        <v>2867</v>
      </c>
      <c r="G148" t="b">
        <f>MAX(E148:E148)=MIN(E148:E148)</f>
        <v>1</v>
      </c>
    </row>
    <row r="149" spans="1:7" ht="11.25">
      <c r="C149" t="s">
        <v>44</v>
      </c>
      <c r="D149" s="2"/>
      <c r="E149" s="314">
        <f t="shared" si="0"/>
        <v>0.11705384224864306</v>
      </c>
      <c r="F149" t="s">
        <v>2868</v>
      </c>
      <c r="G149" t="b">
        <f>MAX(E149:E149)=MIN(E149:E149)</f>
        <v>1</v>
      </c>
    </row>
    <row r="150" spans="1:7" ht="11.25">
      <c r="D150" s="2"/>
      <c r="E150" s="396"/>
      <c r="G150" t="b">
        <f>MAX(E150:E150)=MIN(E150:E150)</f>
        <v>1</v>
      </c>
    </row>
    <row r="151" spans="1:7">
      <c r="A151" s="19"/>
      <c r="B151" s="2" t="s">
        <v>4493</v>
      </c>
      <c r="C151" s="3"/>
      <c r="D151" s="3"/>
      <c r="E151" s="399"/>
      <c r="G151" t="b">
        <f>MAX(E151:E151)=MIN(E151:E151)</f>
        <v>1</v>
      </c>
    </row>
    <row r="152" spans="1:7" ht="11.25">
      <c r="C152" s="3" t="str">
        <f>DataNameProd1 &amp; " Sales Salary Expense"</f>
        <v>Consulting Sales Salary Expense</v>
      </c>
      <c r="D152" s="3"/>
      <c r="E152" s="399"/>
      <c r="G152" t="b">
        <f>MAX(E152:E152)=MIN(E152:E152)</f>
        <v>1</v>
      </c>
    </row>
    <row r="153" spans="1:7" ht="11.25">
      <c r="C153" s="3"/>
      <c r="D153" s="2" t="s">
        <v>42</v>
      </c>
      <c r="E153" s="399"/>
      <c r="G153" t="b">
        <f>MAX(E153:E153)=MIN(E153:E153)</f>
        <v>1</v>
      </c>
    </row>
    <row r="154" spans="1:7" ht="11.25">
      <c r="C154" s="3"/>
      <c r="D154" t="s">
        <v>941</v>
      </c>
      <c r="F154" t="s">
        <v>3821</v>
      </c>
      <c r="G154" t="b">
        <f>MAX(E154:E154)=MIN(E154:E154)</f>
        <v>1</v>
      </c>
    </row>
    <row r="155" spans="1:7" ht="11.25">
      <c r="C155" s="3"/>
      <c r="D155" t="s">
        <v>940</v>
      </c>
      <c r="F155" t="s">
        <v>3826</v>
      </c>
      <c r="G155" t="b">
        <f>MAX(E155:E155)=MIN(E155:E155)</f>
        <v>1</v>
      </c>
    </row>
    <row r="156" spans="1:7" ht="11.25">
      <c r="C156" s="3"/>
      <c r="D156" t="s">
        <v>939</v>
      </c>
      <c r="F156" t="s">
        <v>3825</v>
      </c>
      <c r="G156" t="b">
        <f>MAX(E156:E156)=MIN(E156:E156)</f>
        <v>1</v>
      </c>
    </row>
    <row r="157" spans="1:7" ht="11.25">
      <c r="C157" s="3"/>
      <c r="D157" t="s">
        <v>2757</v>
      </c>
      <c r="E157" s="331"/>
      <c r="F157" t="s">
        <v>3824</v>
      </c>
      <c r="G157" t="b">
        <f>MAX(E157:E157)=MIN(E157:E157)</f>
        <v>1</v>
      </c>
    </row>
    <row r="158" spans="1:7" ht="11.25">
      <c r="C158" s="3"/>
      <c r="D158" s="3" t="s">
        <v>1733</v>
      </c>
      <c r="E158" s="331"/>
      <c r="F158" t="s">
        <v>3737</v>
      </c>
      <c r="G158" t="b">
        <f>MAX(E158:E158)=MIN(E158:E158)</f>
        <v>1</v>
      </c>
    </row>
    <row r="159" spans="1:7" ht="11.25">
      <c r="C159" s="3"/>
      <c r="D159" s="3" t="s">
        <v>1734</v>
      </c>
      <c r="E159" s="331"/>
      <c r="F159" t="s">
        <v>3738</v>
      </c>
      <c r="G159" t="b">
        <f>MAX(E159:E159)=MIN(E159:E159)</f>
        <v>1</v>
      </c>
    </row>
    <row r="160" spans="1:7" ht="11.25">
      <c r="C160" s="3"/>
      <c r="D160" s="3" t="s">
        <v>1735</v>
      </c>
      <c r="E160" s="331"/>
      <c r="F160" t="s">
        <v>3739</v>
      </c>
      <c r="G160" t="b">
        <f>MAX(E160:E160)=MIN(E160:E160)</f>
        <v>1</v>
      </c>
    </row>
    <row r="161" spans="3:7" ht="11.25">
      <c r="C161" s="3"/>
      <c r="D161" s="700" t="s">
        <v>4911</v>
      </c>
      <c r="E161">
        <f>finEmp6TrainingTimeExp/3</f>
        <v>4999.9999999999991</v>
      </c>
      <c r="F161" s="700" t="s">
        <v>4914</v>
      </c>
      <c r="G161" t="b">
        <f>MAX(E161:E161)=MIN(E161:E161)</f>
        <v>1</v>
      </c>
    </row>
    <row r="162" spans="3:7" ht="11.25">
      <c r="C162" s="3"/>
      <c r="D162" s="700" t="s">
        <v>4912</v>
      </c>
      <c r="E162" s="331">
        <f>finEmp6AdminExp/3</f>
        <v>425000</v>
      </c>
      <c r="F162" s="1029" t="s">
        <v>4915</v>
      </c>
      <c r="G162" t="b">
        <f>MAX(E162:E162)=MIN(E162:E162)</f>
        <v>1</v>
      </c>
    </row>
    <row r="163" spans="3:7" ht="11.25">
      <c r="C163" s="3"/>
      <c r="D163" s="700" t="s">
        <v>4913</v>
      </c>
      <c r="E163" s="331">
        <f>finEmp6RecDismExp/3</f>
        <v>8458333.333333334</v>
      </c>
      <c r="F163" s="1029" t="s">
        <v>4916</v>
      </c>
      <c r="G163" t="b">
        <f>MAX(E163:E163)=MIN(E163:E163)</f>
        <v>1</v>
      </c>
    </row>
    <row r="164" spans="3:7" ht="11.25">
      <c r="C164" s="3"/>
      <c r="D164" t="s">
        <v>3054</v>
      </c>
      <c r="E164" s="401">
        <f>(finEmp6SalesSupportExp)*(decEntSvcsSalesSupportLevelPrac1/(decEntSvcsSalesSupportLevelPrac1+decEntSvcsSalesSupportLevelPrac2+decEntSvcsSalesSupportLevelPrac3))</f>
        <v>15793533.837270707</v>
      </c>
      <c r="G164" t="b">
        <f>MAX(E164:E164)=MIN(E164:E164)</f>
        <v>1</v>
      </c>
    </row>
    <row r="165" spans="3:7" ht="11.25">
      <c r="C165" s="3"/>
      <c r="D165" t="s">
        <v>2355</v>
      </c>
      <c r="E165" s="399">
        <f>SUM(E154:E164)</f>
        <v>24681867.170604043</v>
      </c>
      <c r="F165" t="s">
        <v>2093</v>
      </c>
      <c r="G165" t="b">
        <f>MAX(E165:E165)=MIN(E165:E165)</f>
        <v>1</v>
      </c>
    </row>
    <row r="166" spans="3:7" ht="11.25">
      <c r="C166" s="3"/>
      <c r="D166" s="2" t="s">
        <v>43</v>
      </c>
      <c r="E166" s="399"/>
      <c r="G166" t="b">
        <f>MAX(E166:E166)=MIN(E166:E166)</f>
        <v>1</v>
      </c>
    </row>
    <row r="167" spans="3:7" ht="11.25">
      <c r="C167" s="3"/>
      <c r="D167" t="s">
        <v>941</v>
      </c>
      <c r="F167" t="s">
        <v>3823</v>
      </c>
      <c r="G167" t="b">
        <f>MAX(E167:E167)=MIN(E167:E167)</f>
        <v>1</v>
      </c>
    </row>
    <row r="168" spans="3:7" ht="11.25">
      <c r="C168" s="3"/>
      <c r="D168" t="s">
        <v>940</v>
      </c>
      <c r="F168" t="s">
        <v>3829</v>
      </c>
      <c r="G168" t="b">
        <f>MAX(E168:E168)=MIN(E168:E168)</f>
        <v>1</v>
      </c>
    </row>
    <row r="169" spans="3:7" ht="11.25">
      <c r="C169" s="3"/>
      <c r="D169" t="s">
        <v>939</v>
      </c>
      <c r="F169" t="s">
        <v>3828</v>
      </c>
      <c r="G169" t="b">
        <f>MAX(E169:E169)=MIN(E169:E169)</f>
        <v>1</v>
      </c>
    </row>
    <row r="170" spans="3:7" ht="11.25">
      <c r="C170" s="3"/>
      <c r="D170" t="s">
        <v>2757</v>
      </c>
      <c r="E170" s="331"/>
      <c r="F170" t="s">
        <v>3827</v>
      </c>
      <c r="G170" t="b">
        <f>MAX(E170:E170)=MIN(E170:E170)</f>
        <v>1</v>
      </c>
    </row>
    <row r="171" spans="3:7" ht="11.25">
      <c r="C171" s="3"/>
      <c r="D171" s="3" t="s">
        <v>1733</v>
      </c>
      <c r="E171" s="331"/>
      <c r="F171" t="s">
        <v>3740</v>
      </c>
      <c r="G171" t="b">
        <f>MAX(E171:E171)=MIN(E171:E171)</f>
        <v>1</v>
      </c>
    </row>
    <row r="172" spans="3:7" ht="11.25">
      <c r="C172" s="3"/>
      <c r="D172" s="3" t="s">
        <v>1734</v>
      </c>
      <c r="E172" s="331"/>
      <c r="F172" t="s">
        <v>3741</v>
      </c>
      <c r="G172" t="b">
        <f>MAX(E172:E172)=MIN(E172:E172)</f>
        <v>1</v>
      </c>
    </row>
    <row r="173" spans="3:7" ht="11.25">
      <c r="C173" s="3"/>
      <c r="D173" s="3" t="s">
        <v>1735</v>
      </c>
      <c r="E173" s="331"/>
      <c r="F173" t="s">
        <v>3742</v>
      </c>
      <c r="G173" t="b">
        <f>MAX(E173:E173)=MIN(E173:E173)</f>
        <v>1</v>
      </c>
    </row>
    <row r="174" spans="3:7" ht="11.25">
      <c r="C174" s="3"/>
      <c r="D174" s="700" t="s">
        <v>4911</v>
      </c>
      <c r="E174">
        <f>finEmp6TrainingTimeExp/3</f>
        <v>4999.9999999999991</v>
      </c>
      <c r="F174" s="700" t="s">
        <v>4917</v>
      </c>
      <c r="G174" t="b">
        <f>MAX(E174:E174)=MIN(E174:E174)</f>
        <v>1</v>
      </c>
    </row>
    <row r="175" spans="3:7" ht="11.25">
      <c r="C175" s="3"/>
      <c r="D175" s="700" t="s">
        <v>4912</v>
      </c>
      <c r="E175" s="331">
        <f>finEmp6AdminExp/3</f>
        <v>425000</v>
      </c>
      <c r="F175" s="1029" t="s">
        <v>4918</v>
      </c>
      <c r="G175" t="b">
        <f>MAX(E175:E175)=MIN(E175:E175)</f>
        <v>1</v>
      </c>
    </row>
    <row r="176" spans="3:7" ht="11.25">
      <c r="C176" s="3"/>
      <c r="D176" s="700" t="s">
        <v>4913</v>
      </c>
      <c r="E176" s="331">
        <f>finEmp6RecDismExp/3</f>
        <v>8458333.333333334</v>
      </c>
      <c r="F176" s="1029" t="s">
        <v>4919</v>
      </c>
      <c r="G176" t="b">
        <f>MAX(E176:E176)=MIN(E176:E176)</f>
        <v>1</v>
      </c>
    </row>
    <row r="177" spans="3:7" ht="11.25">
      <c r="C177" s="3"/>
      <c r="D177" t="s">
        <v>3054</v>
      </c>
      <c r="E177" s="401">
        <f>(finEmp6SalesSupportExp)*(decEntSvcsSalesSupportLevelPrac2/(decEntSvcsSalesSupportLevelPrac1+decEntSvcsSalesSupportLevelPrac2+decEntSvcsSalesSupportLevelPrac3))</f>
        <v>7019348.3721203133</v>
      </c>
      <c r="G177" t="b">
        <f>MAX(E177:E177)=MIN(E177:E177)</f>
        <v>1</v>
      </c>
    </row>
    <row r="178" spans="3:7" ht="11.25">
      <c r="C178" s="567">
        <f>E165+E178+E191*0.25</f>
        <v>43469696.119277306</v>
      </c>
      <c r="D178" t="s">
        <v>2356</v>
      </c>
      <c r="E178" s="399">
        <f>SUM(E167:E177)</f>
        <v>15907681.705453647</v>
      </c>
      <c r="F178" t="s">
        <v>2094</v>
      </c>
      <c r="G178" t="b">
        <f>MAX(E178:E178)=MIN(E178:E178)</f>
        <v>1</v>
      </c>
    </row>
    <row r="179" spans="3:7" ht="11.25">
      <c r="C179" s="3"/>
      <c r="D179" s="2" t="s">
        <v>44</v>
      </c>
      <c r="E179" s="399"/>
      <c r="G179" t="b">
        <f>MAX(E179:E179)=MIN(E179:E179)</f>
        <v>1</v>
      </c>
    </row>
    <row r="180" spans="3:7" ht="11.25">
      <c r="C180" s="3"/>
      <c r="D180" t="s">
        <v>941</v>
      </c>
      <c r="F180" t="s">
        <v>3822</v>
      </c>
      <c r="G180" t="b">
        <f>MAX(E180:E180)=MIN(E180:E180)</f>
        <v>1</v>
      </c>
    </row>
    <row r="181" spans="3:7" ht="11.25">
      <c r="C181" s="3"/>
      <c r="D181" t="s">
        <v>940</v>
      </c>
      <c r="F181" t="s">
        <v>3830</v>
      </c>
      <c r="G181" t="b">
        <f>MAX(E181:E181)=MIN(E181:E181)</f>
        <v>1</v>
      </c>
    </row>
    <row r="182" spans="3:7" ht="11.25">
      <c r="C182" s="3"/>
      <c r="D182" t="s">
        <v>939</v>
      </c>
      <c r="F182" t="s">
        <v>858</v>
      </c>
      <c r="G182" t="b">
        <f>MAX(E182:E182)=MIN(E182:E182)</f>
        <v>1</v>
      </c>
    </row>
    <row r="183" spans="3:7" ht="11.25">
      <c r="C183" s="3"/>
      <c r="D183" t="s">
        <v>2757</v>
      </c>
      <c r="E183" s="331"/>
      <c r="F183" t="s">
        <v>859</v>
      </c>
      <c r="G183" t="b">
        <f>MAX(E183:E183)=MIN(E183:E183)</f>
        <v>1</v>
      </c>
    </row>
    <row r="184" spans="3:7" ht="11.25">
      <c r="C184" s="3"/>
      <c r="D184" s="3" t="s">
        <v>1733</v>
      </c>
      <c r="E184" s="331"/>
      <c r="F184" t="s">
        <v>3743</v>
      </c>
      <c r="G184" t="b">
        <f>MAX(E184:E184)=MIN(E184:E184)</f>
        <v>1</v>
      </c>
    </row>
    <row r="185" spans="3:7" ht="11.25">
      <c r="C185" s="3"/>
      <c r="D185" s="3" t="s">
        <v>1734</v>
      </c>
      <c r="E185" s="331"/>
      <c r="F185" t="s">
        <v>3744</v>
      </c>
      <c r="G185" t="b">
        <f>MAX(E185:E185)=MIN(E185:E185)</f>
        <v>1</v>
      </c>
    </row>
    <row r="186" spans="3:7" ht="11.25">
      <c r="C186" s="3"/>
      <c r="D186" s="3" t="s">
        <v>1735</v>
      </c>
      <c r="E186" s="331"/>
      <c r="F186" t="s">
        <v>2693</v>
      </c>
      <c r="G186" t="b">
        <f>MAX(E186:E186)=MIN(E186:E186)</f>
        <v>1</v>
      </c>
    </row>
    <row r="187" spans="3:7" ht="11.25">
      <c r="C187" s="3"/>
      <c r="D187" s="700" t="s">
        <v>4911</v>
      </c>
      <c r="E187">
        <f>finEmp6TrainingTimeExp/3</f>
        <v>4999.9999999999991</v>
      </c>
      <c r="F187" s="700" t="s">
        <v>4920</v>
      </c>
      <c r="G187" t="b">
        <f>MAX(E187:E187)=MIN(E187:E187)</f>
        <v>1</v>
      </c>
    </row>
    <row r="188" spans="3:7" ht="11.25">
      <c r="C188" s="3"/>
      <c r="D188" s="700" t="s">
        <v>4912</v>
      </c>
      <c r="E188" s="331">
        <f>finEmp6AdminExp/3</f>
        <v>425000</v>
      </c>
      <c r="F188" s="1029" t="s">
        <v>4921</v>
      </c>
      <c r="G188" t="b">
        <f>MAX(E188:E188)=MIN(E188:E188)</f>
        <v>1</v>
      </c>
    </row>
    <row r="189" spans="3:7" ht="11.25">
      <c r="C189" s="3"/>
      <c r="D189" s="700" t="s">
        <v>4913</v>
      </c>
      <c r="E189" s="331">
        <f>finEmp6RecDismExp/3</f>
        <v>8458333.333333334</v>
      </c>
      <c r="F189" s="1029" t="s">
        <v>4922</v>
      </c>
      <c r="G189" t="b">
        <f>MAX(E189:E189)=MIN(E189:E189)</f>
        <v>1</v>
      </c>
    </row>
    <row r="190" spans="3:7" ht="11.25">
      <c r="C190" s="3"/>
      <c r="D190" t="s">
        <v>3054</v>
      </c>
      <c r="E190" s="401">
        <f>(finEmp6SalesSupportExp)*(decEntSvcsSalesSupportLevelPrac3/(decEntSvcsSalesSupportLevelPrac1+decEntSvcsSalesSupportLevelPrac2+decEntSvcsSalesSupportLevelPrac3))</f>
        <v>2632255.6395451175</v>
      </c>
      <c r="G190" t="b">
        <f>MAX(E190:E190)=MIN(E190:E190)</f>
        <v>1</v>
      </c>
    </row>
    <row r="191" spans="3:7" ht="11.25">
      <c r="C191" s="3"/>
      <c r="D191" t="s">
        <v>2357</v>
      </c>
      <c r="E191" s="399">
        <f>SUM(E180:E190)</f>
        <v>11520588.972878452</v>
      </c>
      <c r="F191" t="s">
        <v>2977</v>
      </c>
      <c r="G191" t="b">
        <f>MAX(E191:E191)=MIN(E191:E191)</f>
        <v>1</v>
      </c>
    </row>
    <row r="192" spans="3:7" ht="11.25">
      <c r="C192" s="3"/>
      <c r="E192" s="399"/>
      <c r="G192" t="b">
        <f>MAX(E192:E192)=MIN(E192:E192)</f>
        <v>1</v>
      </c>
    </row>
    <row r="193" spans="3:7" ht="11.25">
      <c r="C193" s="3"/>
      <c r="D193" s="2" t="s">
        <v>2447</v>
      </c>
      <c r="E193" s="399">
        <f>capBusABusDevNonPayrollBud*finPNLBusAV1OverheadPctAlloc*0</f>
        <v>0</v>
      </c>
      <c r="F193" t="s">
        <v>1790</v>
      </c>
      <c r="G193" t="b">
        <f>MAX(E193:E193)=MIN(E193:E193)</f>
        <v>1</v>
      </c>
    </row>
    <row r="194" spans="3:7" ht="11.25">
      <c r="C194" s="3"/>
      <c r="D194" s="2" t="s">
        <v>2448</v>
      </c>
      <c r="E194" s="399">
        <f>capBusABusDevNonPayrollBud*finPNLBusAV2OverheadPctAlloc*0</f>
        <v>0</v>
      </c>
      <c r="F194" t="s">
        <v>1791</v>
      </c>
      <c r="G194" t="b">
        <f>MAX(E194:E194)=MIN(E194:E194)</f>
        <v>1</v>
      </c>
    </row>
    <row r="195" spans="3:7" ht="11.25">
      <c r="C195" s="3"/>
      <c r="D195" s="2" t="s">
        <v>1789</v>
      </c>
      <c r="E195" s="399">
        <f>capBusABusDevNonPayrollBud*finPNLBusAV3OverheadPctAlloc*0</f>
        <v>0</v>
      </c>
      <c r="F195" t="s">
        <v>1792</v>
      </c>
      <c r="G195" t="b">
        <f>MAX(E195:E195)=MIN(E195:E195)</f>
        <v>1</v>
      </c>
    </row>
    <row r="196" spans="3:7" ht="11.25">
      <c r="C196" s="3"/>
      <c r="D196" s="2"/>
      <c r="E196" s="399"/>
      <c r="G196" t="b">
        <f>MAX(E196:E196)=MIN(E196:E196)</f>
        <v>1</v>
      </c>
    </row>
    <row r="197" spans="3:7" ht="11.25">
      <c r="C197" s="2" t="s">
        <v>1173</v>
      </c>
      <c r="E197" s="399"/>
      <c r="G197" t="b">
        <f>MAX(E197:E197)=MIN(E197:E197)</f>
        <v>1</v>
      </c>
    </row>
    <row r="198" spans="3:7" ht="11.25">
      <c r="C198" s="3"/>
      <c r="D198" t="s">
        <v>1340</v>
      </c>
      <c r="E198" s="396">
        <f>finEntSvcsMarketing*finEntSvcsExpAllocPctBusA</f>
        <v>7500000</v>
      </c>
      <c r="F198" t="s">
        <v>1056</v>
      </c>
      <c r="G198" t="b">
        <f>MAX(E198:E198)=MIN(E198:E198)</f>
        <v>1</v>
      </c>
    </row>
    <row r="199" spans="3:7" ht="11.25">
      <c r="C199" s="3"/>
      <c r="D199" t="s">
        <v>42</v>
      </c>
      <c r="E199" s="399">
        <f>E$198*finPNLBusAV1OverheadPctAlloc</f>
        <v>4392878.9380047107</v>
      </c>
      <c r="F199" t="s">
        <v>1057</v>
      </c>
      <c r="G199" t="b">
        <f>MAX(E199:E199)=MIN(E199:E199)</f>
        <v>1</v>
      </c>
    </row>
    <row r="200" spans="3:7" ht="11.25">
      <c r="C200" s="2"/>
      <c r="D200" t="s">
        <v>43</v>
      </c>
      <c r="E200" s="399">
        <f>E$198*finPNLBusAV2OverheadPctAlloc</f>
        <v>2229217.2451304663</v>
      </c>
      <c r="F200" t="s">
        <v>1058</v>
      </c>
      <c r="G200" t="b">
        <f>MAX(E200:E200)=MIN(E200:E200)</f>
        <v>1</v>
      </c>
    </row>
    <row r="201" spans="3:7" ht="11.25">
      <c r="C201" s="2"/>
      <c r="D201" t="s">
        <v>44</v>
      </c>
      <c r="E201" s="399">
        <f>E$198*finPNLBusAV3OverheadPctAlloc</f>
        <v>877903.81686482287</v>
      </c>
      <c r="F201" t="s">
        <v>1059</v>
      </c>
      <c r="G201" t="b">
        <f>MAX(E201:E201)=MIN(E201:E201)</f>
        <v>1</v>
      </c>
    </row>
    <row r="202" spans="3:7" ht="11.25">
      <c r="C202" s="3"/>
      <c r="D202" s="2"/>
      <c r="E202" s="399"/>
      <c r="G202" t="b">
        <f>MAX(E202:E202)=MIN(E202:E202)</f>
        <v>1</v>
      </c>
    </row>
    <row r="203" spans="3:7" ht="11.25">
      <c r="C203" s="2" t="s">
        <v>4794</v>
      </c>
      <c r="E203" s="399"/>
      <c r="G203" t="b">
        <f>MAX(E203:E203)=MIN(E203:E203)</f>
        <v>1</v>
      </c>
    </row>
    <row r="204" spans="3:7" ht="11.25">
      <c r="C204" s="3"/>
      <c r="D204" t="s">
        <v>1340</v>
      </c>
      <c r="E204" s="396">
        <f>finPNLRDExp</f>
        <v>10023452.299999999</v>
      </c>
      <c r="G204" t="b">
        <f>MAX(E204:E204)=MIN(E204:E204)</f>
        <v>1</v>
      </c>
    </row>
    <row r="205" spans="3:7" ht="11.25">
      <c r="C205" s="3"/>
      <c r="D205" t="s">
        <v>42</v>
      </c>
      <c r="E205" s="399">
        <f>$E$204*(finPNLProd1V1Rev/finPNLTotalRev)</f>
        <v>5757025.8223053711</v>
      </c>
      <c r="F205" t="s">
        <v>4795</v>
      </c>
      <c r="G205" t="b">
        <f>MAX(E205:E205)=MIN(E205:E205)</f>
        <v>1</v>
      </c>
    </row>
    <row r="206" spans="3:7" ht="11.25">
      <c r="C206" s="2"/>
      <c r="D206" t="s">
        <v>43</v>
      </c>
      <c r="E206" s="399">
        <f>$E$204*(finPNLProd1V2Rev/finPNLTotalRev)</f>
        <v>3132303.7765977513</v>
      </c>
      <c r="F206" t="s">
        <v>4796</v>
      </c>
      <c r="G206" t="b">
        <f>MAX(E206:E206)=MIN(E206:E206)</f>
        <v>1</v>
      </c>
    </row>
    <row r="207" spans="3:7" ht="11.25">
      <c r="C207" s="2"/>
      <c r="D207" t="s">
        <v>44</v>
      </c>
      <c r="E207" s="399">
        <f>$E$204*(finPNLProd1V3Rev/finPNLTotalRev)</f>
        <v>1134122.7010968768</v>
      </c>
      <c r="F207" t="s">
        <v>4797</v>
      </c>
      <c r="G207" t="b">
        <f>MAX(E207:E207)=MIN(E207:E207)</f>
        <v>1</v>
      </c>
    </row>
    <row r="208" spans="3:7" ht="11.25">
      <c r="C208" s="2"/>
      <c r="E208" s="396"/>
      <c r="G208" t="b">
        <f>MAX(E208:E208)=MIN(E208:E208)</f>
        <v>1</v>
      </c>
    </row>
    <row r="209" spans="3:7" s="2" customFormat="1" ht="11.25">
      <c r="C209" s="2" t="str">
        <f>DataNameProd1 &amp; " Administrative Expense"</f>
        <v>Consulting Administrative Expense</v>
      </c>
      <c r="E209" s="396"/>
      <c r="F209"/>
      <c r="G209" t="b">
        <f>MAX(E209:E209)=MIN(E209:E209)</f>
        <v>1</v>
      </c>
    </row>
    <row r="210" spans="3:7" ht="11.25">
      <c r="C210" s="700" t="s">
        <v>1832</v>
      </c>
      <c r="E210" s="396"/>
      <c r="G210" t="b">
        <f>MAX(E210:E210)=MIN(E210:E210)</f>
        <v>1</v>
      </c>
    </row>
    <row r="211" spans="3:7" ht="11.25">
      <c r="D211" t="s">
        <v>5169</v>
      </c>
      <c r="E211" s="402">
        <f>capEmp1BusAGeneralTrainingExp</f>
        <v>832000</v>
      </c>
      <c r="F211" t="s">
        <v>1237</v>
      </c>
      <c r="G211" t="b">
        <f>MAX(E211:E211)=MIN(E211:E211)</f>
        <v>1</v>
      </c>
    </row>
    <row r="212" spans="3:7" ht="11.25">
      <c r="D212" t="s">
        <v>4705</v>
      </c>
      <c r="E212" s="402">
        <f>capEmp2BusAGeneralTrainingExp</f>
        <v>2190000</v>
      </c>
      <c r="F212" t="s">
        <v>918</v>
      </c>
      <c r="G212" t="b">
        <f>MAX(E212:E212)=MIN(E212:E212)</f>
        <v>1</v>
      </c>
    </row>
    <row r="213" spans="3:7" ht="11.25">
      <c r="D213" t="s">
        <v>4704</v>
      </c>
      <c r="E213" s="402">
        <f>capEmp3BusAGeneralTrainingExp</f>
        <v>2196000</v>
      </c>
      <c r="F213" t="s">
        <v>919</v>
      </c>
      <c r="G213" t="b">
        <f>MAX(E213:E213)=MIN(E213:E213)</f>
        <v>1</v>
      </c>
    </row>
    <row r="214" spans="3:7" ht="11.25">
      <c r="D214" t="s">
        <v>4703</v>
      </c>
      <c r="E214" s="402">
        <f>capEmp4BusAGeneralTrainingExp</f>
        <v>936000</v>
      </c>
      <c r="F214" t="s">
        <v>920</v>
      </c>
      <c r="G214" t="b">
        <f>MAX(E214:E214)=MIN(E214:E214)</f>
        <v>1</v>
      </c>
    </row>
    <row r="215" spans="3:7" ht="11.25">
      <c r="D215" t="s">
        <v>5178</v>
      </c>
      <c r="E215" s="402">
        <f>capEmp9BusAGeneralTrainingExp</f>
        <v>984000</v>
      </c>
      <c r="F215" t="s">
        <v>3426</v>
      </c>
      <c r="G215" t="b">
        <f>MAX(E215:E215)=MIN(E215:E215)</f>
        <v>1</v>
      </c>
    </row>
    <row r="216" spans="3:7" ht="11.25">
      <c r="D216" s="3"/>
      <c r="E216" s="402"/>
      <c r="F216" t="s">
        <v>3427</v>
      </c>
      <c r="G216" t="b">
        <f>MAX(E216:E216)=MIN(E216:E216)</f>
        <v>1</v>
      </c>
    </row>
    <row r="217" spans="3:7" ht="11.25">
      <c r="D217" s="3"/>
      <c r="E217" s="402"/>
      <c r="F217" t="s">
        <v>3428</v>
      </c>
      <c r="G217" t="b">
        <f>MAX(E217:E217)=MIN(E217:E217)</f>
        <v>1</v>
      </c>
    </row>
    <row r="218" spans="3:7" ht="11.25">
      <c r="D218" s="2" t="s">
        <v>1340</v>
      </c>
      <c r="E218" s="396">
        <f>SUM(E211:E217)</f>
        <v>7138000</v>
      </c>
      <c r="F218" t="s">
        <v>1688</v>
      </c>
      <c r="G218" t="b">
        <f>MAX(E218:E218)=MIN(E218:E218)</f>
        <v>1</v>
      </c>
    </row>
    <row r="219" spans="3:7" ht="11.25">
      <c r="C219" s="2"/>
      <c r="D219" s="403" t="s">
        <v>42</v>
      </c>
      <c r="E219" s="399">
        <f>finPNLBusAGeneralTrainingExp*finPNLBusAV1OverheadPctAlloc</f>
        <v>4180849.3145970167</v>
      </c>
      <c r="F219" s="700" t="s">
        <v>1689</v>
      </c>
      <c r="G219" t="b">
        <f>MAX(E219:E219)=MIN(E219:E219)</f>
        <v>1</v>
      </c>
    </row>
    <row r="220" spans="3:7" ht="11.25">
      <c r="C220" s="2"/>
      <c r="D220" s="403" t="s">
        <v>43</v>
      </c>
      <c r="E220" s="399">
        <f>finPNLBusAGeneralTrainingExp*finPNLBusAV2OverheadPctAlloc</f>
        <v>2121620.3594321692</v>
      </c>
      <c r="F220" t="s">
        <v>1690</v>
      </c>
      <c r="G220" t="b">
        <f>MAX(E220:E220)=MIN(E220:E220)</f>
        <v>1</v>
      </c>
    </row>
    <row r="221" spans="3:7" ht="11.25">
      <c r="C221" s="2"/>
      <c r="D221" s="403" t="s">
        <v>44</v>
      </c>
      <c r="E221" s="399">
        <f>finPNLBusAGeneralTrainingExp*finPNLBusAV3OverheadPctAlloc</f>
        <v>835530.3259708141</v>
      </c>
      <c r="F221" t="s">
        <v>3401</v>
      </c>
      <c r="G221" t="b">
        <f>MAX(E221:E221)=MIN(E221:E221)</f>
        <v>1</v>
      </c>
    </row>
    <row r="222" spans="3:7" ht="11.25">
      <c r="C222" s="2"/>
      <c r="D222" s="403"/>
      <c r="E222" s="399"/>
      <c r="G222" t="b">
        <f>MAX(E222:E222)=MIN(E222:E222)</f>
        <v>1</v>
      </c>
    </row>
    <row r="223" spans="3:7" s="2" customFormat="1" ht="11.25">
      <c r="C223" s="3" t="str">
        <f>DataNameProd1 &amp; " Unallocated Time Salary Expense"</f>
        <v>Consulting Unallocated Time Salary Expense</v>
      </c>
      <c r="E223" s="396"/>
      <c r="F223"/>
      <c r="G223" t="b">
        <f>MAX(E223:E223)=MIN(E223:E223)</f>
        <v>1</v>
      </c>
    </row>
    <row r="224" spans="3:7" s="2" customFormat="1" ht="11.25">
      <c r="C224" s="3"/>
      <c r="D224" t="s">
        <v>941</v>
      </c>
      <c r="E224" s="399"/>
      <c r="F224" t="s">
        <v>921</v>
      </c>
      <c r="G224" t="b">
        <f>MAX(E224:E224)=MIN(E224:E224)</f>
        <v>1</v>
      </c>
    </row>
    <row r="225" spans="3:7" s="2" customFormat="1" ht="11.25">
      <c r="C225" s="3"/>
      <c r="D225" t="s">
        <v>940</v>
      </c>
      <c r="E225" s="399">
        <f>capEmp2BusANonBillExp</f>
        <v>17000000</v>
      </c>
      <c r="F225" t="s">
        <v>929</v>
      </c>
      <c r="G225" t="b">
        <f>MAX(E225:E225)=MIN(E225:E225)</f>
        <v>1</v>
      </c>
    </row>
    <row r="226" spans="3:7" s="2" customFormat="1" ht="11.25">
      <c r="C226" s="3"/>
      <c r="D226" t="s">
        <v>939</v>
      </c>
      <c r="E226" s="399">
        <f>capEmp3BusANonBillExp</f>
        <v>16782600</v>
      </c>
      <c r="F226" t="s">
        <v>930</v>
      </c>
      <c r="G226" t="b">
        <f>MAX(E226:E226)=MIN(E226:E226)</f>
        <v>1</v>
      </c>
    </row>
    <row r="227" spans="3:7" s="2" customFormat="1" ht="11.25">
      <c r="C227" s="3"/>
      <c r="D227" t="s">
        <v>2757</v>
      </c>
      <c r="E227" s="402">
        <f>capEmp4BusANonBillExp</f>
        <v>12617999.999999998</v>
      </c>
      <c r="F227" t="s">
        <v>931</v>
      </c>
      <c r="G227" t="b">
        <f>MAX(E227:E227)=MIN(E227:E227)</f>
        <v>1</v>
      </c>
    </row>
    <row r="228" spans="3:7" s="2" customFormat="1" ht="11.25">
      <c r="C228" s="3"/>
      <c r="D228" s="3" t="s">
        <v>1733</v>
      </c>
      <c r="E228" s="331">
        <f>capEmp9BusANonBillExp</f>
        <v>6900000.0000000009</v>
      </c>
      <c r="F228" t="s">
        <v>2694</v>
      </c>
      <c r="G228" t="b">
        <f>MAX(E228:E228)=MIN(E228:E228)</f>
        <v>1</v>
      </c>
    </row>
    <row r="229" spans="3:7" s="2" customFormat="1" ht="11.25">
      <c r="C229" s="3"/>
      <c r="D229" s="3" t="s">
        <v>1734</v>
      </c>
      <c r="E229" s="331"/>
      <c r="F229" t="s">
        <v>2695</v>
      </c>
      <c r="G229" t="b">
        <f>MAX(E229:E229)=MIN(E229:E229)</f>
        <v>1</v>
      </c>
    </row>
    <row r="230" spans="3:7" s="2" customFormat="1" ht="11.25">
      <c r="C230" s="3"/>
      <c r="D230" s="3" t="s">
        <v>1735</v>
      </c>
      <c r="E230" s="401"/>
      <c r="F230" t="s">
        <v>2696</v>
      </c>
      <c r="G230" t="b">
        <f>MAX(E230:E230)=MIN(E230:E230)</f>
        <v>1</v>
      </c>
    </row>
    <row r="231" spans="3:7" s="2" customFormat="1" ht="11.25">
      <c r="D231" t="s">
        <v>1340</v>
      </c>
      <c r="E231" s="396">
        <f>SUM(E224:E230)</f>
        <v>53300600</v>
      </c>
      <c r="F231" t="s">
        <v>1505</v>
      </c>
      <c r="G231" t="b">
        <f>MAX(E231:E231)=MIN(E231:E231)</f>
        <v>1</v>
      </c>
    </row>
    <row r="232" spans="3:7" s="2" customFormat="1" ht="11.25">
      <c r="D232" s="403" t="s">
        <v>42</v>
      </c>
      <c r="E232" s="399">
        <f>finPNLBusAUnallocTimeExp*finPNLBusAV1OverheadPctAlloc</f>
        <v>31219077.749735184</v>
      </c>
      <c r="F232" t="s">
        <v>1506</v>
      </c>
      <c r="G232" t="b">
        <f>MAX(E232:E232)=MIN(E232:E232)</f>
        <v>1</v>
      </c>
    </row>
    <row r="233" spans="3:7" s="2" customFormat="1" ht="11.25">
      <c r="D233" s="403" t="s">
        <v>43</v>
      </c>
      <c r="E233" s="399">
        <f>finPNLBusAUnallocTimeExp*finPNLBusAV2OverheadPctAlloc</f>
        <v>15842482.226106791</v>
      </c>
      <c r="F233" t="s">
        <v>1507</v>
      </c>
      <c r="G233" t="b">
        <f>MAX(E233:E233)=MIN(E233:E233)</f>
        <v>1</v>
      </c>
    </row>
    <row r="234" spans="3:7" s="2" customFormat="1" ht="11.25">
      <c r="D234" s="403" t="s">
        <v>44</v>
      </c>
      <c r="E234" s="399">
        <f>finPNLBusAUnallocTimeExp*finPNLBusAV3OverheadPctAlloc</f>
        <v>6239040.0241580242</v>
      </c>
      <c r="F234" t="s">
        <v>3816</v>
      </c>
      <c r="G234" t="b">
        <f>MAX(E234:E234)=MIN(E234:E234)</f>
        <v>1</v>
      </c>
    </row>
    <row r="235" spans="3:7" s="2" customFormat="1" ht="11.25">
      <c r="C235" s="3" t="s">
        <v>2759</v>
      </c>
      <c r="D235" s="403"/>
      <c r="E235" s="399"/>
      <c r="F235"/>
      <c r="G235" t="b">
        <f>MAX(E235:E235)=MIN(E235:E235)</f>
        <v>1</v>
      </c>
    </row>
    <row r="236" spans="3:7" s="2" customFormat="1" ht="11.25">
      <c r="D236" t="s">
        <v>941</v>
      </c>
      <c r="E236" s="402"/>
      <c r="F236"/>
      <c r="G236" t="b">
        <f>MAX(E236:E236)=MIN(E236:E236)</f>
        <v>1</v>
      </c>
    </row>
    <row r="237" spans="3:7" s="2" customFormat="1" ht="11.25">
      <c r="D237" t="s">
        <v>940</v>
      </c>
      <c r="E237" s="402">
        <f>E19*cbalBusAEmp2</f>
        <v>1551250</v>
      </c>
      <c r="F237"/>
      <c r="G237" t="b">
        <f>MAX(E237:E237)=MIN(E237:E237)</f>
        <v>1</v>
      </c>
    </row>
    <row r="238" spans="3:7" s="2" customFormat="1" ht="11.25">
      <c r="D238" t="s">
        <v>939</v>
      </c>
      <c r="E238" s="402">
        <f>E20*cbalBusAEmp3</f>
        <v>1037000</v>
      </c>
      <c r="F238"/>
      <c r="G238" t="b">
        <f>MAX(E238:E238)=MIN(E238:E238)</f>
        <v>1</v>
      </c>
    </row>
    <row r="239" spans="3:7" s="2" customFormat="1" ht="11.25">
      <c r="D239" t="s">
        <v>2757</v>
      </c>
      <c r="E239" s="402">
        <f>E21*cbalBusAEmp4</f>
        <v>331500</v>
      </c>
      <c r="F239"/>
      <c r="G239" t="b">
        <f>MAX(E239:E239)=MIN(E239:E239)</f>
        <v>1</v>
      </c>
    </row>
    <row r="240" spans="3:7" s="2" customFormat="1" ht="11.25">
      <c r="D240" s="3" t="s">
        <v>1733</v>
      </c>
      <c r="E240" s="402">
        <f>E19*cbalBusAEmp9</f>
        <v>1394000</v>
      </c>
      <c r="F240"/>
      <c r="G240" t="b">
        <f>MAX(E240:E240)=MIN(E240:E240)</f>
        <v>1</v>
      </c>
    </row>
    <row r="241" spans="2:7" s="2" customFormat="1" ht="11.25">
      <c r="D241" s="3" t="s">
        <v>1734</v>
      </c>
      <c r="E241" s="402"/>
      <c r="F241"/>
      <c r="G241" t="b">
        <f>MAX(E241:E241)=MIN(E241:E241)</f>
        <v>1</v>
      </c>
    </row>
    <row r="242" spans="2:7" s="2" customFormat="1" ht="11.25">
      <c r="D242" s="3" t="s">
        <v>1735</v>
      </c>
      <c r="E242" s="400"/>
      <c r="F242"/>
      <c r="G242" t="b">
        <f>MAX(E242:E242)=MIN(E242:E242)</f>
        <v>1</v>
      </c>
    </row>
    <row r="243" spans="2:7" s="2" customFormat="1" ht="11.25">
      <c r="D243" s="403" t="s">
        <v>1340</v>
      </c>
      <c r="E243" s="396">
        <f>SUM(E236:E242)</f>
        <v>4313750</v>
      </c>
      <c r="F243" s="700" t="s">
        <v>3621</v>
      </c>
      <c r="G243" t="b">
        <f>MAX(E243:E243)=MIN(E243:E243)</f>
        <v>1</v>
      </c>
    </row>
    <row r="244" spans="2:7" s="2" customFormat="1" ht="11.25">
      <c r="B244" s="3"/>
      <c r="D244" s="403" t="s">
        <v>42</v>
      </c>
      <c r="E244" s="399">
        <f>E$243*finPNLBusAV1OverheadPctAlloc</f>
        <v>2526637.5358423763</v>
      </c>
      <c r="F244" t="s">
        <v>3622</v>
      </c>
      <c r="G244" t="b">
        <f>MAX(E244:E244)=MIN(E244:E244)</f>
        <v>1</v>
      </c>
    </row>
    <row r="245" spans="2:7" s="2" customFormat="1" ht="11.25">
      <c r="B245" s="3"/>
      <c r="D245" s="403" t="s">
        <v>43</v>
      </c>
      <c r="E245" s="399">
        <f>E$243*finPNLBusAV2OverheadPctAlloc</f>
        <v>1282171.4521575398</v>
      </c>
      <c r="F245" t="s">
        <v>1385</v>
      </c>
      <c r="G245" t="b">
        <f>MAX(E245:E245)=MIN(E245:E245)</f>
        <v>1</v>
      </c>
    </row>
    <row r="246" spans="2:7" s="2" customFormat="1" ht="11.25">
      <c r="B246" s="3"/>
      <c r="D246" s="403" t="s">
        <v>44</v>
      </c>
      <c r="E246" s="399">
        <f>E$243*finPNLBusAV3OverheadPctAlloc</f>
        <v>504941.01200008398</v>
      </c>
      <c r="F246" t="s">
        <v>2655</v>
      </c>
      <c r="G246" t="b">
        <f>MAX(E246:E246)=MIN(E246:E246)</f>
        <v>1</v>
      </c>
    </row>
    <row r="247" spans="2:7" s="2" customFormat="1" ht="11.25">
      <c r="D247" s="403"/>
      <c r="E247" s="399"/>
      <c r="F247"/>
      <c r="G247" t="b">
        <f>MAX(E247:E247)=MIN(E247:E247)</f>
        <v>1</v>
      </c>
    </row>
    <row r="248" spans="2:7" ht="11.25">
      <c r="C248" s="3" t="str">
        <f>DataNameProd1 &amp; " Employe Admin Expense"</f>
        <v>Consulting Employe Admin Expense</v>
      </c>
      <c r="D248" s="3"/>
      <c r="G248" t="b">
        <f>MAX(E248:E248)=MIN(E248:E248)</f>
        <v>1</v>
      </c>
    </row>
    <row r="249" spans="2:7" ht="11.25">
      <c r="C249" s="3"/>
      <c r="D249" t="s">
        <v>941</v>
      </c>
      <c r="G249" t="b">
        <f>MAX(E249:E249)=MIN(E249:E249)</f>
        <v>1</v>
      </c>
    </row>
    <row r="250" spans="2:7" ht="11.25">
      <c r="C250" s="3"/>
      <c r="D250" t="s">
        <v>940</v>
      </c>
      <c r="E250" s="331">
        <f>capEmp2BusAAdminExp</f>
        <v>1825000</v>
      </c>
      <c r="G250" t="b">
        <f>MAX(E250:E250)=MIN(E250:E250)</f>
        <v>1</v>
      </c>
    </row>
    <row r="251" spans="2:7" ht="11.25">
      <c r="C251" s="3"/>
      <c r="D251" t="s">
        <v>939</v>
      </c>
      <c r="E251" s="331">
        <f>capEmp3BusAAdminExp</f>
        <v>1830000</v>
      </c>
      <c r="G251" t="b">
        <f>MAX(E251:E251)=MIN(E251:E251)</f>
        <v>1</v>
      </c>
    </row>
    <row r="252" spans="2:7" ht="11.25">
      <c r="C252" s="3"/>
      <c r="D252" t="s">
        <v>2757</v>
      </c>
      <c r="E252" s="331">
        <f>capEmp4BusAAdminExp</f>
        <v>1170000</v>
      </c>
      <c r="G252" t="b">
        <f>MAX(E252:E252)=MIN(E252:E252)</f>
        <v>1</v>
      </c>
    </row>
    <row r="253" spans="2:7" ht="11.25">
      <c r="C253" s="3"/>
      <c r="D253" s="3" t="s">
        <v>1733</v>
      </c>
      <c r="E253" s="331">
        <f>capEmp9BusAAdminExp</f>
        <v>1170000</v>
      </c>
      <c r="F253" t="s">
        <v>542</v>
      </c>
      <c r="G253" t="b">
        <f>MAX(E253:E253)=MIN(E253:E253)</f>
        <v>1</v>
      </c>
    </row>
    <row r="254" spans="2:7" ht="11.25">
      <c r="C254" s="3"/>
      <c r="D254" s="3" t="s">
        <v>1734</v>
      </c>
      <c r="E254" s="331"/>
      <c r="F254" t="s">
        <v>543</v>
      </c>
      <c r="G254" t="b">
        <f>MAX(E254:E254)=MIN(E254:E254)</f>
        <v>1</v>
      </c>
    </row>
    <row r="255" spans="2:7" ht="11.25">
      <c r="C255" s="3"/>
      <c r="D255" s="3" t="s">
        <v>1735</v>
      </c>
      <c r="E255" s="401"/>
      <c r="F255" t="s">
        <v>544</v>
      </c>
      <c r="G255" t="b">
        <f>MAX(E255:E255)=MIN(E255:E255)</f>
        <v>1</v>
      </c>
    </row>
    <row r="256" spans="2:7" ht="11.25">
      <c r="C256" s="3"/>
      <c r="D256" t="s">
        <v>1340</v>
      </c>
      <c r="E256" s="396">
        <f>SUM(E249:E255)</f>
        <v>5995000</v>
      </c>
      <c r="F256" t="s">
        <v>3817</v>
      </c>
      <c r="G256" t="b">
        <f>MAX(E256:E256)=MIN(E256:E256)</f>
        <v>1</v>
      </c>
    </row>
    <row r="257" spans="2:7" ht="11.25">
      <c r="C257" s="3"/>
      <c r="D257" s="403" t="s">
        <v>42</v>
      </c>
      <c r="E257" s="399">
        <f>finPNLBusATtlEmpAdminExp*finPNLBusAV1OverheadPctAlloc</f>
        <v>3511374.5644450989</v>
      </c>
      <c r="F257" s="700" t="s">
        <v>3818</v>
      </c>
      <c r="G257" t="b">
        <f>MAX(E257:E257)=MIN(E257:E257)</f>
        <v>1</v>
      </c>
    </row>
    <row r="258" spans="2:7" ht="11.25">
      <c r="C258" s="3"/>
      <c r="D258" s="403" t="s">
        <v>43</v>
      </c>
      <c r="E258" s="399">
        <f>finPNLBusATtlEmpAdminExp*finPNLBusAV2OverheadPctAlloc</f>
        <v>1781887.6512742862</v>
      </c>
      <c r="F258" t="s">
        <v>3819</v>
      </c>
      <c r="G258" t="b">
        <f>MAX(E258:E258)=MIN(E258:E258)</f>
        <v>1</v>
      </c>
    </row>
    <row r="259" spans="2:7" ht="11.25">
      <c r="C259" s="3"/>
      <c r="D259" s="403" t="s">
        <v>44</v>
      </c>
      <c r="E259" s="399">
        <f>finPNLBusATtlEmpAdminExp*finPNLBusAV3OverheadPctAlloc</f>
        <v>701737.78428061516</v>
      </c>
      <c r="F259" t="s">
        <v>3820</v>
      </c>
      <c r="G259" t="b">
        <f>MAX(E259:E259)=MIN(E259:E259)</f>
        <v>1</v>
      </c>
    </row>
    <row r="260" spans="2:7" ht="11.25">
      <c r="C260" s="3" t="str">
        <f>DataNameProd1 &amp; " Fixed Admin Expense"</f>
        <v>Consulting Fixed Admin Expense</v>
      </c>
      <c r="D260" s="3"/>
      <c r="G260" t="b">
        <f>MAX(E260:E260)=MIN(E260:E260)</f>
        <v>1</v>
      </c>
    </row>
    <row r="261" spans="2:7" ht="11.25">
      <c r="C261" s="3"/>
      <c r="D261" s="3" t="s">
        <v>42</v>
      </c>
      <c r="E261" s="402"/>
      <c r="F261" t="s">
        <v>1834</v>
      </c>
      <c r="G261" t="b">
        <f>MAX(E261:E261)=MIN(E261:E261)</f>
        <v>1</v>
      </c>
    </row>
    <row r="262" spans="2:7" ht="11.25">
      <c r="C262" s="3"/>
      <c r="D262" s="3" t="s">
        <v>43</v>
      </c>
      <c r="E262" s="402"/>
      <c r="F262" t="s">
        <v>2266</v>
      </c>
      <c r="G262" t="b">
        <f>MAX(E262:E262)=MIN(E262:E262)</f>
        <v>1</v>
      </c>
    </row>
    <row r="263" spans="2:7" ht="11.25">
      <c r="C263" s="3"/>
      <c r="D263" s="3" t="s">
        <v>44</v>
      </c>
      <c r="E263" s="400"/>
      <c r="F263" t="s">
        <v>2267</v>
      </c>
      <c r="G263" t="b">
        <f>MAX(E263:E263)=MIN(E263:E263)</f>
        <v>1</v>
      </c>
    </row>
    <row r="264" spans="2:7" ht="11.25">
      <c r="C264" s="3"/>
      <c r="D264" t="s">
        <v>1340</v>
      </c>
      <c r="E264" s="399">
        <f>SUM(E261:E263)</f>
        <v>0</v>
      </c>
      <c r="F264" t="s">
        <v>2749</v>
      </c>
      <c r="G264" t="b">
        <f>MAX(E264:E264)=MIN(E264:E264)</f>
        <v>1</v>
      </c>
    </row>
    <row r="265" spans="2:7" ht="11.25">
      <c r="C265" s="3"/>
      <c r="D265" s="3"/>
      <c r="E265" s="399"/>
      <c r="G265" t="b">
        <f>MAX(E265:E265)=MIN(E265:E265)</f>
        <v>1</v>
      </c>
    </row>
    <row r="266" spans="2:7" ht="11.25">
      <c r="B266" s="2" t="s">
        <v>3758</v>
      </c>
      <c r="G266" t="b">
        <f>MAX(E266:E266)=MIN(E266:E266)</f>
        <v>1</v>
      </c>
    </row>
    <row r="267" spans="2:7" ht="11.25">
      <c r="B267" s="2"/>
      <c r="C267" t="str">
        <f>DataNameProd1 &amp; " Other Expense"</f>
        <v>Consulting Other Expense</v>
      </c>
      <c r="G267" t="b">
        <f>MAX(E267:E267)=MIN(E267:E267)</f>
        <v>1</v>
      </c>
    </row>
    <row r="268" spans="2:7" ht="11.25">
      <c r="B268" s="2"/>
      <c r="D268" s="3" t="s">
        <v>42</v>
      </c>
      <c r="E268" s="324">
        <f>paramProd1OtherCost*finPNLBusAV1OverheadPctAlloc</f>
        <v>0</v>
      </c>
      <c r="F268" s="700" t="s">
        <v>2186</v>
      </c>
      <c r="G268" t="b">
        <f>MAX(E268:E268)=MIN(E268:E268)</f>
        <v>1</v>
      </c>
    </row>
    <row r="269" spans="2:7" ht="11.25">
      <c r="B269" s="2"/>
      <c r="D269" s="3" t="s">
        <v>43</v>
      </c>
      <c r="E269" s="331">
        <f>paramProd1OtherCost*finPNLBusAV2OverheadPctAlloc</f>
        <v>0</v>
      </c>
      <c r="F269" s="700" t="s">
        <v>2187</v>
      </c>
      <c r="G269" t="b">
        <f>MAX(E269:E269)=MIN(E269:E269)</f>
        <v>1</v>
      </c>
    </row>
    <row r="270" spans="2:7" ht="11.25">
      <c r="B270" s="2"/>
      <c r="D270" s="3" t="s">
        <v>44</v>
      </c>
      <c r="E270" s="401">
        <f>paramProd1OtherCost*finPNLBusAV3OverheadPctAlloc</f>
        <v>0</v>
      </c>
      <c r="F270" t="s">
        <v>2188</v>
      </c>
      <c r="G270" t="b">
        <f>MAX(E270:E270)=MIN(E270:E270)</f>
        <v>1</v>
      </c>
    </row>
    <row r="271" spans="2:7" ht="11.25">
      <c r="D271" t="s">
        <v>1340</v>
      </c>
      <c r="E271" s="396">
        <f>SUM(E268:E270)</f>
        <v>0</v>
      </c>
      <c r="F271" t="s">
        <v>4395</v>
      </c>
      <c r="G271" t="b">
        <f>MAX(E271:E271)=MIN(E271:E271)</f>
        <v>1</v>
      </c>
    </row>
    <row r="272" spans="2:7" ht="11.25">
      <c r="C272" t="str">
        <f>DataNameProd1 &amp; " Special Programs Expense"</f>
        <v>Consulting Special Programs Expense</v>
      </c>
      <c r="G272" t="b">
        <f>MAX(E272:E272)=MIN(E272:E272)</f>
        <v>1</v>
      </c>
    </row>
    <row r="273" spans="1:9" ht="11.25">
      <c r="D273" s="3" t="s">
        <v>42</v>
      </c>
      <c r="E273" s="324">
        <f>paramSpecProgBusAV1Exp</f>
        <v>0</v>
      </c>
      <c r="F273" s="700" t="s">
        <v>2189</v>
      </c>
      <c r="G273" t="b">
        <f>MAX(E273:E273)=MIN(E273:E273)</f>
        <v>1</v>
      </c>
    </row>
    <row r="274" spans="1:9" ht="11.25">
      <c r="D274" s="3" t="s">
        <v>43</v>
      </c>
      <c r="E274" s="324">
        <f>paramSpecProgBusAV2Exp</f>
        <v>0</v>
      </c>
      <c r="F274" t="s">
        <v>2190</v>
      </c>
      <c r="G274" t="b">
        <f>MAX(E274:E274)=MIN(E274:E274)</f>
        <v>1</v>
      </c>
    </row>
    <row r="275" spans="1:9" ht="11.25">
      <c r="D275" s="3" t="s">
        <v>44</v>
      </c>
      <c r="E275" s="401">
        <f>paramSpecProgBusAV3Exp</f>
        <v>0</v>
      </c>
      <c r="F275" t="s">
        <v>2191</v>
      </c>
      <c r="G275" t="b">
        <f>MAX(E275:E275)=MIN(E275:E275)</f>
        <v>1</v>
      </c>
    </row>
    <row r="276" spans="1:9" ht="11.25">
      <c r="D276" t="s">
        <v>1340</v>
      </c>
      <c r="E276" s="396">
        <f>SUM(E273:E275)+paramSpecProgProd3Exp</f>
        <v>0</v>
      </c>
      <c r="F276" t="s">
        <v>675</v>
      </c>
      <c r="G276" t="b">
        <f>MAX(E276:E276)=MIN(E276:E276)</f>
        <v>1</v>
      </c>
    </row>
    <row r="277" spans="1:9" ht="11.25">
      <c r="E277" s="396"/>
      <c r="G277" t="b">
        <f>MAX(E277:E277)=MIN(E277:E277)</f>
        <v>1</v>
      </c>
    </row>
    <row r="278" spans="1:9" ht="11.25">
      <c r="A278" s="2"/>
      <c r="B278" s="2" t="s">
        <v>2959</v>
      </c>
      <c r="C278" s="2"/>
      <c r="E278" s="396"/>
      <c r="F278" s="3"/>
      <c r="G278" t="b">
        <f>MAX(E278:E278)=MIN(E278:E278)</f>
        <v>1</v>
      </c>
      <c r="I278" s="3"/>
    </row>
    <row r="279" spans="1:9" ht="11.25">
      <c r="C279" t="str">
        <f>DataNameProd1 &amp; " Operating Expense"</f>
        <v>Consulting Operating Expense</v>
      </c>
      <c r="G279" t="b">
        <f>MAX(E279:E279)=MIN(E279:E279)</f>
        <v>1</v>
      </c>
    </row>
    <row r="280" spans="1:9" ht="11.25">
      <c r="D280" s="3" t="s">
        <v>42</v>
      </c>
      <c r="E280" s="323">
        <f>finPNLBusAV1BusDevTimeExp+finPNLBusAV1TotalGenMktExp+finPNLBusAV1UnallocTimeExp+finPNLBusAV1TotalGeneralTrainingBudgetExpense+finPNLBusAV1GeneralTrainingExp+finPNLBusAV1TtlAdminExp+finPNLBusAV1FixedAdminExp+finPNLBusAV1OtherExp+finPNLBusAV1SpecProgExp+finBusAV1BusDevNonPayroll+finPNLBusAV1RDExp</f>
        <v>76269711.095533788</v>
      </c>
      <c r="F280" t="s">
        <v>2146</v>
      </c>
      <c r="G280" t="b">
        <f>MAX(E280:E280)=MIN(E280:E280)</f>
        <v>1</v>
      </c>
    </row>
    <row r="281" spans="1:9" ht="11.25">
      <c r="D281" s="3" t="s">
        <v>43</v>
      </c>
      <c r="E281" s="323">
        <f>finPNLBusAV2BusDevTimeExp+finPNLBusAV2TotalGenMktExp+finPNLBusAV2UnallocTimeExp+finPNLBusAV2TotalGeneralTrainingBudgetExpense+finPNLBusAV2GeneralTrainingExp+finPNLBusAV2TtlAdminExp+finPNLBusAV2FixedAdminExp+finPNLBusAV2OtherExp+finPNLBusAV2SpecProgExp+finBusAV2BusDevNonPayroll+finPNLBusAV2RDExp</f>
        <v>42297364.416152656</v>
      </c>
      <c r="F281" t="s">
        <v>2192</v>
      </c>
      <c r="G281" t="b">
        <f>MAX(E281:E281)=MIN(E281:E281)</f>
        <v>1</v>
      </c>
    </row>
    <row r="282" spans="1:9" ht="11.25">
      <c r="D282" s="3" t="s">
        <v>44</v>
      </c>
      <c r="E282" s="806">
        <f>finPNLBusAV3BusDevTimeExp+finPNLBusAV3TotalGenMktExp+finPNLBusAV3UnallocTimeExp+finPNLBusAV3TotalGeneralTrainingBudgetExpense+finPNLBusAV3GeneralTrainingExp+finPNLBusAV3TtlAdminExp+finPNLBusAV3FixedAdminExp+finPNLBusAV3OtherExp+finPNLBusAV3SpecProgExp+finBusAV3BusDevNonPayroll+finPNLBusAV3RDExp</f>
        <v>21813864.63724969</v>
      </c>
      <c r="F282" t="s">
        <v>2193</v>
      </c>
      <c r="G282" t="b">
        <f>MAX(E282:E282)=MIN(E282:E282)</f>
        <v>1</v>
      </c>
    </row>
    <row r="283" spans="1:9" ht="11.25">
      <c r="D283" t="s">
        <v>1340</v>
      </c>
      <c r="E283" s="396">
        <f>SUM(E280:E282)</f>
        <v>140380940.14893612</v>
      </c>
      <c r="F283" t="s">
        <v>557</v>
      </c>
      <c r="G283" t="b">
        <f>MAX(E283:E283)=MIN(E283:E283)</f>
        <v>1</v>
      </c>
    </row>
    <row r="284" spans="1:9" ht="11.25">
      <c r="G284" t="b">
        <f>MAX(E284:E284)=MIN(E284:E284)</f>
        <v>1</v>
      </c>
    </row>
    <row r="285" spans="1:9" ht="11.25">
      <c r="C285" t="str">
        <f>DataNameProd1&amp;" Operating Profit"</f>
        <v>Consulting Operating Profit</v>
      </c>
      <c r="G285" t="b">
        <f>MAX(E285:E285)=MIN(E285:E285)</f>
        <v>1</v>
      </c>
    </row>
    <row r="286" spans="1:9" ht="11.25">
      <c r="D286" s="3" t="s">
        <v>42</v>
      </c>
      <c r="E286" s="324">
        <f>finPNLBusAV1CCI-finPNLBusAV1TotalOpExp</f>
        <v>-15053244.78940703</v>
      </c>
      <c r="F286" t="s">
        <v>561</v>
      </c>
      <c r="G286" t="b">
        <f>MAX(E286:E286)=MIN(E286:E286)</f>
        <v>1</v>
      </c>
    </row>
    <row r="287" spans="1:9" ht="11.25">
      <c r="D287" s="3" t="s">
        <v>43</v>
      </c>
      <c r="E287" s="324">
        <f>finPNLBusAV2CCI-finPNLBusAV2TotalOpExp</f>
        <v>-11405470.051196821</v>
      </c>
      <c r="F287" t="s">
        <v>562</v>
      </c>
      <c r="G287" t="b">
        <f>MAX(E287:E287)=MIN(E287:E287)</f>
        <v>1</v>
      </c>
    </row>
    <row r="288" spans="1:9" ht="11.25">
      <c r="D288" s="3" t="s">
        <v>44</v>
      </c>
      <c r="E288" s="401">
        <f>finPNLBusAV3CCI-finPNLBusAV3TotalOpExp</f>
        <v>-9542814.8579098489</v>
      </c>
      <c r="F288" t="s">
        <v>563</v>
      </c>
      <c r="G288" t="b">
        <f>MAX(E288:E288)=MIN(E288:E288)</f>
        <v>1</v>
      </c>
    </row>
    <row r="289" spans="1:9" ht="11.25">
      <c r="D289" t="s">
        <v>1340</v>
      </c>
      <c r="E289" s="396">
        <f>SUM(E286:E288)</f>
        <v>-36001529.698513702</v>
      </c>
      <c r="F289" t="s">
        <v>1269</v>
      </c>
      <c r="G289" t="b">
        <f>MAX(E289:E289)=MIN(E289:E289)</f>
        <v>1</v>
      </c>
    </row>
    <row r="290" spans="1:9" ht="11.25">
      <c r="G290" t="b">
        <f>MAX(E290:E290)=MIN(E290:E290)</f>
        <v>1</v>
      </c>
    </row>
    <row r="291" spans="1:9" ht="11.25">
      <c r="C291" t="str">
        <f>DataNameProd1&amp;" Operating Margin"</f>
        <v>Consulting Operating Margin</v>
      </c>
      <c r="G291" t="b">
        <f>MAX(E291:E291)=MIN(E291:E291)</f>
        <v>1</v>
      </c>
    </row>
    <row r="292" spans="1:9" ht="11.25">
      <c r="D292" s="3" t="s">
        <v>42</v>
      </c>
      <c r="E292" s="271">
        <f>finPNLBusAV1OpsMargin/finPNLProd1V1Rev</f>
        <v>-0.13070969816471451</v>
      </c>
      <c r="F292" t="s">
        <v>583</v>
      </c>
      <c r="G292" t="b">
        <f>MAX(E292:E292)=MIN(E292:E292)</f>
        <v>1</v>
      </c>
    </row>
    <row r="293" spans="1:9" ht="11.25">
      <c r="D293" s="3" t="s">
        <v>43</v>
      </c>
      <c r="E293" s="271">
        <f>finPNLBusAV2OpsMargin/finPNLProd1V2Rev</f>
        <v>-0.18202254386020991</v>
      </c>
      <c r="F293" t="s">
        <v>584</v>
      </c>
      <c r="G293" t="b">
        <f>MAX(E293:E293)=MIN(E293:E293)</f>
        <v>1</v>
      </c>
    </row>
    <row r="294" spans="1:9" ht="11.25">
      <c r="D294" s="3" t="s">
        <v>44</v>
      </c>
      <c r="E294" s="271">
        <f>finPNLBusAV3OpsMargin/finPNLProd1V3Rev</f>
        <v>-0.42062232509328745</v>
      </c>
      <c r="F294" t="s">
        <v>585</v>
      </c>
      <c r="G294" t="b">
        <f>MAX(E294:E294)=MIN(E294:E294)</f>
        <v>1</v>
      </c>
    </row>
    <row r="295" spans="1:9" ht="11.25">
      <c r="D295" t="s">
        <v>1340</v>
      </c>
      <c r="E295" s="314">
        <f>finPNLBusAOpsMargin/finPNLProd1Rev</f>
        <v>-0.17954755335102615</v>
      </c>
      <c r="F295" t="s">
        <v>586</v>
      </c>
      <c r="G295" t="b">
        <f>MAX(E295:E295)=MIN(E295:E295)</f>
        <v>1</v>
      </c>
    </row>
    <row r="296" spans="1:9" ht="11.25">
      <c r="G296" t="b">
        <f>MAX(E296:E296)=MIN(E296:E296)</f>
        <v>1</v>
      </c>
    </row>
    <row r="297" spans="1:9" ht="11.25">
      <c r="A297" s="2"/>
      <c r="C297" s="2"/>
      <c r="E297" s="396"/>
      <c r="F297" s="3"/>
      <c r="G297" t="b">
        <f>MAX(E297:E297)=MIN(E297:E297)</f>
        <v>1</v>
      </c>
      <c r="I297" s="3"/>
    </row>
    <row r="298" spans="1:9" s="26" customFormat="1" ht="11.25">
      <c r="B298" s="774" t="s">
        <v>1833</v>
      </c>
      <c r="E298" s="804"/>
      <c r="G298" s="26" t="b">
        <f>MAX(E298:E298)=MIN(E298:E298)</f>
        <v>1</v>
      </c>
    </row>
    <row r="299" spans="1:9" s="26" customFormat="1" ht="11.25">
      <c r="C299" s="96" t="s">
        <v>946</v>
      </c>
      <c r="E299" s="537">
        <f>finPNLBusBV1ModGrossMargin/(finPNLBusBV1ModGrossMargin+finPNLBusBV2ModGrossMargin+finPNLBusBV3ModGrossMargin)</f>
        <v>0.43749999999999994</v>
      </c>
      <c r="F299" s="26" t="s">
        <v>783</v>
      </c>
      <c r="G299" s="26" t="b">
        <f>MAX(E299:E299)=MIN(E299:E299)</f>
        <v>1</v>
      </c>
    </row>
    <row r="300" spans="1:9" s="26" customFormat="1" ht="11.25">
      <c r="C300" s="96" t="s">
        <v>947</v>
      </c>
      <c r="E300" s="537">
        <f>finPNLBusBV2ModGrossMargin/(finPNLBusBV1ModGrossMargin+finPNLBusBV2ModGrossMargin+finPNLBusBV3ModGrossMargin)</f>
        <v>0.29166666666666663</v>
      </c>
      <c r="F300" s="26" t="s">
        <v>784</v>
      </c>
      <c r="G300" s="26" t="b">
        <f>MAX(E300:E300)=MIN(E300:E300)</f>
        <v>1</v>
      </c>
    </row>
    <row r="301" spans="1:9" s="26" customFormat="1" ht="11.25">
      <c r="C301" s="96" t="s">
        <v>948</v>
      </c>
      <c r="E301" s="537">
        <f>finPNLBusBV3ModGrossMargin/(finPNLBusBV1ModGrossMargin+finPNLBusBV2ModGrossMargin+finPNLBusBV3ModGrossMargin)</f>
        <v>0.27083333333333343</v>
      </c>
      <c r="F301" s="26" t="s">
        <v>785</v>
      </c>
      <c r="G301" s="26" t="b">
        <f>MAX(E301:E301)=MIN(E301:E301)</f>
        <v>1</v>
      </c>
    </row>
    <row r="302" spans="1:9" ht="11.25">
      <c r="A302" s="2"/>
      <c r="C302" s="2"/>
      <c r="E302" s="396"/>
      <c r="F302" s="3"/>
      <c r="G302" t="b">
        <f>MAX(E302:E302)=MIN(E302:E302)</f>
        <v>1</v>
      </c>
      <c r="I302" s="3"/>
    </row>
    <row r="303" spans="1:9" s="2" customFormat="1" ht="11.25">
      <c r="C303" s="3" t="s">
        <v>2759</v>
      </c>
      <c r="D303" s="403"/>
      <c r="E303" s="399"/>
      <c r="F303"/>
      <c r="G303" t="b">
        <f>MAX(E303:E303)=MIN(E303:E303)</f>
        <v>1</v>
      </c>
    </row>
    <row r="304" spans="1:9" s="2" customFormat="1" ht="11.25">
      <c r="D304" t="s">
        <v>941</v>
      </c>
      <c r="E304" s="402">
        <f>E18*cbalBusBEmp1</f>
        <v>0</v>
      </c>
      <c r="F304"/>
      <c r="G304" t="b">
        <f>MAX(E304:E304)=MIN(E304:E304)</f>
        <v>1</v>
      </c>
    </row>
    <row r="305" spans="1:9" s="2" customFormat="1" ht="11.25">
      <c r="D305" t="s">
        <v>940</v>
      </c>
      <c r="E305" s="402">
        <f>E19*cbalBusBEmp2</f>
        <v>76500</v>
      </c>
      <c r="F305"/>
      <c r="G305" t="b">
        <f>MAX(E305:E305)=MIN(E305:E305)</f>
        <v>1</v>
      </c>
    </row>
    <row r="306" spans="1:9" s="2" customFormat="1" ht="11.25">
      <c r="D306" t="s">
        <v>939</v>
      </c>
      <c r="E306" s="402">
        <f>E20*cbalBusBEmp3</f>
        <v>76500</v>
      </c>
      <c r="F306"/>
      <c r="G306" t="b">
        <f>MAX(E306:E306)=MIN(E306:E306)</f>
        <v>1</v>
      </c>
    </row>
    <row r="307" spans="1:9" s="2" customFormat="1" ht="11.25">
      <c r="D307" t="s">
        <v>2757</v>
      </c>
      <c r="E307" s="400">
        <f>E21*cbalBusBEmp4</f>
        <v>46750</v>
      </c>
      <c r="F307"/>
      <c r="G307" t="b">
        <f>MAX(E307:E307)=MIN(E307:E307)</f>
        <v>1</v>
      </c>
    </row>
    <row r="308" spans="1:9" s="2" customFormat="1" ht="11.25">
      <c r="D308" s="403" t="s">
        <v>1340</v>
      </c>
      <c r="E308" s="396">
        <f>SUM(E304:E307)</f>
        <v>199750</v>
      </c>
      <c r="F308" t="s">
        <v>2310</v>
      </c>
      <c r="G308" t="b">
        <f>MAX(E308:E308)=MIN(E308:E308)</f>
        <v>1</v>
      </c>
    </row>
    <row r="309" spans="1:9" ht="11.25" hidden="1">
      <c r="A309" s="2"/>
      <c r="C309" s="2"/>
      <c r="E309" s="396"/>
      <c r="F309" s="3"/>
      <c r="G309" t="b">
        <f>MAX(E309:E309)=MIN(E309:E309)</f>
        <v>1</v>
      </c>
      <c r="I309" s="3"/>
    </row>
    <row r="310" spans="1:9" ht="11.25" hidden="1">
      <c r="A310" s="2"/>
      <c r="C310" s="2"/>
      <c r="E310" s="396"/>
      <c r="F310" s="3"/>
      <c r="G310" t="b">
        <f>MAX(E310:E310)=MIN(E310:E310)</f>
        <v>1</v>
      </c>
      <c r="I310" s="3"/>
    </row>
    <row r="311" spans="1:9" ht="11.25">
      <c r="A311" s="2"/>
      <c r="C311" s="2"/>
      <c r="E311" s="396"/>
      <c r="F311" s="3"/>
      <c r="G311" t="b">
        <f>MAX(E311:E311)=MIN(E311:E311)</f>
        <v>1</v>
      </c>
      <c r="I311" s="3"/>
    </row>
    <row r="312" spans="1:9" ht="11.25">
      <c r="A312" s="2"/>
      <c r="C312" s="2"/>
      <c r="E312" s="396"/>
      <c r="F312" s="3"/>
      <c r="G312" t="b">
        <f>MAX(E312:E312)=MIN(E312:E312)</f>
        <v>1</v>
      </c>
      <c r="I312" s="3"/>
    </row>
    <row r="313" spans="1:9">
      <c r="A313" s="19" t="str">
        <f>DataNameProd2</f>
        <v>Industry 1</v>
      </c>
      <c r="G313" t="b">
        <f>MAX(E313:E313)=MIN(E313:E313)</f>
        <v>1</v>
      </c>
    </row>
    <row r="314" spans="1:9" ht="11.25">
      <c r="B314" s="2" t="s">
        <v>1487</v>
      </c>
      <c r="G314" t="b">
        <f>MAX(E314:E314)=MIN(E314:E314)</f>
        <v>1</v>
      </c>
    </row>
    <row r="315" spans="1:9" ht="11.25">
      <c r="B315" s="2"/>
      <c r="C315" t="s">
        <v>942</v>
      </c>
      <c r="E315" s="324">
        <f>obalY1V1H1BidRev+obalY2V1H1BidRev+obalY3V1H1BidRev+(paramV1BaseRevenue/3)</f>
        <v>19413333.333333336</v>
      </c>
      <c r="G315" t="b">
        <f>MAX(E315:E315)=MIN(E315:E315)</f>
        <v>1</v>
      </c>
    </row>
    <row r="316" spans="1:9" ht="11.25">
      <c r="B316" s="2"/>
      <c r="C316" t="s">
        <v>943</v>
      </c>
      <c r="E316" s="324">
        <f>obalY1V1H2BidRev+obalY2V1H2BidRev+obalY3V1H2BidRev+(paramV1BaseRevenue/3)</f>
        <v>19413333.333333336</v>
      </c>
      <c r="G316" t="b">
        <f>MAX(E316:E316)=MIN(E316:E316)</f>
        <v>1</v>
      </c>
    </row>
    <row r="317" spans="1:9" ht="11.25">
      <c r="B317" s="2"/>
      <c r="C317" t="s">
        <v>944</v>
      </c>
      <c r="E317" s="324">
        <f>obalY1V1H3BidRev+obalY2V1H3BidRev+obalY3V1H3BidRev+(paramV1BaseRevenue/3)</f>
        <v>19413333.333333336</v>
      </c>
      <c r="G317" t="b">
        <f>MAX(E317:E317)=MIN(E317:E317)</f>
        <v>1</v>
      </c>
    </row>
    <row r="318" spans="1:9" ht="11.25">
      <c r="C318" s="2" t="str">
        <f>DataNameProd2 &amp; " Revenues"</f>
        <v>Industry 1 Revenues</v>
      </c>
      <c r="D318" s="2"/>
      <c r="E318" s="396">
        <f>SUM(E315:E317)</f>
        <v>58240000.000000007</v>
      </c>
      <c r="F318" t="s">
        <v>3316</v>
      </c>
      <c r="G318" t="b">
        <f>MAX(E318:E318)=MIN(E318:E318)</f>
        <v>1</v>
      </c>
    </row>
    <row r="319" spans="1:9" ht="11.25">
      <c r="B319" s="2" t="s">
        <v>234</v>
      </c>
      <c r="G319" t="b">
        <f>MAX(E319:E319)=MIN(E319:E319)</f>
        <v>1</v>
      </c>
    </row>
    <row r="320" spans="1:9" s="96" customFormat="1" ht="11.25">
      <c r="C320" s="96" t="s">
        <v>942</v>
      </c>
      <c r="D320" s="395"/>
      <c r="E320" s="324">
        <f>capY1V1H1COSRealized+capY2V1H1COSRealized+capY3V1H1COSRealized+(paramV1BaseCOS/3)</f>
        <v>15493333.333333336</v>
      </c>
      <c r="G320" t="b">
        <f>MAX(E320:E320)=MIN(E320:E320)</f>
        <v>1</v>
      </c>
    </row>
    <row r="321" spans="1:7" s="96" customFormat="1" ht="11.25">
      <c r="C321" t="s">
        <v>943</v>
      </c>
      <c r="E321" s="324">
        <f>capY1V1H2COSRealized+capY2V1H2COSRealized+capY3V1H2COSRealized+(paramV1BaseCOS/3)</f>
        <v>15493333.333333336</v>
      </c>
      <c r="G321" t="b">
        <f>MAX(E321:E321)=MIN(E321:E321)</f>
        <v>1</v>
      </c>
    </row>
    <row r="322" spans="1:7" ht="11.25">
      <c r="C322" t="s">
        <v>944</v>
      </c>
      <c r="D322" s="2"/>
      <c r="E322" s="324">
        <f>capY1V1H3COSRealized+capY2V1H3COSRealized+capY3V1H3COSRealized+(paramV1BaseCOS/3)</f>
        <v>15493333.333333336</v>
      </c>
      <c r="G322" t="b">
        <f>MAX(E322:E322)=MIN(E322:E322)</f>
        <v>1</v>
      </c>
    </row>
    <row r="323" spans="1:7" ht="11.25">
      <c r="C323" s="2" t="str">
        <f>DataNameProd2 &amp; " COS"</f>
        <v>Industry 1 COS</v>
      </c>
      <c r="D323" s="2"/>
      <c r="E323" s="396">
        <f>SUM(E320:E322)</f>
        <v>46480000.000000007</v>
      </c>
      <c r="F323" t="s">
        <v>3318</v>
      </c>
      <c r="G323" t="b">
        <f>MAX(E323:E323)=MIN(E323:E323)</f>
        <v>1</v>
      </c>
    </row>
    <row r="324" spans="1:7" ht="11.25">
      <c r="C324" s="2"/>
      <c r="D324" s="2"/>
      <c r="E324" s="396"/>
      <c r="G324" t="b">
        <f>MAX(E324:E324)=MIN(E324:E324)</f>
        <v>1</v>
      </c>
    </row>
    <row r="325" spans="1:7" ht="11.25">
      <c r="B325" s="2" t="s">
        <v>408</v>
      </c>
      <c r="D325" s="403"/>
      <c r="E325" s="399">
        <f>finEntSvcsExpAllocPctBusB*finEntSvcsTotalExp*finPNLBusBV1OverheadPctAlloc</f>
        <v>0</v>
      </c>
      <c r="F325" t="s">
        <v>3844</v>
      </c>
      <c r="G325" t="b">
        <f>MAX(E325:E325)=MIN(E325:E325)</f>
        <v>1</v>
      </c>
    </row>
    <row r="326" spans="1:7" ht="11.25">
      <c r="B326" s="2"/>
      <c r="D326" s="403"/>
      <c r="E326" s="399"/>
      <c r="G326" t="b">
        <f>MAX(E326:E326)=MIN(E326:E326)</f>
        <v>1</v>
      </c>
    </row>
    <row r="327" spans="1:7" ht="11.25">
      <c r="B327" s="2" t="s">
        <v>2059</v>
      </c>
      <c r="C327" s="2"/>
      <c r="E327" s="396"/>
      <c r="G327" t="b">
        <f>MAX(E327:E327)=MIN(E327:E327)</f>
        <v>1</v>
      </c>
    </row>
    <row r="328" spans="1:7" ht="11.25">
      <c r="C328" t="s">
        <v>941</v>
      </c>
      <c r="E328" s="402">
        <f>capBusBV1CompDevExpAllocPct*capEmp1BusBCompDevAllocExp</f>
        <v>0</v>
      </c>
      <c r="F328" t="s">
        <v>4466</v>
      </c>
      <c r="G328" t="b">
        <f>MAX(E328:E328)=MIN(E328:E328)</f>
        <v>1</v>
      </c>
    </row>
    <row r="329" spans="1:7" ht="11.25">
      <c r="C329" t="s">
        <v>940</v>
      </c>
      <c r="E329" s="402">
        <f>capBusBV1CompDevExpAllocPct*capEmp2BusBCompDevAllocExp</f>
        <v>0</v>
      </c>
      <c r="F329" t="s">
        <v>4467</v>
      </c>
      <c r="G329" t="b">
        <f>MAX(E329:E329)=MIN(E329:E329)</f>
        <v>1</v>
      </c>
    </row>
    <row r="330" spans="1:7" ht="11.25">
      <c r="C330" t="s">
        <v>939</v>
      </c>
      <c r="E330" s="402">
        <f>capBusBV1CompDevExpAllocPct*capEmp3BusBCompDevAllocExp</f>
        <v>0</v>
      </c>
      <c r="F330" t="s">
        <v>113</v>
      </c>
      <c r="G330" t="b">
        <f>MAX(E330:E330)=MIN(E330:E330)</f>
        <v>1</v>
      </c>
    </row>
    <row r="331" spans="1:7" ht="11.25">
      <c r="C331" t="s">
        <v>2757</v>
      </c>
      <c r="E331" s="400">
        <f>capBusBV1CompDevExpAllocPct*capEmp4BusBCompDevAllocExp</f>
        <v>0</v>
      </c>
      <c r="F331" t="s">
        <v>114</v>
      </c>
      <c r="G331" t="b">
        <f>MAX(E331:E331)=MIN(E331:E331)</f>
        <v>1</v>
      </c>
    </row>
    <row r="332" spans="1:7" ht="11.25">
      <c r="C332" s="2" t="s">
        <v>1340</v>
      </c>
      <c r="E332" s="396">
        <f>SUM(E328:E331)</f>
        <v>0</v>
      </c>
      <c r="F332" t="s">
        <v>925</v>
      </c>
      <c r="G332" t="b">
        <f>MAX(E332:E332)=MIN(E332:E332)</f>
        <v>1</v>
      </c>
    </row>
    <row r="333" spans="1:7">
      <c r="A333" s="19"/>
      <c r="C333" s="3"/>
      <c r="D333" s="3"/>
      <c r="E333" s="399"/>
      <c r="G333" t="b">
        <f>MAX(E333:E333)=MIN(E333:E333)</f>
        <v>1</v>
      </c>
    </row>
    <row r="334" spans="1:7" ht="11.25">
      <c r="B334" s="2" t="s">
        <v>1832</v>
      </c>
      <c r="C334" s="2"/>
      <c r="E334" s="396"/>
      <c r="G334" t="b">
        <f>MAX(E334:E334)=MIN(E334:E334)</f>
        <v>1</v>
      </c>
    </row>
    <row r="335" spans="1:7" ht="11.25">
      <c r="C335" t="s">
        <v>941</v>
      </c>
      <c r="E335" s="402">
        <f>capEmp1BusBGeneralTrainingAllocExp*finPNLBusBV1OverheadPctAlloc</f>
        <v>13999.999999999998</v>
      </c>
      <c r="F335" t="s">
        <v>1599</v>
      </c>
      <c r="G335" t="b">
        <f>MAX(E335:E335)=MIN(E335:E335)</f>
        <v>1</v>
      </c>
    </row>
    <row r="336" spans="1:7" ht="11.25">
      <c r="C336" t="s">
        <v>940</v>
      </c>
      <c r="E336" s="402">
        <f>capEmp2BusBGeneralTrainingAllocExp*finPNLBusBV1OverheadPctAlloc</f>
        <v>47249.999999999993</v>
      </c>
      <c r="F336" t="s">
        <v>1600</v>
      </c>
      <c r="G336" t="b">
        <f>MAX(E336:E336)=MIN(E336:E336)</f>
        <v>1</v>
      </c>
    </row>
    <row r="337" spans="2:7" ht="11.25">
      <c r="C337" t="s">
        <v>939</v>
      </c>
      <c r="E337" s="402">
        <f>capEmp3BusBGeneralTrainingAllocExp*finPNLBusBV1OverheadPctAlloc</f>
        <v>70874.999999999985</v>
      </c>
      <c r="F337" t="s">
        <v>1601</v>
      </c>
      <c r="G337" t="b">
        <f>MAX(E337:E337)=MIN(E337:E337)</f>
        <v>1</v>
      </c>
    </row>
    <row r="338" spans="2:7" ht="11.25">
      <c r="C338" t="s">
        <v>2757</v>
      </c>
      <c r="E338" s="400">
        <f>capEmp4BusBGeneralTrainingAllocExp*finPNLBusBV1OverheadPctAlloc</f>
        <v>57749.999999999993</v>
      </c>
      <c r="F338" t="s">
        <v>302</v>
      </c>
      <c r="G338" t="b">
        <f>MAX(E338:E338)=MIN(E338:E338)</f>
        <v>1</v>
      </c>
    </row>
    <row r="339" spans="2:7" ht="11.25">
      <c r="C339" s="2" t="s">
        <v>1340</v>
      </c>
      <c r="E339" s="396">
        <f>SUM(E335:E338)</f>
        <v>189874.99999999997</v>
      </c>
      <c r="F339" t="s">
        <v>926</v>
      </c>
      <c r="G339" t="b">
        <f>MAX(E339:E339)=MIN(E339:E339)</f>
        <v>1</v>
      </c>
    </row>
    <row r="340" spans="2:7" ht="11.25">
      <c r="C340" s="2"/>
      <c r="E340" s="396"/>
      <c r="G340" t="b">
        <f>MAX(E340:E340)=MIN(E340:E340)</f>
        <v>1</v>
      </c>
    </row>
    <row r="341" spans="2:7" ht="11.25">
      <c r="B341" s="2" t="s">
        <v>3400</v>
      </c>
      <c r="C341" s="2"/>
      <c r="E341" s="396"/>
      <c r="G341" t="b">
        <f>MAX(E341:E341)=MIN(E341:E341)</f>
        <v>1</v>
      </c>
    </row>
    <row r="342" spans="2:7" ht="11.25">
      <c r="C342" t="s">
        <v>941</v>
      </c>
      <c r="E342" s="396">
        <f>capEmp1BusBOpsImprovementExp*finPNLBusBV1OverheadPctAlloc</f>
        <v>38888.888888888883</v>
      </c>
      <c r="F342" t="s">
        <v>2194</v>
      </c>
      <c r="G342" t="b">
        <f>MAX(E342:E342)=MIN(E342:E342)</f>
        <v>1</v>
      </c>
    </row>
    <row r="343" spans="2:7" ht="11.25">
      <c r="C343" t="s">
        <v>940</v>
      </c>
      <c r="E343" s="396">
        <f>capEmp2BusBOpsImprovementExp*finPNLBusBV1OverheadPctAlloc</f>
        <v>157499.99999999997</v>
      </c>
      <c r="F343" t="s">
        <v>2195</v>
      </c>
      <c r="G343" t="b">
        <f>MAX(E343:E343)=MIN(E343:E343)</f>
        <v>1</v>
      </c>
    </row>
    <row r="344" spans="2:7" ht="11.25">
      <c r="C344" t="s">
        <v>939</v>
      </c>
      <c r="E344" s="396">
        <f>capEmp3BusBOpsImprovementExp*finPNLBusBV1OverheadPctAlloc</f>
        <v>147656.24999999997</v>
      </c>
      <c r="F344" t="s">
        <v>2196</v>
      </c>
      <c r="G344" t="b">
        <f>MAX(E344:E344)=MIN(E344:E344)</f>
        <v>1</v>
      </c>
    </row>
    <row r="345" spans="2:7" ht="11.25">
      <c r="C345" t="s">
        <v>2757</v>
      </c>
      <c r="E345" s="411">
        <f>capEmp4BusBOpsImprovementExp*finPNLBusBV1OverheadPctAlloc</f>
        <v>177187.49999999997</v>
      </c>
      <c r="F345" t="s">
        <v>1379</v>
      </c>
      <c r="G345" t="b">
        <f>MAX(E345:E345)=MIN(E345:E345)</f>
        <v>1</v>
      </c>
    </row>
    <row r="346" spans="2:7" ht="11.25">
      <c r="C346" s="2" t="s">
        <v>1340</v>
      </c>
      <c r="D346" s="403"/>
      <c r="E346" s="396">
        <f>SUM(E342:E345)</f>
        <v>521232.63888888876</v>
      </c>
      <c r="F346" t="s">
        <v>1380</v>
      </c>
      <c r="G346" t="b">
        <f>MAX(E346:E346)=MIN(E346:E346)</f>
        <v>1</v>
      </c>
    </row>
    <row r="347" spans="2:7" ht="11.25">
      <c r="C347" s="2"/>
      <c r="D347" s="2"/>
      <c r="E347" s="396"/>
      <c r="G347" t="b">
        <f>MAX(E347:E347)=MIN(E347:E347)</f>
        <v>1</v>
      </c>
    </row>
    <row r="348" spans="2:7" s="2" customFormat="1" ht="11.25">
      <c r="B348" s="3" t="str">
        <f>DataNameProd2 &amp; " Recruit/ Dismisall Expense"</f>
        <v>Industry 1 Recruit/ Dismisall Expense</v>
      </c>
      <c r="C348" s="3"/>
      <c r="E348" s="396"/>
      <c r="F348"/>
      <c r="G348" t="b">
        <f>MAX(E348:E348)=MIN(E348:E348)</f>
        <v>1</v>
      </c>
    </row>
    <row r="349" spans="2:7" s="2" customFormat="1" ht="11.25">
      <c r="B349" s="3"/>
      <c r="C349" t="s">
        <v>941</v>
      </c>
      <c r="E349" s="331">
        <f>capEmp1BusBRecDismExp*finPNLBusBV1OverheadPctAlloc</f>
        <v>0</v>
      </c>
      <c r="F349"/>
      <c r="G349" t="b">
        <f>MAX(E349:E349)=MIN(E349:E349)</f>
        <v>1</v>
      </c>
    </row>
    <row r="350" spans="2:7" s="2" customFormat="1" ht="11.25">
      <c r="B350" s="3"/>
      <c r="C350" t="s">
        <v>940</v>
      </c>
      <c r="E350" s="331">
        <f>capEmp2BusBRecDismExp*finPNLBusBV1OverheadPctAlloc</f>
        <v>0</v>
      </c>
      <c r="F350"/>
      <c r="G350" t="b">
        <f>MAX(E350:E350)=MIN(E350:E350)</f>
        <v>1</v>
      </c>
    </row>
    <row r="351" spans="2:7" s="2" customFormat="1" ht="11.25">
      <c r="B351" s="3"/>
      <c r="C351" t="s">
        <v>939</v>
      </c>
      <c r="E351" s="331">
        <f>capEmp3BusBRecDismExp*finPNLBusBV1OverheadPctAlloc</f>
        <v>0</v>
      </c>
      <c r="F351"/>
      <c r="G351" t="b">
        <f>MAX(E351:E351)=MIN(E351:E351)</f>
        <v>1</v>
      </c>
    </row>
    <row r="352" spans="2:7" s="2" customFormat="1" ht="11.25">
      <c r="B352" s="3"/>
      <c r="C352" t="s">
        <v>2757</v>
      </c>
      <c r="E352" s="401">
        <f>capEmp4BusBRecDismExp*finPNLBusBV1OverheadPctAlloc</f>
        <v>0</v>
      </c>
      <c r="F352"/>
      <c r="G352" t="b">
        <f>MAX(E352:E352)=MIN(E352:E352)</f>
        <v>1</v>
      </c>
    </row>
    <row r="353" spans="2:7" s="2" customFormat="1" ht="11.25">
      <c r="B353"/>
      <c r="C353" t="s">
        <v>1340</v>
      </c>
      <c r="E353" s="396">
        <f>SUM(E349:E352)</f>
        <v>0</v>
      </c>
      <c r="F353" t="s">
        <v>2666</v>
      </c>
      <c r="G353" t="b">
        <f>MAX(E353:E353)=MIN(E353:E353)</f>
        <v>1</v>
      </c>
    </row>
    <row r="354" spans="2:7" ht="11.25">
      <c r="C354" s="2"/>
      <c r="D354" s="2"/>
      <c r="E354" s="396"/>
      <c r="G354" t="b">
        <f>MAX(E354:E354)=MIN(E354:E354)</f>
        <v>1</v>
      </c>
    </row>
    <row r="355" spans="2:7" ht="11.25">
      <c r="B355" s="2" t="s">
        <v>513</v>
      </c>
      <c r="E355" s="324">
        <f>(finPNLBusBV1COSExp)*paramBusBQualityCostPctCOS</f>
        <v>6830724.478391123</v>
      </c>
      <c r="F355" t="s">
        <v>514</v>
      </c>
      <c r="G355" t="b">
        <f>MAX(E355:E355)=MIN(E355:E355)</f>
        <v>1</v>
      </c>
    </row>
    <row r="356" spans="2:7" ht="11.25">
      <c r="C356" s="2"/>
      <c r="D356" s="2"/>
      <c r="E356" s="396"/>
      <c r="G356" t="b">
        <f>MAX(E356:E356)=MIN(E356:E356)</f>
        <v>1</v>
      </c>
    </row>
    <row r="357" spans="2:7" ht="11.25">
      <c r="C357" s="2"/>
      <c r="D357" s="2"/>
      <c r="E357" s="396"/>
      <c r="G357" t="b">
        <f>MAX(E357:E357)=MIN(E357:E357)</f>
        <v>1</v>
      </c>
    </row>
    <row r="358" spans="2:7" ht="11.25">
      <c r="B358" s="2" t="s">
        <v>3698</v>
      </c>
      <c r="D358" s="2"/>
      <c r="E358" s="396">
        <f>finPNLBusBV1Rev-finPNLBusBV1COSExp-finPNLBusBV1CompDevExp-finPNLBusBV1GeneralTrainingExp-finPNLBusBV1OpsImproveExp-finPNLBusBV1EmpRecDismExp-finPNLBusBV1QualityCost-finPNLBusBEntSvcsV1ExpAlloc</f>
        <v>4218167.8827199889</v>
      </c>
      <c r="F358" t="s">
        <v>3317</v>
      </c>
      <c r="G358" t="b">
        <f>MAX(E358:E358)=MIN(E358:E358)</f>
        <v>1</v>
      </c>
    </row>
    <row r="359" spans="2:7" ht="11.25">
      <c r="C359" s="2"/>
      <c r="D359" s="2"/>
      <c r="E359" s="396"/>
      <c r="G359" t="b">
        <f>MAX(E359:E359)=MIN(E359:E359)</f>
        <v>1</v>
      </c>
    </row>
    <row r="360" spans="2:7" s="26" customFormat="1" ht="11.25">
      <c r="C360" s="774" t="s">
        <v>3697</v>
      </c>
      <c r="D360" s="774"/>
      <c r="E360" s="804">
        <f>finPNLBusBV1Rev-finPNLBusBV1COSExp</f>
        <v>11760000</v>
      </c>
      <c r="F360" s="26" t="s">
        <v>3699</v>
      </c>
      <c r="G360" s="26" t="b">
        <f>MAX(E360:E360)=MIN(E360:E360)</f>
        <v>1</v>
      </c>
    </row>
    <row r="361" spans="2:7" ht="11.25">
      <c r="C361" s="2"/>
      <c r="D361" s="2"/>
      <c r="E361" s="396"/>
      <c r="G361" t="b">
        <f>MAX(E361:E361)=MIN(E361:E361)</f>
        <v>1</v>
      </c>
    </row>
    <row r="362" spans="2:7" ht="11.25">
      <c r="E362" s="314"/>
      <c r="G362" t="b">
        <f>MAX(E362:E362)=MIN(E362:E362)</f>
        <v>1</v>
      </c>
    </row>
    <row r="363" spans="2:7" ht="11.25">
      <c r="B363" s="2" t="s">
        <v>2354</v>
      </c>
      <c r="C363" s="2"/>
      <c r="D363" s="2"/>
      <c r="E363" s="396"/>
      <c r="G363" t="b">
        <f>MAX(E363:E363)=MIN(E363:E363)</f>
        <v>1</v>
      </c>
    </row>
    <row r="364" spans="2:7" ht="11.25">
      <c r="C364" t="s">
        <v>940</v>
      </c>
      <c r="E364" s="399">
        <f>capEmp2BusBV1Exp</f>
        <v>110000</v>
      </c>
      <c r="F364" t="s">
        <v>115</v>
      </c>
      <c r="G364" t="b">
        <f>MAX(E364:E364)=MIN(E364:E364)</f>
        <v>1</v>
      </c>
    </row>
    <row r="365" spans="2:7" ht="11.25">
      <c r="C365" t="s">
        <v>939</v>
      </c>
      <c r="E365" s="399">
        <f>capEmp3BusBV1Exp</f>
        <v>135000</v>
      </c>
      <c r="F365" t="s">
        <v>117</v>
      </c>
      <c r="G365" t="b">
        <f>MAX(E365:E365)=MIN(E365:E365)</f>
        <v>1</v>
      </c>
    </row>
    <row r="366" spans="2:7" ht="11.25">
      <c r="C366" t="s">
        <v>2757</v>
      </c>
      <c r="E366" s="402">
        <f>capEmp4BusBV1Exp</f>
        <v>180000</v>
      </c>
      <c r="F366" t="s">
        <v>116</v>
      </c>
      <c r="G366" t="b">
        <f>MAX(E366:E366)=MIN(E366:E366)</f>
        <v>1</v>
      </c>
    </row>
    <row r="367" spans="2:7" ht="11.25">
      <c r="C367" t="s">
        <v>3054</v>
      </c>
      <c r="E367" s="400">
        <f>finEmp6SalesSupportExp*finEntSvcsExpAllocPctBusB*finPNLBusBV1OverheadPctAlloc</f>
        <v>0</v>
      </c>
      <c r="G367" t="b">
        <f>MAX(E367:E367)=MIN(E367:E367)</f>
        <v>1</v>
      </c>
    </row>
    <row r="368" spans="2:7" ht="11.25">
      <c r="C368" s="2" t="str">
        <f>DataNameProd2 &amp; " Business Development Expense"</f>
        <v>Industry 1 Business Development Expense</v>
      </c>
      <c r="E368" s="396">
        <f>SUM(E364:E367)</f>
        <v>425000</v>
      </c>
      <c r="F368" t="s">
        <v>786</v>
      </c>
      <c r="G368" t="b">
        <f>MAX(E368:E368)=MIN(E368:E368)</f>
        <v>1</v>
      </c>
    </row>
    <row r="369" spans="2:7" ht="11.25">
      <c r="C369" s="2" t="str">
        <f>DataNameProd2 &amp; " BD Non PayrollExpense"</f>
        <v>Industry 1 BD Non PayrollExpense</v>
      </c>
      <c r="E369" s="396">
        <f>capBusBBusDevNonPayrollBud*finPNLBusBV1OverheadPctAlloc</f>
        <v>360937.49999999994</v>
      </c>
      <c r="F369" t="s">
        <v>1226</v>
      </c>
      <c r="G369" t="b">
        <f>MAX(E369:E369)=MIN(E369:E369)</f>
        <v>1</v>
      </c>
    </row>
    <row r="370" spans="2:7" ht="11.25">
      <c r="B370" s="2" t="s">
        <v>2060</v>
      </c>
      <c r="E370" s="396"/>
      <c r="G370" t="b">
        <f>MAX(E370:E370)=MIN(E370:E370)</f>
        <v>1</v>
      </c>
    </row>
    <row r="371" spans="2:7" ht="11.25">
      <c r="B371" s="2"/>
      <c r="C371" t="s">
        <v>942</v>
      </c>
      <c r="E371" s="331">
        <f>((decBusBH1HrsBorrowed/paramEmp5HoursPYear)*paramEmp5Exp)*finPNLBusBV1OverheadPctAlloc</f>
        <v>0</v>
      </c>
      <c r="F371" t="s">
        <v>923</v>
      </c>
      <c r="G371" t="b">
        <f>MAX(E371:E371)=MIN(E371:E371)</f>
        <v>1</v>
      </c>
    </row>
    <row r="372" spans="2:7" ht="11.25">
      <c r="B372" s="2"/>
      <c r="C372" t="s">
        <v>943</v>
      </c>
      <c r="E372" s="331">
        <f>((decBusBH2HrsBorrowed/paramEmp5HoursPYear)*paramEmp5Exp)*finPNLBusBV1OverheadPctAlloc</f>
        <v>0</v>
      </c>
      <c r="F372" t="s">
        <v>924</v>
      </c>
      <c r="G372" t="b">
        <f>MAX(E372:E372)=MIN(E372:E372)</f>
        <v>1</v>
      </c>
    </row>
    <row r="373" spans="2:7" ht="11.25">
      <c r="B373" s="2"/>
      <c r="C373" t="s">
        <v>944</v>
      </c>
      <c r="E373" s="331">
        <f>((decBusBH3HrsBorrowed/paramEmp5HoursPYear)*paramEmp5Exp)*finPNLBusBV1OverheadPctAlloc</f>
        <v>0</v>
      </c>
      <c r="F373" t="s">
        <v>2412</v>
      </c>
      <c r="G373" t="b">
        <f>MAX(E373:E373)=MIN(E373:E373)</f>
        <v>1</v>
      </c>
    </row>
    <row r="374" spans="2:7" ht="11.25">
      <c r="B374" s="2"/>
      <c r="C374" s="2" t="s">
        <v>1340</v>
      </c>
      <c r="E374" s="396">
        <f>SUM(E371:E373)</f>
        <v>0</v>
      </c>
      <c r="F374" t="s">
        <v>2413</v>
      </c>
      <c r="G374" t="b">
        <f>MAX(E374:E374)=MIN(E374:E374)</f>
        <v>1</v>
      </c>
    </row>
    <row r="375" spans="2:7" ht="11.25">
      <c r="C375" s="2"/>
      <c r="D375" s="2"/>
      <c r="E375" s="396"/>
      <c r="G375" t="b">
        <f>MAX(E375:E375)=MIN(E375:E375)</f>
        <v>1</v>
      </c>
    </row>
    <row r="376" spans="2:7" ht="11.25">
      <c r="C376" s="2" t="s">
        <v>1173</v>
      </c>
      <c r="E376" s="396">
        <f>finEntSvcsMarketing*finEntSvcsExpAllocPctBusB*finPNLBusBV1OverheadPctAlloc</f>
        <v>0</v>
      </c>
      <c r="F376" t="s">
        <v>1061</v>
      </c>
      <c r="G376" t="b">
        <f>MAX(E376:E376)=MIN(E376:E376)</f>
        <v>1</v>
      </c>
    </row>
    <row r="377" spans="2:7" ht="11.25">
      <c r="C377" s="2"/>
      <c r="E377" s="396"/>
      <c r="G377" t="b">
        <f>MAX(E377:E377)=MIN(E377:E377)</f>
        <v>1</v>
      </c>
    </row>
    <row r="378" spans="2:7" s="2" customFormat="1" ht="11.25">
      <c r="B378" s="2" t="str">
        <f>DataNameProd1 &amp; " Administrative Expense"</f>
        <v>Consulting Administrative Expense</v>
      </c>
      <c r="E378" s="396"/>
      <c r="F378"/>
      <c r="G378" t="b">
        <f>MAX(E378:E378)=MIN(E378:E378)</f>
        <v>1</v>
      </c>
    </row>
    <row r="379" spans="2:7" s="2" customFormat="1" ht="11.25">
      <c r="B379" s="3" t="str">
        <f>DataNameProd2 &amp; " Unallocated Time Salary Expense"</f>
        <v>Industry 1 Unallocated Time Salary Expense</v>
      </c>
      <c r="E379" s="396"/>
      <c r="F379"/>
      <c r="G379" t="b">
        <f>MAX(E379:E379)=MIN(E379:E379)</f>
        <v>1</v>
      </c>
    </row>
    <row r="380" spans="2:7" s="2" customFormat="1" ht="11.25">
      <c r="B380" s="3"/>
      <c r="C380" t="s">
        <v>941</v>
      </c>
      <c r="E380" s="399">
        <f>capEmp1BusBNonBillExp*finPNLBusBV1OverheadPctAlloc</f>
        <v>104611.11111111111</v>
      </c>
      <c r="F380" t="s">
        <v>932</v>
      </c>
      <c r="G380" t="b">
        <f>MAX(E380:E380)=MIN(E380:E380)</f>
        <v>1</v>
      </c>
    </row>
    <row r="381" spans="2:7" s="2" customFormat="1" ht="11.25">
      <c r="B381" s="3"/>
      <c r="C381" t="s">
        <v>940</v>
      </c>
      <c r="E381" s="399">
        <f>capEmp2BusBNonBillExp*finPNLBusBV1OverheadPctAlloc</f>
        <v>534624.99999999988</v>
      </c>
      <c r="F381" t="s">
        <v>933</v>
      </c>
      <c r="G381" t="b">
        <f>MAX(E381:E381)=MIN(E381:E381)</f>
        <v>1</v>
      </c>
    </row>
    <row r="382" spans="2:7" s="2" customFormat="1" ht="11.25">
      <c r="B382" s="3"/>
      <c r="C382" t="s">
        <v>939</v>
      </c>
      <c r="E382" s="399">
        <f>capEmp3BusBNonBillExp*finPNLBusBV1OverheadPctAlloc</f>
        <v>903656.24999999988</v>
      </c>
      <c r="F382" t="s">
        <v>934</v>
      </c>
      <c r="G382" t="b">
        <f>MAX(E382:E382)=MIN(E382:E382)</f>
        <v>1</v>
      </c>
    </row>
    <row r="383" spans="2:7" s="2" customFormat="1" ht="11.25">
      <c r="B383" s="3"/>
      <c r="C383" t="s">
        <v>2757</v>
      </c>
      <c r="E383" s="400">
        <f>capEmp4BusBNonBillExp*finPNLBusBV1OverheadPctAlloc</f>
        <v>1130062.4999999998</v>
      </c>
      <c r="F383" t="s">
        <v>4465</v>
      </c>
      <c r="G383" t="b">
        <f>MAX(E383:E383)=MIN(E383:E383)</f>
        <v>1</v>
      </c>
    </row>
    <row r="384" spans="2:7" s="2" customFormat="1" ht="11.25">
      <c r="C384" t="s">
        <v>1340</v>
      </c>
      <c r="E384" s="406">
        <f>SUM(E380:E383)</f>
        <v>2672954.861111111</v>
      </c>
      <c r="F384" t="s">
        <v>782</v>
      </c>
      <c r="G384" t="b">
        <f>MAX(E384:E384)=MIN(E384:E384)</f>
        <v>1</v>
      </c>
    </row>
    <row r="385" spans="1:7">
      <c r="A385" s="19"/>
      <c r="C385" s="2"/>
      <c r="D385" s="3"/>
      <c r="E385" s="399"/>
      <c r="G385" t="b">
        <f>MAX(E385:E385)=MIN(E385:E385)</f>
        <v>1</v>
      </c>
    </row>
    <row r="386" spans="1:7" s="2" customFormat="1" ht="11.25">
      <c r="B386" s="3" t="s">
        <v>2759</v>
      </c>
      <c r="D386" s="403"/>
      <c r="E386" s="399">
        <f>finPNLBusBTotalGeneralTrainingBudgetExpense*finPNLBusBV1OverheadPctAlloc</f>
        <v>87390.624999999985</v>
      </c>
      <c r="F386" t="s">
        <v>1386</v>
      </c>
      <c r="G386" t="b">
        <f>MAX(E386:E386)=MIN(E386:E386)</f>
        <v>1</v>
      </c>
    </row>
    <row r="387" spans="1:7" s="2" customFormat="1" ht="11.25">
      <c r="B387" s="3"/>
      <c r="D387" s="403"/>
      <c r="E387" s="399"/>
      <c r="F387"/>
      <c r="G387" t="b">
        <f>MAX(E387:E387)=MIN(E387:E387)</f>
        <v>1</v>
      </c>
    </row>
    <row r="388" spans="1:7" s="2" customFormat="1" ht="11.25">
      <c r="B388" s="3" t="str">
        <f>DataNameProd2 &amp; " Employe Admin Expense"</f>
        <v>Industry 1 Employe Admin Expense</v>
      </c>
      <c r="C388" s="3"/>
      <c r="E388" s="396"/>
      <c r="F388"/>
      <c r="G388" t="b">
        <f>MAX(E388:E388)=MIN(E388:E388)</f>
        <v>1</v>
      </c>
    </row>
    <row r="389" spans="1:7" s="2" customFormat="1" ht="11.25">
      <c r="B389" s="3"/>
      <c r="C389" t="s">
        <v>941</v>
      </c>
      <c r="E389" s="324">
        <f>capEmp1BusBAdminExp*finPNLBusBV1OverheadPctAlloc</f>
        <v>7874.9999999999991</v>
      </c>
      <c r="F389"/>
      <c r="G389" t="b">
        <f>MAX(E389:E389)=MIN(E389:E389)</f>
        <v>1</v>
      </c>
    </row>
    <row r="390" spans="1:7" s="2" customFormat="1" ht="11.25">
      <c r="B390" s="3"/>
      <c r="C390" t="s">
        <v>940</v>
      </c>
      <c r="E390" s="331">
        <f>capEmp2BusBAdminExp*finPNLBusBV1OverheadPctAlloc</f>
        <v>39374.999999999993</v>
      </c>
      <c r="F390"/>
      <c r="G390" t="b">
        <f>MAX(E390:E390)=MIN(E390:E390)</f>
        <v>1</v>
      </c>
    </row>
    <row r="391" spans="1:7" s="2" customFormat="1" ht="11.25">
      <c r="B391" s="3"/>
      <c r="C391" t="s">
        <v>939</v>
      </c>
      <c r="E391" s="331">
        <f>capEmp3BusBAdminExp*finPNLBusBV1OverheadPctAlloc</f>
        <v>59062.499999999993</v>
      </c>
      <c r="F391"/>
      <c r="G391" t="b">
        <f>MAX(E391:E391)=MIN(E391:E391)</f>
        <v>1</v>
      </c>
    </row>
    <row r="392" spans="1:7" s="2" customFormat="1" ht="11.25">
      <c r="B392" s="3"/>
      <c r="C392" t="s">
        <v>2757</v>
      </c>
      <c r="E392" s="401">
        <f>capEmp4BusBAdminExp*finPNLBusBV1OverheadPctAlloc</f>
        <v>72187.499999999985</v>
      </c>
      <c r="F392"/>
      <c r="G392" t="b">
        <f>MAX(E392:E392)=MIN(E392:E392)</f>
        <v>1</v>
      </c>
    </row>
    <row r="393" spans="1:7" s="2" customFormat="1" ht="11.25">
      <c r="B393" s="3"/>
      <c r="C393" t="s">
        <v>1340</v>
      </c>
      <c r="E393" s="396">
        <f>SUM(E389:E392)</f>
        <v>178499.99999999997</v>
      </c>
      <c r="F393" t="s">
        <v>2667</v>
      </c>
      <c r="G393" t="b">
        <f>MAX(E393:E393)=MIN(E393:E393)</f>
        <v>1</v>
      </c>
    </row>
    <row r="394" spans="1:7" s="2" customFormat="1" ht="11.25">
      <c r="B394" s="3"/>
      <c r="C394"/>
      <c r="E394" s="396"/>
      <c r="F394"/>
      <c r="G394" t="b">
        <f>MAX(E394:E394)=MIN(E394:E394)</f>
        <v>1</v>
      </c>
    </row>
    <row r="395" spans="1:7" s="2" customFormat="1" ht="11.25">
      <c r="B395"/>
      <c r="C395"/>
      <c r="E395" s="396"/>
      <c r="F395"/>
      <c r="G395" t="b">
        <f>MAX(E395:E395)=MIN(E395:E395)</f>
        <v>1</v>
      </c>
    </row>
    <row r="396" spans="1:7" s="2" customFormat="1" ht="11.25">
      <c r="B396" s="3" t="str">
        <f>DataNameProd2 &amp; " Fixed Admin Expense"</f>
        <v>Industry 1 Fixed Admin Expense</v>
      </c>
      <c r="C396" s="3"/>
      <c r="E396" s="402">
        <f>paramProd2FixedAdmin*finPNLBusBV1OverheadPctAlloc</f>
        <v>437499.99999999994</v>
      </c>
      <c r="F396" t="s">
        <v>922</v>
      </c>
      <c r="G396" t="b">
        <f>MAX(E396:E396)=MIN(E396:E396)</f>
        <v>1</v>
      </c>
    </row>
    <row r="397" spans="1:7" s="2" customFormat="1" ht="11.25">
      <c r="B397" s="3"/>
      <c r="C397" s="3"/>
      <c r="E397" s="396"/>
      <c r="F397"/>
      <c r="G397" t="b">
        <f>MAX(E397:E397)=MIN(E397:E397)</f>
        <v>1</v>
      </c>
    </row>
    <row r="398" spans="1:7" ht="11.25">
      <c r="B398" s="2" t="s">
        <v>3758</v>
      </c>
      <c r="G398" t="b">
        <f>MAX(E398:E398)=MIN(E398:E398)</f>
        <v>1</v>
      </c>
    </row>
    <row r="399" spans="1:7" ht="11.25">
      <c r="B399" s="2"/>
      <c r="G399" t="b">
        <f>MAX(E399:E399)=MIN(E399:E399)</f>
        <v>1</v>
      </c>
    </row>
    <row r="400" spans="1:7" ht="11.25">
      <c r="C400" t="str">
        <f>DataNameProd2 &amp; " Other Expense"</f>
        <v>Industry 1 Other Expense</v>
      </c>
      <c r="E400" s="324">
        <f>paramProd2OtherCost*finPNLBusBV1OverheadPctAlloc</f>
        <v>437499.99999999994</v>
      </c>
      <c r="F400" t="s">
        <v>848</v>
      </c>
      <c r="G400" t="b">
        <f>MAX(E400:E400)=MIN(E400:E400)</f>
        <v>1</v>
      </c>
    </row>
    <row r="401" spans="1:9" ht="11.25">
      <c r="G401" t="b">
        <f>MAX(E401:E401)=MIN(E401:E401)</f>
        <v>1</v>
      </c>
    </row>
    <row r="402" spans="1:9" ht="11.25">
      <c r="C402" t="str">
        <f>DataNameProd2 &amp; " Special Programs Expense"</f>
        <v>Industry 1 Special Programs Expense</v>
      </c>
      <c r="E402" s="324">
        <f>paramSpecProgBusBV1Exp</f>
        <v>0</v>
      </c>
      <c r="F402" t="s">
        <v>849</v>
      </c>
      <c r="G402" t="b">
        <f>MAX(E402:E402)=MIN(E402:E402)</f>
        <v>1</v>
      </c>
    </row>
    <row r="403" spans="1:9" s="2" customFormat="1" ht="11.25">
      <c r="B403" s="3"/>
      <c r="C403" s="3"/>
      <c r="E403" s="396"/>
      <c r="F403"/>
      <c r="G403" t="b">
        <f>MAX(E403:E403)=MIN(E403:E403)</f>
        <v>1</v>
      </c>
    </row>
    <row r="404" spans="1:9" ht="11.25">
      <c r="A404" s="2"/>
      <c r="B404" s="2" t="s">
        <v>2959</v>
      </c>
      <c r="C404" s="2"/>
      <c r="E404" s="396"/>
      <c r="F404" s="3"/>
      <c r="G404" t="b">
        <f>MAX(E404:E404)=MIN(E404:E404)</f>
        <v>1</v>
      </c>
      <c r="I404" s="3"/>
    </row>
    <row r="405" spans="1:9" ht="11.25">
      <c r="C405" t="str">
        <f>DataNameProd2 &amp; " Operating Expense"</f>
        <v>Industry 1 Operating Expense</v>
      </c>
      <c r="E405" s="324">
        <f>finBusBV1BusDevTimeExp+finPNLBusBV1TotalGenMktExp+finPNLBusBV1UnallocTimeExp+finPNLBusBV1GeneralTrainingBudgetExpense+finPNLBusBV1TtlEmpAdminExp+finPNLBusBV1FixedAdminExp+finPNLBusBV1OtherExp+finPNLBusBV1SpecProgExp+finPNLBusBV1TotalGlobalSalaryExp+finBusBV1BusDevNonPayroll</f>
        <v>4599782.986111111</v>
      </c>
      <c r="F405" t="s">
        <v>2668</v>
      </c>
      <c r="G405" t="b">
        <f>MAX(E405:E405)=MIN(E405:E405)</f>
        <v>1</v>
      </c>
    </row>
    <row r="406" spans="1:9" ht="11.25">
      <c r="G406" t="b">
        <f>MAX(E406:E406)=MIN(E406:E406)</f>
        <v>1</v>
      </c>
    </row>
    <row r="407" spans="1:9" ht="11.25">
      <c r="C407" t="str">
        <f>DataNameProd2&amp;" Operating Profit"</f>
        <v>Industry 1 Operating Profit</v>
      </c>
      <c r="E407" s="324">
        <f>finPNLBusBV1GrossMargin-finPNLBusBV1TotalOpExp</f>
        <v>-381615.10339112207</v>
      </c>
      <c r="F407" t="s">
        <v>2669</v>
      </c>
      <c r="G407" t="b">
        <f>MAX(E407:E407)=MIN(E407:E407)</f>
        <v>1</v>
      </c>
    </row>
    <row r="408" spans="1:9" ht="11.25">
      <c r="G408" t="b">
        <f>MAX(E408:E408)=MIN(E408:E408)</f>
        <v>1</v>
      </c>
    </row>
    <row r="409" spans="1:9" ht="11.25">
      <c r="C409" t="str">
        <f>DataNameProd2&amp;" Operating Margin"</f>
        <v>Industry 1 Operating Margin</v>
      </c>
      <c r="E409" s="271">
        <f>finPNLBusBV1OpsMargin/finPNLBusBV1Rev</f>
        <v>-6.5524571324025076E-3</v>
      </c>
      <c r="F409" t="s">
        <v>2670</v>
      </c>
      <c r="G409" t="b">
        <f>MAX(E409:E409)=MIN(E409:E409)</f>
        <v>1</v>
      </c>
    </row>
    <row r="410" spans="1:9" s="2" customFormat="1" ht="11.25">
      <c r="B410" s="3"/>
      <c r="C410" s="3"/>
      <c r="D410" s="403"/>
      <c r="E410" s="324"/>
      <c r="F410"/>
      <c r="G410" t="b">
        <f>MAX(E410:E410)=MIN(E410:E410)</f>
        <v>1</v>
      </c>
    </row>
    <row r="411" spans="1:9">
      <c r="A411" s="19" t="str">
        <f>DataNameProd3</f>
        <v>Industry 2</v>
      </c>
      <c r="G411" t="b">
        <f>MAX(E411:E411)=MIN(E411:E411)</f>
        <v>1</v>
      </c>
    </row>
    <row r="412" spans="1:9" ht="11.25">
      <c r="B412" s="2" t="s">
        <v>1487</v>
      </c>
      <c r="G412" t="b">
        <f>MAX(E412:E412)=MIN(E412:E412)</f>
        <v>1</v>
      </c>
    </row>
    <row r="413" spans="1:9" ht="11.25">
      <c r="B413" s="2"/>
      <c r="C413" t="s">
        <v>942</v>
      </c>
      <c r="E413" s="324">
        <f>obalY1V2H1BidRev+obalY2V2H1BidRev+obalY3V2H1BidRev+(paramV2BaseRevenue/3)</f>
        <v>11573333.333333334</v>
      </c>
      <c r="G413" t="b">
        <f>MAX(E413:E413)=MIN(E413:E413)</f>
        <v>1</v>
      </c>
    </row>
    <row r="414" spans="1:9" ht="11.25">
      <c r="B414" s="2"/>
      <c r="C414" t="s">
        <v>943</v>
      </c>
      <c r="E414" s="324">
        <f>obalY1V2H2BidRev+obalY2V2H2BidRev+obalY3V2H2BidRev+(paramV2BaseRevenue/3)</f>
        <v>11573333.333333334</v>
      </c>
      <c r="G414" t="b">
        <f>MAX(E414:E414)=MIN(E414:E414)</f>
        <v>1</v>
      </c>
    </row>
    <row r="415" spans="1:9" ht="11.25">
      <c r="B415" s="2"/>
      <c r="C415" t="s">
        <v>944</v>
      </c>
      <c r="E415" s="324">
        <f>obalY1V2H3BidRev+obalY2V2H3BidRev+obalY3V2H3BidRev+(paramV2BaseRevenue/3)</f>
        <v>11573333.333333334</v>
      </c>
      <c r="G415" t="b">
        <f>MAX(E415:E415)=MIN(E415:E415)</f>
        <v>1</v>
      </c>
    </row>
    <row r="416" spans="1:9" ht="11.25">
      <c r="C416" s="2" t="str">
        <f>DataNameProd3 &amp; " Revenues"</f>
        <v>Industry 2 Revenues</v>
      </c>
      <c r="D416" s="2"/>
      <c r="E416" s="396">
        <f>SUM(E413:E415)</f>
        <v>34720000</v>
      </c>
      <c r="F416" t="s">
        <v>3302</v>
      </c>
      <c r="G416" t="b">
        <f>MAX(E416:E416)=MIN(E416:E416)</f>
        <v>1</v>
      </c>
    </row>
    <row r="417" spans="1:7" ht="11.25">
      <c r="B417" s="2" t="s">
        <v>234</v>
      </c>
      <c r="G417" t="b">
        <f>MAX(E417:E417)=MIN(E417:E417)</f>
        <v>1</v>
      </c>
    </row>
    <row r="418" spans="1:7" s="96" customFormat="1" ht="11.25">
      <c r="C418" s="96" t="s">
        <v>942</v>
      </c>
      <c r="D418" s="395"/>
      <c r="E418" s="324">
        <f>capY1V2H1COSRealized+capY2V2H1COSRealized+capY3V2H1COSRealized+(paramV2BaseCOS/3)</f>
        <v>8960000</v>
      </c>
      <c r="G418" t="b">
        <f>MAX(E418:E418)=MIN(E418:E418)</f>
        <v>1</v>
      </c>
    </row>
    <row r="419" spans="1:7" s="96" customFormat="1" ht="11.25">
      <c r="C419" t="s">
        <v>943</v>
      </c>
      <c r="E419" s="324">
        <f>capY1V2H2COSRealized+capY2V2H2COSRealized+capY3V2H2COSRealized+(paramV2BaseCOS/3)</f>
        <v>8960000</v>
      </c>
      <c r="G419" t="b">
        <f>MAX(E419:E419)=MIN(E419:E419)</f>
        <v>1</v>
      </c>
    </row>
    <row r="420" spans="1:7" ht="11.25">
      <c r="C420" t="s">
        <v>944</v>
      </c>
      <c r="D420" s="2"/>
      <c r="E420" s="324">
        <f>capY1V2H3COSRealized+capY2V2H3COSRealized+capY3V2H3COSRealized+(paramV2BaseCOS/3)</f>
        <v>8960000</v>
      </c>
      <c r="G420" t="b">
        <f>MAX(E420:E420)=MIN(E420:E420)</f>
        <v>1</v>
      </c>
    </row>
    <row r="421" spans="1:7" ht="11.25">
      <c r="C421" s="2" t="str">
        <f>DataNameProd3 &amp; " COS"</f>
        <v>Industry 2 COS</v>
      </c>
      <c r="D421" s="2"/>
      <c r="E421" s="396">
        <f>SUM(E418:E420)</f>
        <v>26880000</v>
      </c>
      <c r="F421" t="s">
        <v>3303</v>
      </c>
      <c r="G421" t="b">
        <f>MAX(E421:E421)=MIN(E421:E421)</f>
        <v>1</v>
      </c>
    </row>
    <row r="422" spans="1:7" ht="11.25">
      <c r="C422" s="2"/>
      <c r="E422" s="396"/>
      <c r="G422" t="b">
        <f>MAX(E422:E422)=MIN(E422:E422)</f>
        <v>1</v>
      </c>
    </row>
    <row r="423" spans="1:7" ht="11.25">
      <c r="B423" s="2" t="s">
        <v>408</v>
      </c>
      <c r="D423" s="403"/>
      <c r="E423" s="399">
        <f>finEntSvcsExpAllocPctBusB*finEntSvcsTotalExp*finPNLBusBV2OverheadPctAlloc</f>
        <v>0</v>
      </c>
      <c r="F423" t="s">
        <v>3567</v>
      </c>
      <c r="G423" t="b">
        <f>MAX(E423:E423)=MIN(E423:E423)</f>
        <v>1</v>
      </c>
    </row>
    <row r="424" spans="1:7" ht="11.25">
      <c r="C424" s="2"/>
      <c r="D424" s="403"/>
      <c r="E424" s="399"/>
      <c r="G424" t="b">
        <f>MAX(E424:E424)=MIN(E424:E424)</f>
        <v>1</v>
      </c>
    </row>
    <row r="425" spans="1:7" ht="11.25">
      <c r="C425" s="2"/>
      <c r="D425" s="2"/>
      <c r="E425" s="396"/>
      <c r="G425" t="b">
        <f>MAX(E425:E425)=MIN(E425:E425)</f>
        <v>1</v>
      </c>
    </row>
    <row r="426" spans="1:7" ht="11.25">
      <c r="B426" s="2" t="s">
        <v>2059</v>
      </c>
      <c r="C426" s="2"/>
      <c r="E426" s="396"/>
      <c r="G426" t="b">
        <f>MAX(E426:E426)=MIN(E426:E426)</f>
        <v>1</v>
      </c>
    </row>
    <row r="427" spans="1:7" ht="11.25">
      <c r="C427" t="s">
        <v>941</v>
      </c>
      <c r="E427" s="402">
        <f>capBusBV2CompDevExpAllocPct*capEmp1BusBCompDevAllocExp</f>
        <v>0</v>
      </c>
      <c r="F427" t="s">
        <v>588</v>
      </c>
      <c r="G427" t="b">
        <f>MAX(E427:E427)=MIN(E427:E427)</f>
        <v>1</v>
      </c>
    </row>
    <row r="428" spans="1:7" ht="11.25">
      <c r="C428" t="s">
        <v>940</v>
      </c>
      <c r="E428" s="402">
        <f>capBusBV2CompDevExpAllocPct*capEmp2BusBCompDevAllocExp</f>
        <v>0</v>
      </c>
      <c r="F428" t="s">
        <v>589</v>
      </c>
      <c r="G428" t="b">
        <f>MAX(E428:E428)=MIN(E428:E428)</f>
        <v>1</v>
      </c>
    </row>
    <row r="429" spans="1:7" ht="11.25">
      <c r="C429" t="s">
        <v>939</v>
      </c>
      <c r="E429" s="402">
        <f>capBusBV2CompDevExpAllocPct*capEmp3BusBCompDevAllocExp</f>
        <v>0</v>
      </c>
      <c r="F429" t="s">
        <v>590</v>
      </c>
      <c r="G429" t="b">
        <f>MAX(E429:E429)=MIN(E429:E429)</f>
        <v>1</v>
      </c>
    </row>
    <row r="430" spans="1:7" ht="11.25">
      <c r="C430" t="s">
        <v>2757</v>
      </c>
      <c r="E430" s="400">
        <f>capBusBV2CompDevExpAllocPct*capEmp4BusBCompDevAllocExp</f>
        <v>0</v>
      </c>
      <c r="F430" t="s">
        <v>591</v>
      </c>
      <c r="G430" t="b">
        <f>MAX(E430:E430)=MIN(E430:E430)</f>
        <v>1</v>
      </c>
    </row>
    <row r="431" spans="1:7" ht="11.25">
      <c r="C431" s="2" t="s">
        <v>1340</v>
      </c>
      <c r="E431" s="396">
        <f>SUM(E427:E430)</f>
        <v>0</v>
      </c>
      <c r="F431" t="s">
        <v>592</v>
      </c>
      <c r="G431" t="b">
        <f>MAX(E431:E431)=MIN(E431:E431)</f>
        <v>1</v>
      </c>
    </row>
    <row r="432" spans="1:7">
      <c r="A432" s="19"/>
      <c r="C432" s="3"/>
      <c r="D432" s="3"/>
      <c r="E432" s="399"/>
      <c r="G432" t="b">
        <f>MAX(E432:E432)=MIN(E432:E432)</f>
        <v>1</v>
      </c>
    </row>
    <row r="433" spans="2:7" ht="11.25">
      <c r="B433" s="2" t="s">
        <v>1832</v>
      </c>
      <c r="C433" s="2"/>
      <c r="E433" s="396"/>
      <c r="G433" t="b">
        <f>MAX(E433:E433)=MIN(E433:E433)</f>
        <v>1</v>
      </c>
    </row>
    <row r="434" spans="2:7" ht="11.25">
      <c r="C434" t="s">
        <v>941</v>
      </c>
      <c r="E434" s="402">
        <f>capEmp1BusBGeneralTrainingAllocExp*finPNLBusBV2OverheadPctAlloc</f>
        <v>9333.3333333333321</v>
      </c>
      <c r="F434" t="s">
        <v>593</v>
      </c>
      <c r="G434" t="b">
        <f>MAX(E434:E434)=MIN(E434:E434)</f>
        <v>1</v>
      </c>
    </row>
    <row r="435" spans="2:7" ht="11.25">
      <c r="C435" t="s">
        <v>940</v>
      </c>
      <c r="E435" s="402">
        <f>capEmp2BusBGeneralTrainingAllocExp*finPNLBusBV2OverheadPctAlloc</f>
        <v>31499.999999999996</v>
      </c>
      <c r="F435" t="s">
        <v>594</v>
      </c>
      <c r="G435" t="b">
        <f>MAX(E435:E435)=MIN(E435:E435)</f>
        <v>1</v>
      </c>
    </row>
    <row r="436" spans="2:7" ht="11.25">
      <c r="C436" t="s">
        <v>939</v>
      </c>
      <c r="E436" s="402">
        <f>capEmp3BusBGeneralTrainingAllocExp*finPNLBusBV2OverheadPctAlloc</f>
        <v>47249.999999999993</v>
      </c>
      <c r="F436" t="s">
        <v>595</v>
      </c>
      <c r="G436" t="b">
        <f>MAX(E436:E436)=MIN(E436:E436)</f>
        <v>1</v>
      </c>
    </row>
    <row r="437" spans="2:7" ht="11.25">
      <c r="C437" t="s">
        <v>2757</v>
      </c>
      <c r="E437" s="400">
        <f>capEmp4BusBGeneralTrainingAllocExp*finPNLBusBV2OverheadPctAlloc</f>
        <v>38499.999999999993</v>
      </c>
      <c r="F437" t="s">
        <v>3383</v>
      </c>
      <c r="G437" t="b">
        <f>MAX(E437:E437)=MIN(E437:E437)</f>
        <v>1</v>
      </c>
    </row>
    <row r="438" spans="2:7" ht="11.25">
      <c r="C438" s="2" t="s">
        <v>1340</v>
      </c>
      <c r="E438" s="396">
        <f>SUM(E434:E437)</f>
        <v>126583.33333333331</v>
      </c>
      <c r="F438" t="s">
        <v>3384</v>
      </c>
      <c r="G438" t="b">
        <f>MAX(E438:E438)=MIN(E438:E438)</f>
        <v>1</v>
      </c>
    </row>
    <row r="439" spans="2:7" ht="11.25">
      <c r="C439" s="2"/>
      <c r="E439" s="396"/>
      <c r="G439" t="b">
        <f>MAX(E439:E439)=MIN(E439:E439)</f>
        <v>1</v>
      </c>
    </row>
    <row r="440" spans="2:7" ht="11.25">
      <c r="B440" s="2" t="s">
        <v>3400</v>
      </c>
      <c r="C440" s="2"/>
      <c r="E440" s="396"/>
      <c r="G440" t="b">
        <f>MAX(E440:E440)=MIN(E440:E440)</f>
        <v>1</v>
      </c>
    </row>
    <row r="441" spans="2:7" ht="11.25">
      <c r="C441" t="s">
        <v>941</v>
      </c>
      <c r="E441" s="396">
        <f>capEmp1BusBOpsImprovementExp*finPNLBusBV2OverheadPctAlloc</f>
        <v>25925.925925925923</v>
      </c>
      <c r="F441" t="s">
        <v>1381</v>
      </c>
      <c r="G441" t="b">
        <f>MAX(E441:E441)=MIN(E441:E441)</f>
        <v>1</v>
      </c>
    </row>
    <row r="442" spans="2:7" ht="11.25">
      <c r="C442" t="s">
        <v>940</v>
      </c>
      <c r="E442" s="396">
        <f>capEmp2BusBOpsImprovementExp*finPNLBusBV2OverheadPctAlloc</f>
        <v>104999.99999999999</v>
      </c>
      <c r="F442" t="s">
        <v>1382</v>
      </c>
      <c r="G442" t="b">
        <f>MAX(E442:E442)=MIN(E442:E442)</f>
        <v>1</v>
      </c>
    </row>
    <row r="443" spans="2:7" ht="11.25">
      <c r="C443" t="s">
        <v>939</v>
      </c>
      <c r="E443" s="396">
        <f>capEmp3BusBOpsImprovementExp*finPNLBusBV2OverheadPctAlloc</f>
        <v>98437.499999999985</v>
      </c>
      <c r="F443" t="s">
        <v>2973</v>
      </c>
      <c r="G443" t="b">
        <f>MAX(E443:E443)=MIN(E443:E443)</f>
        <v>1</v>
      </c>
    </row>
    <row r="444" spans="2:7" ht="11.25">
      <c r="C444" t="s">
        <v>2757</v>
      </c>
      <c r="E444" s="411">
        <f>capEmp4BusBOpsImprovementExp*finPNLBusBV2OverheadPctAlloc</f>
        <v>118124.99999999999</v>
      </c>
      <c r="F444" t="s">
        <v>2974</v>
      </c>
      <c r="G444" t="b">
        <f>MAX(E444:E444)=MIN(E444:E444)</f>
        <v>1</v>
      </c>
    </row>
    <row r="445" spans="2:7" ht="11.25">
      <c r="C445" s="2" t="s">
        <v>1340</v>
      </c>
      <c r="D445" s="403"/>
      <c r="E445" s="396">
        <f>SUM(E441:E444)</f>
        <v>347488.4259259259</v>
      </c>
      <c r="F445" t="s">
        <v>1728</v>
      </c>
      <c r="G445" t="b">
        <f>MAX(E445:E445)=MIN(E445:E445)</f>
        <v>1</v>
      </c>
    </row>
    <row r="446" spans="2:7" ht="11.25">
      <c r="C446" s="2"/>
      <c r="D446" s="2"/>
      <c r="E446" s="396"/>
      <c r="G446" t="b">
        <f>MAX(E446:E446)=MIN(E446:E446)</f>
        <v>1</v>
      </c>
    </row>
    <row r="447" spans="2:7" s="2" customFormat="1" ht="11.25">
      <c r="B447" s="3" t="str">
        <f>DataNameProd3 &amp; " Recruit/ Dismisall Expense"</f>
        <v>Industry 2 Recruit/ Dismisall Expense</v>
      </c>
      <c r="C447" s="3"/>
      <c r="E447" s="396"/>
      <c r="F447"/>
      <c r="G447" t="b">
        <f>MAX(E447:E447)=MIN(E447:E447)</f>
        <v>1</v>
      </c>
    </row>
    <row r="448" spans="2:7" s="2" customFormat="1" ht="11.25">
      <c r="B448" s="3"/>
      <c r="C448" t="s">
        <v>941</v>
      </c>
      <c r="E448" s="331">
        <f>capEmp1BusBRecDismExp*finPNLBusBV2OverheadPctAlloc</f>
        <v>0</v>
      </c>
      <c r="F448"/>
      <c r="G448" t="b">
        <f>MAX(E448:E448)=MIN(E448:E448)</f>
        <v>1</v>
      </c>
    </row>
    <row r="449" spans="2:7" s="2" customFormat="1" ht="11.25">
      <c r="B449" s="3"/>
      <c r="C449" t="s">
        <v>940</v>
      </c>
      <c r="E449" s="331">
        <f>capEmp2BusBRecDismExp*finPNLBusBV2OverheadPctAlloc</f>
        <v>0</v>
      </c>
      <c r="F449"/>
      <c r="G449" t="b">
        <f>MAX(E449:E449)=MIN(E449:E449)</f>
        <v>1</v>
      </c>
    </row>
    <row r="450" spans="2:7" s="2" customFormat="1" ht="11.25">
      <c r="B450" s="3"/>
      <c r="C450" t="s">
        <v>939</v>
      </c>
      <c r="E450" s="331">
        <f>capEmp3BusBRecDismExp*finPNLBusBV2OverheadPctAlloc</f>
        <v>0</v>
      </c>
      <c r="F450"/>
      <c r="G450" t="b">
        <f>MAX(E450:E450)=MIN(E450:E450)</f>
        <v>1</v>
      </c>
    </row>
    <row r="451" spans="2:7" s="2" customFormat="1" ht="11.25">
      <c r="B451" s="3"/>
      <c r="C451" t="s">
        <v>2757</v>
      </c>
      <c r="E451" s="401">
        <f>capEmp4BusBRecDismExp*finPNLBusBV2OverheadPctAlloc</f>
        <v>0</v>
      </c>
      <c r="F451"/>
      <c r="G451" t="b">
        <f>MAX(E451:E451)=MIN(E451:E451)</f>
        <v>1</v>
      </c>
    </row>
    <row r="452" spans="2:7" s="2" customFormat="1" ht="11.25">
      <c r="B452"/>
      <c r="C452" t="s">
        <v>1340</v>
      </c>
      <c r="E452" s="396">
        <f>SUM(E448:E451)</f>
        <v>0</v>
      </c>
      <c r="F452" t="s">
        <v>1179</v>
      </c>
      <c r="G452" t="b">
        <f>MAX(E452:E452)=MIN(E452:E452)</f>
        <v>1</v>
      </c>
    </row>
    <row r="453" spans="2:7" ht="11.25">
      <c r="C453" s="2"/>
      <c r="D453" s="2"/>
      <c r="E453" s="396"/>
      <c r="G453" t="b">
        <f>MAX(E453:E453)=MIN(E453:E453)</f>
        <v>1</v>
      </c>
    </row>
    <row r="454" spans="2:7" ht="11.25">
      <c r="C454" s="2"/>
      <c r="D454" s="2"/>
      <c r="E454" s="396"/>
      <c r="G454" t="b">
        <f>MAX(E454:E454)=MIN(E454:E454)</f>
        <v>1</v>
      </c>
    </row>
    <row r="455" spans="2:7" ht="11.25">
      <c r="B455" s="2" t="s">
        <v>515</v>
      </c>
      <c r="E455" s="324">
        <f>(finPNLBusBV2COSExp)*paramBusBQualityCostPctCOS</f>
        <v>3950298.4935273957</v>
      </c>
      <c r="F455" t="s">
        <v>3873</v>
      </c>
      <c r="G455" t="b">
        <f>MAX(E455:E455)=MIN(E455:E455)</f>
        <v>1</v>
      </c>
    </row>
    <row r="456" spans="2:7" ht="11.25">
      <c r="C456" s="2"/>
      <c r="D456" s="2"/>
      <c r="E456" s="396"/>
      <c r="G456" t="b">
        <f>MAX(E456:E456)=MIN(E456:E456)</f>
        <v>1</v>
      </c>
    </row>
    <row r="457" spans="2:7" ht="11.25">
      <c r="C457" s="2"/>
      <c r="D457" s="2"/>
      <c r="E457" s="396"/>
      <c r="G457" t="b">
        <f>MAX(E457:E457)=MIN(E457:E457)</f>
        <v>1</v>
      </c>
    </row>
    <row r="458" spans="2:7" ht="11.25">
      <c r="C458" s="2"/>
      <c r="D458" s="2"/>
      <c r="E458" s="396"/>
      <c r="G458" t="b">
        <f>MAX(E458:E458)=MIN(E458:E458)</f>
        <v>1</v>
      </c>
    </row>
    <row r="459" spans="2:7" ht="11.25">
      <c r="B459" s="2" t="s">
        <v>3546</v>
      </c>
      <c r="C459" s="2"/>
      <c r="D459" s="2"/>
      <c r="E459" s="396">
        <f>finPNLBusBV2Rev-finPNLBusBV2COSExp-finPNLBusBV2CompDevExp-finPNLBusBV2GeneralTrainingExp-finPNLBusBV2OpsImproveExp-finPNLBusBV2EmpRecDismExp-finPNLBusBV2QualityCost-finPNLBusBEntSvcsV2ExpAlloc</f>
        <v>3415629.747213345</v>
      </c>
      <c r="F459" t="s">
        <v>3304</v>
      </c>
      <c r="G459" t="b">
        <f>MAX(E459:E459)=MIN(E459:E459)</f>
        <v>1</v>
      </c>
    </row>
    <row r="460" spans="2:7" s="144" customFormat="1" ht="11.25">
      <c r="C460" s="404" t="s">
        <v>3697</v>
      </c>
      <c r="D460" s="404"/>
      <c r="E460" s="405">
        <f>finPNLBusBV2Rev-finPNLBusBV2COSExp</f>
        <v>7840000</v>
      </c>
      <c r="F460" s="144" t="s">
        <v>3700</v>
      </c>
      <c r="G460" t="b">
        <f>MAX(E460:E460)=MIN(E460:E460)</f>
        <v>1</v>
      </c>
    </row>
    <row r="461" spans="2:7" ht="11.25">
      <c r="E461" s="314"/>
      <c r="G461" t="b">
        <f>MAX(E461:E461)=MIN(E461:E461)</f>
        <v>1</v>
      </c>
    </row>
    <row r="462" spans="2:7" ht="11.25">
      <c r="B462" s="2" t="s">
        <v>2354</v>
      </c>
      <c r="C462" s="2"/>
      <c r="D462" s="2"/>
      <c r="E462" s="396"/>
      <c r="G462" t="b">
        <f>MAX(E462:E462)=MIN(E462:E462)</f>
        <v>1</v>
      </c>
    </row>
    <row r="463" spans="2:7" ht="11.25">
      <c r="C463" t="s">
        <v>940</v>
      </c>
      <c r="E463" s="399">
        <f>capEmp2BusBV2Exp</f>
        <v>0</v>
      </c>
      <c r="F463" t="s">
        <v>3305</v>
      </c>
      <c r="G463" t="b">
        <f>MAX(E463:E463)=MIN(E463:E463)</f>
        <v>1</v>
      </c>
    </row>
    <row r="464" spans="2:7" ht="11.25">
      <c r="C464" t="s">
        <v>939</v>
      </c>
      <c r="E464" s="399">
        <f>capEmp3BusBV2Exp</f>
        <v>0</v>
      </c>
      <c r="F464" t="s">
        <v>337</v>
      </c>
      <c r="G464" t="b">
        <f>MAX(E464:E464)=MIN(E464:E464)</f>
        <v>1</v>
      </c>
    </row>
    <row r="465" spans="2:7" ht="11.25">
      <c r="C465" t="s">
        <v>2757</v>
      </c>
      <c r="E465" s="402">
        <f>capEmp4BusBV2Exp</f>
        <v>0</v>
      </c>
      <c r="F465" t="s">
        <v>338</v>
      </c>
      <c r="G465" t="b">
        <f>MAX(E465:E465)=MIN(E465:E465)</f>
        <v>1</v>
      </c>
    </row>
    <row r="466" spans="2:7" ht="11.25">
      <c r="C466" t="s">
        <v>3054</v>
      </c>
      <c r="E466" s="400">
        <f>finEmp6SalesSupportExp*finEntSvcsExpAllocPctBusB*finPNLBusBV2OverheadPctAlloc</f>
        <v>0</v>
      </c>
      <c r="G466" t="b">
        <f>MAX(E466:E466)=MIN(E466:E466)</f>
        <v>1</v>
      </c>
    </row>
    <row r="467" spans="2:7" ht="11.25">
      <c r="C467" s="2" t="str">
        <f>DataNameProd3 &amp; " Business Development Expense"</f>
        <v>Industry 2 Business Development Expense</v>
      </c>
      <c r="E467" s="396">
        <f>SUM(E463:E466)</f>
        <v>0</v>
      </c>
      <c r="F467" t="s">
        <v>339</v>
      </c>
      <c r="G467" t="b">
        <f>MAX(E467:E467)=MIN(E467:E467)</f>
        <v>1</v>
      </c>
    </row>
    <row r="468" spans="2:7" ht="11.25">
      <c r="C468" s="2" t="str">
        <f>DataNameProd3 &amp; " BD Non PayrollExpense"</f>
        <v>Industry 2 BD Non PayrollExpense</v>
      </c>
      <c r="E468" s="396">
        <f>capBusBBusDevNonPayrollBud*finPNLBusBV2OverheadPctAlloc</f>
        <v>240624.99999999997</v>
      </c>
      <c r="F468" t="s">
        <v>1227</v>
      </c>
      <c r="G468" t="b">
        <f>MAX(E468:E468)=MIN(E468:E468)</f>
        <v>1</v>
      </c>
    </row>
    <row r="469" spans="2:7" ht="11.25">
      <c r="B469" s="2" t="s">
        <v>2060</v>
      </c>
      <c r="E469" s="396"/>
      <c r="G469" t="b">
        <f>MAX(E469:E469)=MIN(E469:E469)</f>
        <v>1</v>
      </c>
    </row>
    <row r="470" spans="2:7" ht="11.25">
      <c r="B470" s="2"/>
      <c r="C470" t="s">
        <v>942</v>
      </c>
      <c r="E470" s="331">
        <f>((decBusBH1HrsBorrowed/paramEmp5HoursPYear)*paramEmp5Exp)*finPNLBusBV2OverheadPctAlloc</f>
        <v>0</v>
      </c>
      <c r="F470" t="s">
        <v>340</v>
      </c>
      <c r="G470" t="b">
        <f>MAX(E470:E470)=MIN(E470:E470)</f>
        <v>1</v>
      </c>
    </row>
    <row r="471" spans="2:7" ht="11.25">
      <c r="B471" s="2"/>
      <c r="C471" t="s">
        <v>943</v>
      </c>
      <c r="E471" s="331">
        <f>((decBusBH2HrsBorrowed/paramEmp5HoursPYear)*paramEmp5Exp)*finPNLBusBV2OverheadPctAlloc</f>
        <v>0</v>
      </c>
      <c r="F471" t="s">
        <v>587</v>
      </c>
      <c r="G471" t="b">
        <f>MAX(E471:E471)=MIN(E471:E471)</f>
        <v>1</v>
      </c>
    </row>
    <row r="472" spans="2:7" ht="11.25">
      <c r="B472" s="2"/>
      <c r="C472" t="s">
        <v>944</v>
      </c>
      <c r="E472" s="331">
        <f>((decBusBH3HrsBorrowed/paramEmp5HoursPYear)*paramEmp5Exp)*finPNLBusBV2OverheadPctAlloc</f>
        <v>0</v>
      </c>
      <c r="F472" t="s">
        <v>2414</v>
      </c>
      <c r="G472" t="b">
        <f>MAX(E472:E472)=MIN(E472:E472)</f>
        <v>1</v>
      </c>
    </row>
    <row r="473" spans="2:7" ht="11.25">
      <c r="B473" s="2"/>
      <c r="C473" s="2" t="s">
        <v>1340</v>
      </c>
      <c r="E473" s="396">
        <f>SUM(E470:E472)</f>
        <v>0</v>
      </c>
      <c r="F473" t="s">
        <v>1177</v>
      </c>
      <c r="G473" t="b">
        <f>MAX(E473:E473)=MIN(E473:E473)</f>
        <v>1</v>
      </c>
    </row>
    <row r="474" spans="2:7" ht="11.25">
      <c r="C474" s="2"/>
      <c r="E474" s="396"/>
      <c r="G474" t="b">
        <f>MAX(E474:E474)=MIN(E474:E474)</f>
        <v>1</v>
      </c>
    </row>
    <row r="475" spans="2:7" ht="11.25">
      <c r="C475" s="2" t="s">
        <v>1173</v>
      </c>
      <c r="E475" s="396">
        <f>finEntSvcsMarketing*finEntSvcsExpAllocPctBusB*finPNLBusBV2OverheadPctAlloc</f>
        <v>0</v>
      </c>
      <c r="F475" t="s">
        <v>1062</v>
      </c>
      <c r="G475" t="b">
        <f>MAX(E475:E475)=MIN(E475:E475)</f>
        <v>1</v>
      </c>
    </row>
    <row r="476" spans="2:7" s="2" customFormat="1" ht="11.25">
      <c r="B476" s="2" t="str">
        <f>DataNameProd1 &amp; " Administrative Expense"</f>
        <v>Consulting Administrative Expense</v>
      </c>
      <c r="E476" s="396"/>
      <c r="F476"/>
      <c r="G476" t="b">
        <f>MAX(E476:E476)=MIN(E476:E476)</f>
        <v>1</v>
      </c>
    </row>
    <row r="477" spans="2:7" s="2" customFormat="1" ht="11.25">
      <c r="B477" s="3" t="str">
        <f>DataNameProd3 &amp; " Unallocated Time Salary Expense"</f>
        <v>Industry 2 Unallocated Time Salary Expense</v>
      </c>
      <c r="E477" s="396"/>
      <c r="F477"/>
      <c r="G477" t="b">
        <f>MAX(E477:E477)=MIN(E477:E477)</f>
        <v>1</v>
      </c>
    </row>
    <row r="478" spans="2:7" s="2" customFormat="1" ht="11.25">
      <c r="B478" s="3"/>
      <c r="C478" t="s">
        <v>941</v>
      </c>
      <c r="E478" s="399">
        <f>capEmp1BusBNonBillExp*finPNLBusBV2OverheadPctAlloc</f>
        <v>69740.74074074073</v>
      </c>
      <c r="F478" t="s">
        <v>3385</v>
      </c>
      <c r="G478" t="b">
        <f>MAX(E478:E478)=MIN(E478:E478)</f>
        <v>1</v>
      </c>
    </row>
    <row r="479" spans="2:7" s="2" customFormat="1" ht="11.25">
      <c r="B479" s="3"/>
      <c r="C479" t="s">
        <v>940</v>
      </c>
      <c r="E479" s="399">
        <f>capEmp2BusBNonBillExp*finPNLBusBV2OverheadPctAlloc</f>
        <v>356416.66666666663</v>
      </c>
      <c r="F479" t="s">
        <v>3386</v>
      </c>
      <c r="G479" t="b">
        <f>MAX(E479:E479)=MIN(E479:E479)</f>
        <v>1</v>
      </c>
    </row>
    <row r="480" spans="2:7" s="2" customFormat="1" ht="11.25">
      <c r="B480" s="3"/>
      <c r="C480" t="s">
        <v>939</v>
      </c>
      <c r="E480" s="399">
        <f>capEmp3BusBNonBillExp*finPNLBusBV2OverheadPctAlloc</f>
        <v>602437.49999999988</v>
      </c>
      <c r="F480" t="s">
        <v>3387</v>
      </c>
      <c r="G480" t="b">
        <f>MAX(E480:E480)=MIN(E480:E480)</f>
        <v>1</v>
      </c>
    </row>
    <row r="481" spans="1:7" s="2" customFormat="1" ht="11.25">
      <c r="B481" s="3"/>
      <c r="C481" t="s">
        <v>2757</v>
      </c>
      <c r="E481" s="400">
        <f>capEmp4BusBNonBillExp*finPNLBusBV2OverheadPctAlloc</f>
        <v>753374.99999999988</v>
      </c>
      <c r="F481" t="s">
        <v>3388</v>
      </c>
      <c r="G481" t="b">
        <f>MAX(E481:E481)=MIN(E481:E481)</f>
        <v>1</v>
      </c>
    </row>
    <row r="482" spans="1:7" s="2" customFormat="1" ht="11.25">
      <c r="C482" t="s">
        <v>1340</v>
      </c>
      <c r="E482" s="406">
        <f>SUM(E478:E481)</f>
        <v>1781969.9074074072</v>
      </c>
      <c r="F482" t="s">
        <v>3480</v>
      </c>
      <c r="G482" t="b">
        <f>MAX(E482:E482)=MIN(E482:E482)</f>
        <v>1</v>
      </c>
    </row>
    <row r="483" spans="1:7">
      <c r="A483" s="19"/>
      <c r="C483" s="2"/>
      <c r="D483" s="3"/>
      <c r="E483" s="399"/>
      <c r="G483" t="b">
        <f>MAX(E483:E483)=MIN(E483:E483)</f>
        <v>1</v>
      </c>
    </row>
    <row r="484" spans="1:7" s="2" customFormat="1" ht="11.25">
      <c r="B484" s="3" t="s">
        <v>2759</v>
      </c>
      <c r="D484" s="403"/>
      <c r="E484" s="399">
        <f>finPNLBusBTotalGeneralTrainingBudgetExpense*finPNLBusBV2OverheadPctAlloc</f>
        <v>58260.416666666657</v>
      </c>
      <c r="F484" t="s">
        <v>1387</v>
      </c>
      <c r="G484" t="b">
        <f>MAX(E484:E484)=MIN(E484:E484)</f>
        <v>1</v>
      </c>
    </row>
    <row r="485" spans="1:7" s="2" customFormat="1" ht="11.25">
      <c r="B485" s="3"/>
      <c r="D485" s="403"/>
      <c r="E485" s="399"/>
      <c r="F485"/>
      <c r="G485" t="b">
        <f>MAX(E485:E485)=MIN(E485:E485)</f>
        <v>1</v>
      </c>
    </row>
    <row r="486" spans="1:7" s="2" customFormat="1" ht="11.25">
      <c r="B486" s="3" t="str">
        <f>DataNameProd3 &amp; " Employe Admin Expense"</f>
        <v>Industry 2 Employe Admin Expense</v>
      </c>
      <c r="C486" s="3"/>
      <c r="E486" s="396"/>
      <c r="F486"/>
      <c r="G486" t="b">
        <f>MAX(E486:E486)=MIN(E486:E486)</f>
        <v>1</v>
      </c>
    </row>
    <row r="487" spans="1:7" s="2" customFormat="1" ht="11.25">
      <c r="B487" s="3"/>
      <c r="C487" t="s">
        <v>941</v>
      </c>
      <c r="E487" s="324">
        <f>capEmp1BusBAdminExp*finPNLBusBV2OverheadPctAlloc</f>
        <v>5249.9999999999991</v>
      </c>
      <c r="F487"/>
      <c r="G487" t="b">
        <f>MAX(E487:E487)=MIN(E487:E487)</f>
        <v>1</v>
      </c>
    </row>
    <row r="488" spans="1:7" s="2" customFormat="1" ht="11.25">
      <c r="B488" s="3"/>
      <c r="C488" t="s">
        <v>940</v>
      </c>
      <c r="E488" s="331">
        <f>capEmp2BusBAdminExp*finPNLBusBV2OverheadPctAlloc</f>
        <v>26249.999999999996</v>
      </c>
      <c r="F488"/>
      <c r="G488" t="b">
        <f>MAX(E488:E488)=MIN(E488:E488)</f>
        <v>1</v>
      </c>
    </row>
    <row r="489" spans="1:7" s="2" customFormat="1" ht="11.25">
      <c r="B489" s="3"/>
      <c r="C489" t="s">
        <v>939</v>
      </c>
      <c r="E489" s="331">
        <f>capEmp3BusBAdminExp*finPNLBusBV2OverheadPctAlloc</f>
        <v>39374.999999999993</v>
      </c>
      <c r="F489"/>
      <c r="G489" t="b">
        <f>MAX(E489:E489)=MIN(E489:E489)</f>
        <v>1</v>
      </c>
    </row>
    <row r="490" spans="1:7" s="2" customFormat="1" ht="11.25">
      <c r="B490" s="3"/>
      <c r="C490" t="s">
        <v>2757</v>
      </c>
      <c r="E490" s="401">
        <f>capEmp4BusBAdminExp*finPNLBusBV2OverheadPctAlloc</f>
        <v>48124.999999999993</v>
      </c>
      <c r="F490"/>
      <c r="G490" t="b">
        <f>MAX(E490:E490)=MIN(E490:E490)</f>
        <v>1</v>
      </c>
    </row>
    <row r="491" spans="1:7" s="2" customFormat="1" ht="11.25">
      <c r="B491" s="3"/>
      <c r="C491" t="s">
        <v>1340</v>
      </c>
      <c r="E491" s="396">
        <f>SUM(E487:E490)</f>
        <v>118999.99999999997</v>
      </c>
      <c r="F491" t="s">
        <v>1178</v>
      </c>
      <c r="G491" t="b">
        <f>MAX(E491:E491)=MIN(E491:E491)</f>
        <v>1</v>
      </c>
    </row>
    <row r="492" spans="1:7" s="2" customFormat="1" ht="11.25">
      <c r="B492" s="3"/>
      <c r="C492"/>
      <c r="E492" s="396"/>
      <c r="F492"/>
      <c r="G492" t="b">
        <f>MAX(E492:E492)=MIN(E492:E492)</f>
        <v>1</v>
      </c>
    </row>
    <row r="493" spans="1:7" s="2" customFormat="1" ht="11.25">
      <c r="B493"/>
      <c r="C493"/>
      <c r="E493" s="396"/>
      <c r="F493"/>
      <c r="G493" t="b">
        <f>MAX(E493:E493)=MIN(E493:E493)</f>
        <v>1</v>
      </c>
    </row>
    <row r="494" spans="1:7" s="2" customFormat="1" ht="11.25">
      <c r="B494" s="3" t="str">
        <f>DataNameProd3 &amp; " Fixed Admin Expense"</f>
        <v>Industry 2 Fixed Admin Expense</v>
      </c>
      <c r="C494" s="3"/>
      <c r="E494" s="402">
        <f>paramProd2FixedAdmin*finPNLBusBV2OverheadPctAlloc</f>
        <v>291666.66666666663</v>
      </c>
      <c r="F494" t="s">
        <v>3594</v>
      </c>
      <c r="G494" t="b">
        <f>MAX(E494:E494)=MIN(E494:E494)</f>
        <v>1</v>
      </c>
    </row>
    <row r="495" spans="1:7" s="2" customFormat="1" ht="11.25">
      <c r="B495" s="3"/>
      <c r="C495" s="3"/>
      <c r="E495" s="396"/>
      <c r="F495"/>
      <c r="G495" t="b">
        <f>MAX(E495:E495)=MIN(E495:E495)</f>
        <v>1</v>
      </c>
    </row>
    <row r="496" spans="1:7" ht="11.25">
      <c r="B496" s="2" t="s">
        <v>3758</v>
      </c>
      <c r="G496" t="b">
        <f>MAX(E496:E496)=MIN(E496:E496)</f>
        <v>1</v>
      </c>
    </row>
    <row r="497" spans="1:9" ht="11.25">
      <c r="B497" s="2"/>
      <c r="G497" t="b">
        <f>MAX(E497:E497)=MIN(E497:E497)</f>
        <v>1</v>
      </c>
    </row>
    <row r="498" spans="1:9" ht="11.25">
      <c r="C498" t="str">
        <f>DataNameProd3 &amp; " Other Expense"</f>
        <v>Industry 2 Other Expense</v>
      </c>
      <c r="E498" s="324">
        <f>paramProd2OtherCost*finPNLBusBV2OverheadPctAlloc</f>
        <v>291666.66666666663</v>
      </c>
      <c r="F498" t="s">
        <v>607</v>
      </c>
      <c r="G498" t="b">
        <f>MAX(E498:E498)=MIN(E498:E498)</f>
        <v>1</v>
      </c>
    </row>
    <row r="499" spans="1:9" ht="11.25">
      <c r="G499" t="b">
        <f>MAX(E499:E499)=MIN(E499:E499)</f>
        <v>1</v>
      </c>
    </row>
    <row r="500" spans="1:9" ht="11.25">
      <c r="C500" t="str">
        <f>DataNameProd3 &amp; " Special Programs Expense"</f>
        <v>Industry 2 Special Programs Expense</v>
      </c>
      <c r="E500" s="324">
        <f>paramSpecProgBusBV2Exp</f>
        <v>0</v>
      </c>
      <c r="F500" t="s">
        <v>608</v>
      </c>
      <c r="G500" t="b">
        <f>MAX(E500:E500)=MIN(E500:E500)</f>
        <v>1</v>
      </c>
    </row>
    <row r="501" spans="1:9" s="2" customFormat="1" ht="11.25">
      <c r="B501" s="3"/>
      <c r="C501" s="3"/>
      <c r="E501" s="396"/>
      <c r="F501"/>
      <c r="G501" t="b">
        <f>MAX(E501:E501)=MIN(E501:E501)</f>
        <v>1</v>
      </c>
    </row>
    <row r="502" spans="1:9" ht="11.25">
      <c r="A502" s="2"/>
      <c r="B502" s="2" t="s">
        <v>2959</v>
      </c>
      <c r="C502" s="2"/>
      <c r="E502" s="396"/>
      <c r="F502" s="3"/>
      <c r="G502" t="b">
        <f>MAX(E502:E502)=MIN(E502:E502)</f>
        <v>1</v>
      </c>
      <c r="I502" s="3"/>
    </row>
    <row r="503" spans="1:9" ht="11.25">
      <c r="C503" t="str">
        <f>DataNameProd3 &amp; " Operating Expense"</f>
        <v>Industry 2 Operating Expense</v>
      </c>
      <c r="E503" s="324">
        <f>finBusBV2BusDevTimeExp+finPNLBusBV2TotalGenMktExp+finPNLBusBV2UnallocTimeExp+finPNLBusBV2GeneralTrainingBudgetExpense+finPNLBusBV2TtlEmpAdminExp+finPNLBusBV2FixedAdminExp+finPNLBusBV2OtherExp+finPNLBusBV2SpecProgExp+finPNLBusBV2TotalGlobalSalaryExp+finBusBV2BusDevNonPayroll</f>
        <v>2783188.6574074072</v>
      </c>
      <c r="F503" t="s">
        <v>845</v>
      </c>
      <c r="G503" t="b">
        <f>MAX(E503:E503)=MIN(E503:E503)</f>
        <v>1</v>
      </c>
    </row>
    <row r="504" spans="1:9" ht="11.25">
      <c r="G504" t="b">
        <f>MAX(E504:E504)=MIN(E504:E504)</f>
        <v>1</v>
      </c>
    </row>
    <row r="505" spans="1:9" ht="11.25">
      <c r="C505" t="str">
        <f>DataNameProd3&amp;" Operating Profit"</f>
        <v>Industry 2 Operating Profit</v>
      </c>
      <c r="E505" s="324">
        <f>finPNLBusBV2GrossMargin-finPNLBusBV2TotalOpExp</f>
        <v>632441.08980593784</v>
      </c>
      <c r="F505" t="s">
        <v>846</v>
      </c>
      <c r="G505" t="b">
        <f>MAX(E505:E505)=MIN(E505:E505)</f>
        <v>1</v>
      </c>
    </row>
    <row r="506" spans="1:9" ht="11.25">
      <c r="G506" t="b">
        <f>MAX(E506:E506)=MIN(E506:E506)</f>
        <v>1</v>
      </c>
    </row>
    <row r="507" spans="1:9" ht="11.25">
      <c r="C507" t="str">
        <f>DataNameProd3&amp;" Operating Margin"</f>
        <v>Industry 2 Operating Margin</v>
      </c>
      <c r="E507" s="271">
        <f>finPNLBusBV2OpsMargin/finPNLBusBV2Rev</f>
        <v>1.8215469176438303E-2</v>
      </c>
      <c r="F507" t="s">
        <v>847</v>
      </c>
      <c r="G507" t="b">
        <f>MAX(E507:E507)=MIN(E507:E507)</f>
        <v>1</v>
      </c>
    </row>
    <row r="508" spans="1:9" s="2" customFormat="1" ht="11.25">
      <c r="B508" s="3"/>
      <c r="C508"/>
      <c r="D508" s="403"/>
      <c r="E508" s="399"/>
      <c r="F508"/>
      <c r="G508" t="b">
        <f>MAX(E508:E508)=MIN(E508:E508)</f>
        <v>1</v>
      </c>
    </row>
    <row r="509" spans="1:9">
      <c r="A509" s="19" t="str">
        <f>DataNameProd4</f>
        <v>Industry 3</v>
      </c>
      <c r="G509" t="b">
        <f>MAX(E509:E509)=MIN(E509:E509)</f>
        <v>1</v>
      </c>
    </row>
    <row r="510" spans="1:9" ht="11.25">
      <c r="B510" s="2" t="s">
        <v>1487</v>
      </c>
      <c r="G510" t="b">
        <f>MAX(E510:E510)=MIN(E510:E510)</f>
        <v>1</v>
      </c>
    </row>
    <row r="511" spans="1:9" ht="11.25">
      <c r="B511" s="2"/>
      <c r="C511" t="s">
        <v>942</v>
      </c>
      <c r="E511" s="324">
        <f>obalY1V3H1BidRev+obalY2V3H1BidRev+obalY3V3H1BidRev+(paramV3BaseRevenue/3)</f>
        <v>8213333.3333333349</v>
      </c>
      <c r="G511" t="b">
        <f>MAX(E511:E511)=MIN(E511:E511)</f>
        <v>1</v>
      </c>
    </row>
    <row r="512" spans="1:9" ht="11.25">
      <c r="B512" s="2"/>
      <c r="C512" t="s">
        <v>943</v>
      </c>
      <c r="E512" s="324">
        <f>obalY1V3H2BidRev+obalY2V3H2BidRev+obalY3V3H2BidRev+(paramV3BaseRevenue/3)</f>
        <v>8213333.3333333349</v>
      </c>
      <c r="G512" t="b">
        <f>MAX(E512:E512)=MIN(E512:E512)</f>
        <v>1</v>
      </c>
    </row>
    <row r="513" spans="2:7" ht="11.25">
      <c r="B513" s="2"/>
      <c r="C513" t="s">
        <v>944</v>
      </c>
      <c r="E513" s="324">
        <f>obalY1V3H3BidRev+obalY2V3H3BidRev+obalY3V3H3BidRev+(paramV3BaseRevenue/3)</f>
        <v>8213333.3333333349</v>
      </c>
      <c r="G513" t="b">
        <f>MAX(E513:E513)=MIN(E513:E513)</f>
        <v>1</v>
      </c>
    </row>
    <row r="514" spans="2:7" ht="11.25">
      <c r="C514" s="2" t="str">
        <f>DataNameProd4 &amp; " Revenues"</f>
        <v>Industry 3 Revenues</v>
      </c>
      <c r="D514" s="2"/>
      <c r="E514" s="396">
        <f>SUM(E511:E513)</f>
        <v>24640000.000000004</v>
      </c>
      <c r="F514" t="s">
        <v>3595</v>
      </c>
      <c r="G514" t="b">
        <f>MAX(E514:E514)=MIN(E514:E514)</f>
        <v>1</v>
      </c>
    </row>
    <row r="515" spans="2:7" ht="11.25">
      <c r="B515" s="2" t="s">
        <v>234</v>
      </c>
      <c r="G515" t="b">
        <f>MAX(E515:E515)=MIN(E515:E515)</f>
        <v>1</v>
      </c>
    </row>
    <row r="516" spans="2:7" s="96" customFormat="1" ht="11.25">
      <c r="C516" s="96" t="s">
        <v>942</v>
      </c>
      <c r="D516" s="395"/>
      <c r="E516" s="324">
        <f>capY1V3H1COSRealized+capY2V3H1COSRealized+capY3V3H1COSRealized+(paramV3BaseCOS/3)</f>
        <v>5786666.666666667</v>
      </c>
      <c r="G516" t="b">
        <f>MAX(E516:E516)=MIN(E516:E516)</f>
        <v>1</v>
      </c>
    </row>
    <row r="517" spans="2:7" s="96" customFormat="1" ht="11.25">
      <c r="C517" t="s">
        <v>943</v>
      </c>
      <c r="E517" s="324">
        <f>capY1V3H2COSRealized+capY2V3H2COSRealized+capY3V3H2COSRealized+(paramV3BaseCOS/3)</f>
        <v>5786666.666666667</v>
      </c>
      <c r="G517" t="b">
        <f>MAX(E517:E517)=MIN(E517:E517)</f>
        <v>1</v>
      </c>
    </row>
    <row r="518" spans="2:7" ht="11.25">
      <c r="C518" t="s">
        <v>944</v>
      </c>
      <c r="D518" s="2"/>
      <c r="E518" s="324">
        <f>capY1V3H3COSRealized+capY2V3H3COSRealized+capY3V3H3COSRealized+(paramV3BaseCOS/3)</f>
        <v>5786666.666666667</v>
      </c>
      <c r="G518" t="b">
        <f>MAX(E518:E518)=MIN(E518:E518)</f>
        <v>1</v>
      </c>
    </row>
    <row r="519" spans="2:7" ht="11.25">
      <c r="C519" s="2" t="str">
        <f>DataNameProd4 &amp; " COS"</f>
        <v>Industry 3 COS</v>
      </c>
      <c r="D519" s="2"/>
      <c r="E519" s="396">
        <f>SUM(E516:E518)</f>
        <v>17360000</v>
      </c>
      <c r="F519" t="s">
        <v>3596</v>
      </c>
      <c r="G519" t="b">
        <f>MAX(E519:E519)=MIN(E519:E519)</f>
        <v>1</v>
      </c>
    </row>
    <row r="520" spans="2:7" ht="11.25">
      <c r="C520" s="2"/>
      <c r="E520" s="396"/>
      <c r="G520" t="b">
        <f>MAX(E520:E520)=MIN(E520:E520)</f>
        <v>1</v>
      </c>
    </row>
    <row r="521" spans="2:7" ht="11.25">
      <c r="B521" s="2" t="s">
        <v>408</v>
      </c>
      <c r="D521" s="403"/>
      <c r="E521" s="399">
        <f>finEntSvcsExpAllocPctBusB*finEntSvcsTotalExp*finPNLBusBV3OverheadPctAlloc</f>
        <v>0</v>
      </c>
      <c r="F521" t="s">
        <v>3568</v>
      </c>
      <c r="G521" t="b">
        <f>MAX(E521:E521)=MIN(E521:E521)</f>
        <v>1</v>
      </c>
    </row>
    <row r="522" spans="2:7" ht="11.25">
      <c r="C522" s="2"/>
      <c r="E522" s="396"/>
      <c r="G522" t="b">
        <f>MAX(E522:E522)=MIN(E522:E522)</f>
        <v>1</v>
      </c>
    </row>
    <row r="523" spans="2:7" ht="11.25">
      <c r="B523" s="2" t="s">
        <v>2059</v>
      </c>
      <c r="C523" s="2"/>
      <c r="E523" s="396"/>
      <c r="G523" t="b">
        <f>MAX(E523:E523)=MIN(E523:E523)</f>
        <v>1</v>
      </c>
    </row>
    <row r="524" spans="2:7" ht="11.25">
      <c r="C524" t="s">
        <v>941</v>
      </c>
      <c r="E524" s="402">
        <f>capBusBV3CompDevExpAllocPct*capEmp1BusBCompDevAllocExp</f>
        <v>0</v>
      </c>
      <c r="F524" t="s">
        <v>1558</v>
      </c>
      <c r="G524" t="b">
        <f>MAX(E524:E524)=MIN(E524:E524)</f>
        <v>1</v>
      </c>
    </row>
    <row r="525" spans="2:7" ht="11.25">
      <c r="C525" t="s">
        <v>940</v>
      </c>
      <c r="E525" s="402">
        <f>capBusBV3CompDevExpAllocPct*capEmp2BusBCompDevAllocExp</f>
        <v>0</v>
      </c>
      <c r="F525" t="s">
        <v>1559</v>
      </c>
      <c r="G525" t="b">
        <f>MAX(E525:E525)=MIN(E525:E525)</f>
        <v>1</v>
      </c>
    </row>
    <row r="526" spans="2:7" ht="11.25">
      <c r="C526" t="s">
        <v>939</v>
      </c>
      <c r="E526" s="402">
        <f>capBusBV3CompDevExpAllocPct*capEmp3BusBCompDevAllocExp</f>
        <v>0</v>
      </c>
      <c r="F526" t="s">
        <v>1560</v>
      </c>
      <c r="G526" t="b">
        <f>MAX(E526:E526)=MIN(E526:E526)</f>
        <v>1</v>
      </c>
    </row>
    <row r="527" spans="2:7" ht="11.25">
      <c r="C527" t="s">
        <v>2757</v>
      </c>
      <c r="E527" s="400">
        <f>capBusBV3CompDevExpAllocPct*capEmp4BusBCompDevAllocExp</f>
        <v>0</v>
      </c>
      <c r="F527" t="s">
        <v>166</v>
      </c>
      <c r="G527" t="b">
        <f>MAX(E527:E527)=MIN(E527:E527)</f>
        <v>1</v>
      </c>
    </row>
    <row r="528" spans="2:7" ht="11.25">
      <c r="C528" s="2" t="s">
        <v>1340</v>
      </c>
      <c r="E528" s="396">
        <f>SUM(E524:E527)</f>
        <v>0</v>
      </c>
      <c r="F528" t="s">
        <v>167</v>
      </c>
      <c r="G528" t="b">
        <f>MAX(E528:E528)=MIN(E528:E528)</f>
        <v>1</v>
      </c>
    </row>
    <row r="529" spans="1:7">
      <c r="A529" s="19"/>
      <c r="C529" s="3"/>
      <c r="D529" s="3"/>
      <c r="E529" s="399"/>
      <c r="G529" t="b">
        <f>MAX(E529:E529)=MIN(E529:E529)</f>
        <v>1</v>
      </c>
    </row>
    <row r="530" spans="1:7" ht="11.25">
      <c r="B530" s="2" t="s">
        <v>1832</v>
      </c>
      <c r="C530" s="2"/>
      <c r="E530" s="396"/>
      <c r="G530" t="b">
        <f>MAX(E530:E530)=MIN(E530:E530)</f>
        <v>1</v>
      </c>
    </row>
    <row r="531" spans="1:7" ht="11.25">
      <c r="C531" t="s">
        <v>941</v>
      </c>
      <c r="E531" s="402">
        <f>capEmp1BusBGeneralTrainingAllocExp*finPNLBusBV3OverheadPctAlloc</f>
        <v>8666.6666666666697</v>
      </c>
      <c r="F531" t="s">
        <v>168</v>
      </c>
      <c r="G531" t="b">
        <f>MAX(E531:E531)=MIN(E531:E531)</f>
        <v>1</v>
      </c>
    </row>
    <row r="532" spans="1:7" ht="11.25">
      <c r="C532" t="s">
        <v>940</v>
      </c>
      <c r="E532" s="402">
        <f>capEmp2BusBGeneralTrainingAllocExp*finPNLBusBV3OverheadPctAlloc</f>
        <v>29250.000000000011</v>
      </c>
      <c r="F532" t="s">
        <v>169</v>
      </c>
      <c r="G532" t="b">
        <f>MAX(E532:E532)=MIN(E532:E532)</f>
        <v>1</v>
      </c>
    </row>
    <row r="533" spans="1:7" ht="11.25">
      <c r="C533" t="s">
        <v>939</v>
      </c>
      <c r="E533" s="402">
        <f>capEmp3BusBGeneralTrainingAllocExp*finPNLBusBV3OverheadPctAlloc</f>
        <v>43875.000000000015</v>
      </c>
      <c r="F533" t="s">
        <v>1952</v>
      </c>
      <c r="G533" t="b">
        <f>MAX(E533:E533)=MIN(E533:E533)</f>
        <v>1</v>
      </c>
    </row>
    <row r="534" spans="1:7" ht="11.25">
      <c r="C534" t="s">
        <v>2757</v>
      </c>
      <c r="E534" s="400">
        <f>capEmp4BusBGeneralTrainingAllocExp*finPNLBusBV3OverheadPctAlloc</f>
        <v>35750.000000000015</v>
      </c>
      <c r="F534" t="s">
        <v>1953</v>
      </c>
      <c r="G534" t="b">
        <f>MAX(E534:E534)=MIN(E534:E534)</f>
        <v>1</v>
      </c>
    </row>
    <row r="535" spans="1:7" ht="11.25">
      <c r="C535" s="2" t="s">
        <v>1340</v>
      </c>
      <c r="E535" s="396">
        <f>SUM(E531:E534)</f>
        <v>117541.6666666667</v>
      </c>
      <c r="F535" t="s">
        <v>1104</v>
      </c>
      <c r="G535" t="b">
        <f>MAX(E535:E535)=MIN(E535:E535)</f>
        <v>1</v>
      </c>
    </row>
    <row r="536" spans="1:7" ht="11.25">
      <c r="C536" s="2"/>
      <c r="E536" s="396"/>
      <c r="G536" t="b">
        <f>MAX(E536:E536)=MIN(E536:E536)</f>
        <v>1</v>
      </c>
    </row>
    <row r="537" spans="1:7" ht="11.25">
      <c r="B537" s="2" t="s">
        <v>3400</v>
      </c>
      <c r="C537" s="2"/>
      <c r="E537" s="396"/>
      <c r="G537" t="b">
        <f>MAX(E537:E537)=MIN(E537:E537)</f>
        <v>1</v>
      </c>
    </row>
    <row r="538" spans="1:7" ht="11.25">
      <c r="C538" t="s">
        <v>941</v>
      </c>
      <c r="E538" s="396">
        <f>capEmp1BusBOpsImprovementExp*finPNLBusBV3OverheadPctAlloc</f>
        <v>24074.074074074084</v>
      </c>
      <c r="F538" t="s">
        <v>1729</v>
      </c>
      <c r="G538" t="b">
        <f>MAX(E538:E538)=MIN(E538:E538)</f>
        <v>1</v>
      </c>
    </row>
    <row r="539" spans="1:7" ht="11.25">
      <c r="C539" t="s">
        <v>940</v>
      </c>
      <c r="E539" s="396">
        <f>capEmp2BusBOpsImprovementExp*finPNLBusBV3OverheadPctAlloc</f>
        <v>97500.000000000029</v>
      </c>
      <c r="F539" t="s">
        <v>1174</v>
      </c>
      <c r="G539" t="b">
        <f>MAX(E539:E539)=MIN(E539:E539)</f>
        <v>1</v>
      </c>
    </row>
    <row r="540" spans="1:7" ht="11.25">
      <c r="C540" t="s">
        <v>939</v>
      </c>
      <c r="E540" s="396">
        <f>capEmp3BusBOpsImprovementExp*finPNLBusBV3OverheadPctAlloc</f>
        <v>91406.250000000029</v>
      </c>
      <c r="F540" t="s">
        <v>2737</v>
      </c>
      <c r="G540" t="b">
        <f>MAX(E540:E540)=MIN(E540:E540)</f>
        <v>1</v>
      </c>
    </row>
    <row r="541" spans="1:7" ht="11.25">
      <c r="C541" t="s">
        <v>2757</v>
      </c>
      <c r="E541" s="411">
        <f>capEmp4BusBOpsImprovementExp*finPNLBusBV3OverheadPctAlloc</f>
        <v>109687.50000000004</v>
      </c>
      <c r="F541" t="s">
        <v>2738</v>
      </c>
      <c r="G541" t="b">
        <f>MAX(E541:E541)=MIN(E541:E541)</f>
        <v>1</v>
      </c>
    </row>
    <row r="542" spans="1:7" ht="11.25">
      <c r="C542" s="2" t="s">
        <v>1340</v>
      </c>
      <c r="D542" s="403"/>
      <c r="E542" s="396">
        <f>SUM(E538:E541)</f>
        <v>322667.82407407422</v>
      </c>
      <c r="F542" t="s">
        <v>2739</v>
      </c>
      <c r="G542" t="b">
        <f>MAX(E542:E542)=MIN(E542:E542)</f>
        <v>1</v>
      </c>
    </row>
    <row r="543" spans="1:7" ht="11.25">
      <c r="C543" s="2"/>
      <c r="D543" s="2"/>
      <c r="E543" s="396"/>
      <c r="G543" t="b">
        <f>MAX(E543:E543)=MIN(E543:E543)</f>
        <v>1</v>
      </c>
    </row>
    <row r="544" spans="1:7" s="2" customFormat="1" ht="11.25">
      <c r="A544"/>
      <c r="B544" s="3" t="str">
        <f>DataNameProd4 &amp; " Recruit/ Dismisall Expense"</f>
        <v>Industry 3 Recruit/ Dismisall Expense</v>
      </c>
      <c r="C544" s="3"/>
      <c r="E544" s="396"/>
      <c r="F544"/>
      <c r="G544" t="b">
        <f>MAX(E544:E544)=MIN(E544:E544)</f>
        <v>1</v>
      </c>
    </row>
    <row r="545" spans="1:7" s="2" customFormat="1" ht="11.25">
      <c r="A545"/>
      <c r="B545" s="3"/>
      <c r="C545" t="s">
        <v>941</v>
      </c>
      <c r="E545" s="331">
        <f>capEmp1BusBRecDismExp*finPNLBusBV3OverheadPctAlloc</f>
        <v>0</v>
      </c>
      <c r="F545"/>
      <c r="G545" t="b">
        <f>MAX(E545:E545)=MIN(E545:E545)</f>
        <v>1</v>
      </c>
    </row>
    <row r="546" spans="1:7" s="2" customFormat="1" ht="11.25">
      <c r="A546"/>
      <c r="B546" s="3"/>
      <c r="C546" t="s">
        <v>940</v>
      </c>
      <c r="E546" s="331">
        <f>capEmp2BusBRecDismExp*finPNLBusBV3OverheadPctAlloc</f>
        <v>0</v>
      </c>
      <c r="F546"/>
      <c r="G546" t="b">
        <f>MAX(E546:E546)=MIN(E546:E546)</f>
        <v>1</v>
      </c>
    </row>
    <row r="547" spans="1:7" s="2" customFormat="1" ht="11.25">
      <c r="A547"/>
      <c r="B547" s="3"/>
      <c r="C547" t="s">
        <v>939</v>
      </c>
      <c r="E547" s="331">
        <f>capEmp3BusBRecDismExp*finPNLBusBV3OverheadPctAlloc</f>
        <v>0</v>
      </c>
      <c r="F547"/>
      <c r="G547" t="b">
        <f>MAX(E547:E547)=MIN(E547:E547)</f>
        <v>1</v>
      </c>
    </row>
    <row r="548" spans="1:7" s="2" customFormat="1" ht="11.25">
      <c r="A548"/>
      <c r="B548" s="3"/>
      <c r="C548" t="s">
        <v>2757</v>
      </c>
      <c r="E548" s="401">
        <f>capEmp4BusBRecDismExp*finPNLBusBV3OverheadPctAlloc</f>
        <v>0</v>
      </c>
      <c r="F548"/>
      <c r="G548" t="b">
        <f>MAX(E548:E548)=MIN(E548:E548)</f>
        <v>1</v>
      </c>
    </row>
    <row r="549" spans="1:7" s="2" customFormat="1" ht="11.25">
      <c r="A549"/>
      <c r="B549"/>
      <c r="C549" t="s">
        <v>1340</v>
      </c>
      <c r="E549" s="396">
        <f>SUM(E545:E548)</f>
        <v>0</v>
      </c>
      <c r="F549" t="s">
        <v>526</v>
      </c>
      <c r="G549" t="b">
        <f>MAX(E549:E549)=MIN(E549:E549)</f>
        <v>1</v>
      </c>
    </row>
    <row r="550" spans="1:7" ht="11.25">
      <c r="E550"/>
      <c r="G550" t="b">
        <f>MAX(E550:E550)=MIN(E550:E550)</f>
        <v>1</v>
      </c>
    </row>
    <row r="551" spans="1:7" ht="11.25">
      <c r="B551" s="2" t="s">
        <v>3874</v>
      </c>
      <c r="E551" s="324">
        <f>(finPNLBusBV3COSExp)*paramBusBQualityCostPctCOS</f>
        <v>2551234.4437364433</v>
      </c>
      <c r="F551" t="s">
        <v>3875</v>
      </c>
      <c r="G551" t="b">
        <f>MAX(E551:E551)=MIN(E551:E551)</f>
        <v>1</v>
      </c>
    </row>
    <row r="552" spans="1:7" ht="11.25">
      <c r="E552"/>
      <c r="G552" t="b">
        <f>MAX(E552:E552)=MIN(E552:E552)</f>
        <v>1</v>
      </c>
    </row>
    <row r="553" spans="1:7" ht="11.25">
      <c r="B553" s="2" t="s">
        <v>3546</v>
      </c>
      <c r="C553" s="2"/>
      <c r="D553" s="2"/>
      <c r="E553" s="396">
        <f>finPNLBusBV3Rev-finPNLBusBV3COSExp-finPNLBusBV3CompDevExp-finPNLBusBV3GeneralTrainingExp-finPNLBusBV3OpsImproveExp-finPNLBusBV3EmpRecDismExp-finPNLBusBV3QualityCost-finPNLBusBEntSvcsV3ExpAlloc</f>
        <v>4288556.0655228188</v>
      </c>
      <c r="F553" t="s">
        <v>3597</v>
      </c>
      <c r="G553" t="b">
        <f>MAX(E553:E553)=MIN(E553:E553)</f>
        <v>1</v>
      </c>
    </row>
    <row r="554" spans="1:7" s="144" customFormat="1" ht="11.25">
      <c r="C554" s="404" t="s">
        <v>3697</v>
      </c>
      <c r="D554" s="404"/>
      <c r="E554" s="405">
        <f>E514-E519</f>
        <v>7280000.0000000037</v>
      </c>
      <c r="F554" s="144" t="s">
        <v>3701</v>
      </c>
      <c r="G554" t="b">
        <f>MAX(E554:E554)=MIN(E554:E554)</f>
        <v>1</v>
      </c>
    </row>
    <row r="555" spans="1:7" ht="11.25">
      <c r="C555" s="2"/>
      <c r="D555" s="2"/>
      <c r="E555" s="396"/>
      <c r="G555" t="b">
        <f>MAX(E555:E555)=MIN(E555:E555)</f>
        <v>1</v>
      </c>
    </row>
    <row r="556" spans="1:7" ht="11.25">
      <c r="C556" s="2"/>
      <c r="D556" s="2"/>
      <c r="E556" s="396"/>
      <c r="G556" t="b">
        <f>MAX(E556:E556)=MIN(E556:E556)</f>
        <v>1</v>
      </c>
    </row>
    <row r="557" spans="1:7" ht="11.25">
      <c r="C557" s="2"/>
      <c r="D557" s="2"/>
      <c r="E557" s="396"/>
      <c r="G557" t="b">
        <f>MAX(E557:E557)=MIN(E557:E557)</f>
        <v>1</v>
      </c>
    </row>
    <row r="558" spans="1:7" ht="11.25">
      <c r="C558" s="2"/>
      <c r="D558" s="2"/>
      <c r="E558" s="396"/>
      <c r="G558" t="b">
        <f>MAX(E558:E558)=MIN(E558:E558)</f>
        <v>1</v>
      </c>
    </row>
    <row r="559" spans="1:7" ht="11.25">
      <c r="B559" s="2" t="s">
        <v>3806</v>
      </c>
      <c r="E559" s="314"/>
      <c r="G559" t="b">
        <f>MAX(E559:E559)=MIN(E559:E559)</f>
        <v>1</v>
      </c>
    </row>
    <row r="560" spans="1:7" ht="11.25">
      <c r="B560" s="2" t="s">
        <v>2354</v>
      </c>
      <c r="C560" s="2"/>
      <c r="D560" s="2"/>
      <c r="E560" s="396"/>
      <c r="G560" t="b">
        <f>MAX(E560:E560)=MIN(E560:E560)</f>
        <v>1</v>
      </c>
    </row>
    <row r="561" spans="1:11" ht="11.25">
      <c r="C561" t="s">
        <v>940</v>
      </c>
      <c r="E561" s="399">
        <f>capEmp2BusBV3Exp</f>
        <v>0</v>
      </c>
      <c r="F561" t="s">
        <v>3598</v>
      </c>
      <c r="G561" t="b">
        <f>MAX(E561:E561)=MIN(E561:E561)</f>
        <v>1</v>
      </c>
    </row>
    <row r="562" spans="1:11" ht="11.25">
      <c r="C562" t="s">
        <v>939</v>
      </c>
      <c r="E562" s="399">
        <f>capEmp3BusBV3Exp</f>
        <v>0</v>
      </c>
      <c r="F562" t="s">
        <v>3599</v>
      </c>
      <c r="G562" t="b">
        <f>MAX(E562:E562)=MIN(E562:E562)</f>
        <v>1</v>
      </c>
    </row>
    <row r="563" spans="1:11" ht="11.25">
      <c r="C563" t="s">
        <v>2757</v>
      </c>
      <c r="E563" s="402">
        <f>capEmp4BusBV3Exp</f>
        <v>0</v>
      </c>
      <c r="F563" t="s">
        <v>3600</v>
      </c>
      <c r="G563" t="b">
        <f>MAX(E563:E563)=MIN(E563:E563)</f>
        <v>1</v>
      </c>
    </row>
    <row r="564" spans="1:11" ht="11.25">
      <c r="C564" t="s">
        <v>3054</v>
      </c>
      <c r="E564" s="400">
        <f>finEmp6SalesSupportExp*finEntSvcsExpAllocPctBusB*finPNLBusBV3OverheadPctAlloc</f>
        <v>0</v>
      </c>
      <c r="G564" t="b">
        <f>MAX(E564:E564)=MIN(E564:E564)</f>
        <v>1</v>
      </c>
    </row>
    <row r="565" spans="1:11" ht="11.25">
      <c r="C565" s="2" t="str">
        <f>DataNameProd4 &amp; " Business Development Expense"</f>
        <v>Industry 3 Business Development Expense</v>
      </c>
      <c r="E565" s="396">
        <f>SUM(E561:E564)</f>
        <v>0</v>
      </c>
      <c r="F565" t="s">
        <v>3203</v>
      </c>
      <c r="G565" t="b">
        <f>MAX(E565:E565)=MIN(E565:E565)</f>
        <v>1</v>
      </c>
    </row>
    <row r="566" spans="1:11" ht="11.25">
      <c r="C566" s="2" t="str">
        <f>DataNameProd4 &amp; " BD Non PayrollExpense"</f>
        <v>Industry 3 BD Non PayrollExpense</v>
      </c>
      <c r="E566" s="396">
        <f>capBusBBusDevNonPayrollBud*finPNLBusBV3OverheadPctAlloc</f>
        <v>223437.50000000009</v>
      </c>
      <c r="F566" t="s">
        <v>1228</v>
      </c>
      <c r="G566" t="b">
        <f>MAX(E566:E566)=MIN(E566:E566)</f>
        <v>1</v>
      </c>
    </row>
    <row r="567" spans="1:11" ht="11.25">
      <c r="C567" s="2" t="s">
        <v>1173</v>
      </c>
      <c r="E567" s="396">
        <f>finEntSvcsMarketing*finEntSvcsExpAllocPctBusB*finPNLBusBV3OverheadPctAlloc</f>
        <v>0</v>
      </c>
      <c r="F567" t="s">
        <v>1063</v>
      </c>
      <c r="G567" t="b">
        <f>MAX(E567:E567)=MIN(E567:E567)</f>
        <v>1</v>
      </c>
    </row>
    <row r="568" spans="1:11" ht="11.25">
      <c r="C568" s="2"/>
      <c r="D568" s="2"/>
      <c r="E568" s="396"/>
      <c r="G568" t="b">
        <f>MAX(E568:E568)=MIN(E568:E568)</f>
        <v>1</v>
      </c>
    </row>
    <row r="569" spans="1:11" ht="11.25">
      <c r="B569" s="2" t="s">
        <v>2060</v>
      </c>
      <c r="E569" s="396"/>
      <c r="G569" t="b">
        <f>MAX(E569:E569)=MIN(E569:E569)</f>
        <v>1</v>
      </c>
    </row>
    <row r="570" spans="1:11" ht="11.25">
      <c r="B570" s="2"/>
      <c r="C570" t="s">
        <v>942</v>
      </c>
      <c r="E570" s="331">
        <f>((decBusBH1HrsBorrowed/paramEmp5HoursPYear)*paramEmp5Exp)*finPNLBusBV3OverheadPctAlloc</f>
        <v>0</v>
      </c>
      <c r="F570" t="s">
        <v>3204</v>
      </c>
      <c r="G570" t="b">
        <f>MAX(E570:E570)=MIN(E570:E570)</f>
        <v>1</v>
      </c>
    </row>
    <row r="571" spans="1:11" ht="11.25">
      <c r="B571" s="2"/>
      <c r="C571" t="s">
        <v>943</v>
      </c>
      <c r="E571" s="331">
        <f>((decBusBH2HrsBorrowed/paramEmp5HoursPYear)*paramEmp5Exp)*finPNLBusBV3OverheadPctAlloc</f>
        <v>0</v>
      </c>
      <c r="F571" t="s">
        <v>1557</v>
      </c>
      <c r="G571" t="b">
        <f>MAX(E571:E571)=MIN(E571:E571)</f>
        <v>1</v>
      </c>
    </row>
    <row r="572" spans="1:11" ht="11.25">
      <c r="B572" s="2"/>
      <c r="C572" t="s">
        <v>944</v>
      </c>
      <c r="E572" s="331">
        <f>((decBusBH3HrsBorrowed/paramEmp5HoursPYear)*paramEmp5Exp)*finPNLBusBV3OverheadPctAlloc</f>
        <v>0</v>
      </c>
      <c r="F572" t="s">
        <v>2415</v>
      </c>
      <c r="G572" t="b">
        <f>MAX(E572:E572)=MIN(E572:E572)</f>
        <v>1</v>
      </c>
    </row>
    <row r="573" spans="1:11" ht="11.25">
      <c r="B573" s="2"/>
      <c r="C573" s="2" t="s">
        <v>1340</v>
      </c>
      <c r="E573" s="396">
        <f>SUM(E570:E572)</f>
        <v>0</v>
      </c>
      <c r="F573" t="s">
        <v>391</v>
      </c>
      <c r="G573" t="b">
        <f>MAX(E573:E573)=MIN(E573:E573)</f>
        <v>1</v>
      </c>
    </row>
    <row r="574" spans="1:11" ht="11.25">
      <c r="C574" s="2"/>
      <c r="D574" s="403"/>
      <c r="E574" s="399"/>
      <c r="G574" t="b">
        <f>MAX(E574:E574)=MIN(E574:E574)</f>
        <v>1</v>
      </c>
    </row>
    <row r="575" spans="1:11" s="2" customFormat="1" ht="11.25">
      <c r="A575"/>
      <c r="B575" s="2" t="str">
        <f>DataNameProd1 &amp; " Administrative Expense"</f>
        <v>Consulting Administrative Expense</v>
      </c>
      <c r="E575" s="396"/>
      <c r="F575"/>
      <c r="G575" t="b">
        <f>MAX(E575:E575)=MIN(E575:E575)</f>
        <v>1</v>
      </c>
      <c r="H575"/>
      <c r="I575"/>
      <c r="J575"/>
      <c r="K575"/>
    </row>
    <row r="576" spans="1:11" s="2" customFormat="1" ht="11.25">
      <c r="A576"/>
      <c r="B576" s="3" t="str">
        <f>DataNameProd4 &amp; " Unallocated Time Salary Expense"</f>
        <v>Industry 3 Unallocated Time Salary Expense</v>
      </c>
      <c r="E576" s="396"/>
      <c r="F576"/>
      <c r="G576" t="b">
        <f>MAX(E576:E576)=MIN(E576:E576)</f>
        <v>1</v>
      </c>
    </row>
    <row r="577" spans="1:7" s="2" customFormat="1" ht="11.25">
      <c r="A577"/>
      <c r="B577" s="3"/>
      <c r="C577" t="s">
        <v>941</v>
      </c>
      <c r="E577" s="399">
        <f>capEmp1BusBNonBillExp*finPNLBusBV3OverheadPctAlloc</f>
        <v>64759.259259259285</v>
      </c>
      <c r="F577" t="s">
        <v>3402</v>
      </c>
      <c r="G577" t="b">
        <f>MAX(E577:E577)=MIN(E577:E577)</f>
        <v>1</v>
      </c>
    </row>
    <row r="578" spans="1:7" s="2" customFormat="1" ht="11.25">
      <c r="A578"/>
      <c r="B578" s="3"/>
      <c r="C578" t="s">
        <v>940</v>
      </c>
      <c r="E578" s="399">
        <f>capEmp2BusBNonBillExp*finPNLBusBV3OverheadPctAlloc</f>
        <v>330958.33333333343</v>
      </c>
      <c r="F578" t="s">
        <v>1931</v>
      </c>
      <c r="G578" t="b">
        <f>MAX(E578:E578)=MIN(E578:E578)</f>
        <v>1</v>
      </c>
    </row>
    <row r="579" spans="1:7" s="2" customFormat="1" ht="11.25">
      <c r="A579"/>
      <c r="B579" s="3"/>
      <c r="C579" t="s">
        <v>939</v>
      </c>
      <c r="E579" s="399">
        <f>capEmp3BusBNonBillExp*finPNLBusBV3OverheadPctAlloc</f>
        <v>559406.25000000023</v>
      </c>
      <c r="F579" t="s">
        <v>1932</v>
      </c>
      <c r="G579" t="b">
        <f>MAX(E579:E579)=MIN(E579:E579)</f>
        <v>1</v>
      </c>
    </row>
    <row r="580" spans="1:7" s="2" customFormat="1" ht="11.25">
      <c r="A580"/>
      <c r="B580" s="3"/>
      <c r="C580" t="s">
        <v>2757</v>
      </c>
      <c r="E580" s="400">
        <f>capEmp4BusBNonBillExp*finPNLBusBV3OverheadPctAlloc</f>
        <v>699562.50000000023</v>
      </c>
      <c r="F580" t="s">
        <v>1933</v>
      </c>
      <c r="G580" t="b">
        <f>MAX(E580:E580)=MIN(E580:E580)</f>
        <v>1</v>
      </c>
    </row>
    <row r="581" spans="1:7" s="2" customFormat="1" ht="11.25">
      <c r="A581"/>
      <c r="C581" t="s">
        <v>1340</v>
      </c>
      <c r="E581" s="406">
        <f>SUM(E577:E580)</f>
        <v>1654686.3425925933</v>
      </c>
      <c r="F581" t="s">
        <v>1175</v>
      </c>
      <c r="G581" t="b">
        <f>MAX(E581:E581)=MIN(E581:E581)</f>
        <v>1</v>
      </c>
    </row>
    <row r="582" spans="1:7" s="2" customFormat="1" ht="11.25">
      <c r="A582"/>
      <c r="C582"/>
      <c r="E582" s="406"/>
      <c r="F582"/>
      <c r="G582" t="b">
        <f>MAX(E582:E582)=MIN(E582:E582)</f>
        <v>1</v>
      </c>
    </row>
    <row r="583" spans="1:7" s="2" customFormat="1" ht="11.25">
      <c r="B583" s="3" t="s">
        <v>2759</v>
      </c>
      <c r="D583" s="403"/>
      <c r="E583" s="399">
        <f>finPNLBusBTotalGeneralTrainingBudgetExpense*finPNLBusBV3OverheadPctAlloc</f>
        <v>54098.95833333335</v>
      </c>
      <c r="F583" t="s">
        <v>3620</v>
      </c>
      <c r="G583" t="b">
        <f>MAX(E583:E583)=MIN(E583:E583)</f>
        <v>1</v>
      </c>
    </row>
    <row r="584" spans="1:7" s="2" customFormat="1" ht="11.25">
      <c r="A584"/>
      <c r="C584"/>
      <c r="E584" s="36"/>
      <c r="F584"/>
      <c r="G584" t="b">
        <f>MAX(E584:E584)=MIN(E584:E584)</f>
        <v>1</v>
      </c>
    </row>
    <row r="585" spans="1:7" s="2" customFormat="1" ht="11.25">
      <c r="A585"/>
      <c r="B585" s="3" t="str">
        <f>DataNameProd4 &amp; " Employe Admin Expense"</f>
        <v>Industry 3 Employe Admin Expense</v>
      </c>
      <c r="C585" s="3"/>
      <c r="E585" s="396"/>
      <c r="F585"/>
      <c r="G585" t="b">
        <f>MAX(E585:E585)=MIN(E585:E585)</f>
        <v>1</v>
      </c>
    </row>
    <row r="586" spans="1:7" s="2" customFormat="1" ht="11.25">
      <c r="A586"/>
      <c r="B586" s="3"/>
      <c r="C586" t="s">
        <v>941</v>
      </c>
      <c r="E586" s="399">
        <f>capEmp1BusBAdminExp*finPNLBusBV3OverheadPctAlloc</f>
        <v>4875.0000000000018</v>
      </c>
      <c r="F586"/>
      <c r="G586" t="b">
        <f>MAX(E586:E586)=MIN(E586:E586)</f>
        <v>1</v>
      </c>
    </row>
    <row r="587" spans="1:7" s="2" customFormat="1" ht="11.25">
      <c r="A587"/>
      <c r="B587" s="3"/>
      <c r="C587" t="s">
        <v>940</v>
      </c>
      <c r="E587" s="331">
        <f>capEmp2BusBAdminExp*finPNLBusBV3OverheadPctAlloc</f>
        <v>24375.000000000007</v>
      </c>
      <c r="F587"/>
      <c r="G587" t="b">
        <f>MAX(E587:E587)=MIN(E587:E587)</f>
        <v>1</v>
      </c>
    </row>
    <row r="588" spans="1:7" s="2" customFormat="1" ht="11.25">
      <c r="A588"/>
      <c r="B588" s="3"/>
      <c r="C588" t="s">
        <v>939</v>
      </c>
      <c r="E588" s="331">
        <f>capEmp3BusBAdminExp*finPNLBusBV3OverheadPctAlloc</f>
        <v>36562.500000000015</v>
      </c>
      <c r="F588"/>
      <c r="G588" t="b">
        <f>MAX(E588:E588)=MIN(E588:E588)</f>
        <v>1</v>
      </c>
    </row>
    <row r="589" spans="1:7" s="2" customFormat="1" ht="11.25">
      <c r="A589"/>
      <c r="B589" s="3"/>
      <c r="C589" t="s">
        <v>2757</v>
      </c>
      <c r="E589" s="401">
        <f>capEmp4BusBAdminExp*finPNLBusBV3OverheadPctAlloc</f>
        <v>44687.500000000015</v>
      </c>
      <c r="F589"/>
      <c r="G589" t="b">
        <f>MAX(E589:E589)=MIN(E589:E589)</f>
        <v>1</v>
      </c>
    </row>
    <row r="590" spans="1:7" s="2" customFormat="1" ht="11.25">
      <c r="A590"/>
      <c r="B590" s="3"/>
      <c r="C590" t="s">
        <v>1340</v>
      </c>
      <c r="E590" s="396">
        <f>SUM(E586:E589)</f>
        <v>110500.00000000004</v>
      </c>
      <c r="F590" t="s">
        <v>609</v>
      </c>
      <c r="G590" t="b">
        <f>MAX(E590:E590)=MIN(E590:E590)</f>
        <v>1</v>
      </c>
    </row>
    <row r="591" spans="1:7" s="2" customFormat="1" ht="11.25">
      <c r="A591"/>
      <c r="B591" s="3"/>
      <c r="C591"/>
      <c r="E591" s="396"/>
      <c r="F591"/>
      <c r="G591" t="b">
        <f>MAX(E591:E591)=MIN(E591:E591)</f>
        <v>1</v>
      </c>
    </row>
    <row r="592" spans="1:7" s="2" customFormat="1" ht="11.25">
      <c r="A592"/>
      <c r="B592"/>
      <c r="C592"/>
      <c r="E592" s="396"/>
      <c r="F592"/>
      <c r="G592" t="b">
        <f>MAX(E592:E592)=MIN(E592:E592)</f>
        <v>1</v>
      </c>
    </row>
    <row r="593" spans="1:9" s="2" customFormat="1" ht="11.25">
      <c r="A593"/>
      <c r="B593" s="3" t="str">
        <f>DataNameProd4 &amp; " Fixed Admin Expense"</f>
        <v>Industry 3 Fixed Admin Expense</v>
      </c>
      <c r="C593" s="3"/>
      <c r="E593" s="402">
        <f>paramProd2FixedAdmin*finPNLBusBV3OverheadPctAlloc</f>
        <v>270833.33333333343</v>
      </c>
      <c r="F593" t="s">
        <v>1176</v>
      </c>
      <c r="G593" t="b">
        <f>MAX(E593:E593)=MIN(E593:E593)</f>
        <v>1</v>
      </c>
    </row>
    <row r="594" spans="1:9" s="2" customFormat="1" ht="11.25">
      <c r="A594"/>
      <c r="B594" s="3"/>
      <c r="C594" s="3"/>
      <c r="E594" s="396"/>
      <c r="F594"/>
      <c r="G594" t="b">
        <f>MAX(E594:E594)=MIN(E594:E594)</f>
        <v>1</v>
      </c>
    </row>
    <row r="595" spans="1:9" ht="11.25">
      <c r="B595" s="2" t="s">
        <v>3758</v>
      </c>
      <c r="G595" t="b">
        <f>MAX(E595:E595)=MIN(E595:E595)</f>
        <v>1</v>
      </c>
    </row>
    <row r="596" spans="1:9" ht="11.25">
      <c r="B596" s="2"/>
      <c r="G596" t="b">
        <f>MAX(E596:E596)=MIN(E596:E596)</f>
        <v>1</v>
      </c>
    </row>
    <row r="597" spans="1:9" ht="11.25">
      <c r="C597" t="str">
        <f>DataNameProd4 &amp; " Other Expense"</f>
        <v>Industry 3 Other Expense</v>
      </c>
      <c r="E597" s="324">
        <f>paramProd2OtherCost*finPNLBusBV3OverheadPctAlloc</f>
        <v>270833.33333333343</v>
      </c>
      <c r="F597" t="s">
        <v>1214</v>
      </c>
      <c r="G597" t="b">
        <f>MAX(E597:E597)=MIN(E597:E597)</f>
        <v>1</v>
      </c>
    </row>
    <row r="598" spans="1:9" ht="11.25">
      <c r="G598" t="b">
        <f>MAX(E598:E598)=MIN(E598:E598)</f>
        <v>1</v>
      </c>
    </row>
    <row r="599" spans="1:9" ht="11.25">
      <c r="C599" t="str">
        <f>DataNameProd4 &amp; " Special Programs Expense"</f>
        <v>Industry 3 Special Programs Expense</v>
      </c>
      <c r="E599" s="324">
        <f>paramSpecProgBusBV3Exp</f>
        <v>0</v>
      </c>
      <c r="F599" t="s">
        <v>1215</v>
      </c>
      <c r="G599" t="b">
        <f>MAX(E599:E599)=MIN(E599:E599)</f>
        <v>1</v>
      </c>
    </row>
    <row r="600" spans="1:9" s="2" customFormat="1" ht="11.25">
      <c r="A600"/>
      <c r="B600" s="3"/>
      <c r="C600" s="3"/>
      <c r="E600" s="396"/>
      <c r="F600"/>
      <c r="G600" t="b">
        <f>MAX(E600:E600)=MIN(E600:E600)</f>
        <v>1</v>
      </c>
    </row>
    <row r="601" spans="1:9" ht="11.25">
      <c r="B601" s="2" t="s">
        <v>2959</v>
      </c>
      <c r="C601" s="2"/>
      <c r="E601" s="396"/>
      <c r="F601" s="3"/>
      <c r="G601" t="b">
        <f>MAX(E601:E601)=MIN(E601:E601)</f>
        <v>1</v>
      </c>
      <c r="I601" s="3"/>
    </row>
    <row r="602" spans="1:9" ht="11.25">
      <c r="C602" t="str">
        <f>DataNameProd4 &amp; " Operating Expense"</f>
        <v>Industry 3 Operating Expense</v>
      </c>
      <c r="E602" s="324">
        <f>finBusBV3BusDevTimeExp+finPNLBusBV3TotalGenMktExp+finPNLBusBV3UnallocTimeExp+finPNLBusBV3GeneralTrainingBudgetExpense+finPNLBusBV3TtlEmpAdminExp+finPNLBusBV3FixedAdminExp+finPNLBusBV3OtherExp+finPNLBusBV3SpecProgExp+finPNLBusBV3TotalGlobalSalaryExp+finBusBV3BusDevNonPayroll</f>
        <v>2584389.4675925933</v>
      </c>
      <c r="F602" t="s">
        <v>4297</v>
      </c>
      <c r="G602" t="b">
        <f>MAX(E602:E602)=MIN(E602:E602)</f>
        <v>1</v>
      </c>
    </row>
    <row r="603" spans="1:9" ht="11.25">
      <c r="G603" t="b">
        <f>MAX(E603:E603)=MIN(E603:E603)</f>
        <v>1</v>
      </c>
    </row>
    <row r="604" spans="1:9" ht="11.25">
      <c r="C604" t="str">
        <f>DataNameProd4&amp;" Operating Profit"</f>
        <v>Industry 3 Operating Profit</v>
      </c>
      <c r="E604" s="324">
        <f>finPNLBusBV3GrossMargin-finPNLBusBV3TotalOpExp</f>
        <v>1704166.5979302255</v>
      </c>
      <c r="F604" t="s">
        <v>4298</v>
      </c>
      <c r="G604" t="b">
        <f>MAX(E604:E604)=MIN(E604:E604)</f>
        <v>1</v>
      </c>
    </row>
    <row r="605" spans="1:9" ht="11.25">
      <c r="G605" t="b">
        <f>MAX(E605:E605)=MIN(E605:E605)</f>
        <v>1</v>
      </c>
    </row>
    <row r="606" spans="1:9" ht="11.25">
      <c r="C606" t="str">
        <f>DataNameProd4&amp;" Operating Margin"</f>
        <v>Industry 3 Operating Margin</v>
      </c>
      <c r="E606" s="271">
        <f>finPNLBusBV3OpsMargin/finPNLBusBV3Rev</f>
        <v>6.9162605435479918E-2</v>
      </c>
      <c r="F606" t="s">
        <v>844</v>
      </c>
      <c r="G606" t="b">
        <f>MAX(E606:E606)=MIN(E606:E606)</f>
        <v>1</v>
      </c>
    </row>
    <row r="607" spans="1:9" s="2" customFormat="1" ht="11.25">
      <c r="D607" s="403"/>
      <c r="E607" s="399"/>
      <c r="F607"/>
      <c r="G607" t="b">
        <f>MAX(E607:E607)=MIN(E607:E607)</f>
        <v>1</v>
      </c>
    </row>
    <row r="608" spans="1:9" s="2" customFormat="1" ht="11.25">
      <c r="D608" s="403"/>
      <c r="E608" s="399"/>
      <c r="F608"/>
      <c r="G608" t="b">
        <f>MAX(E608:E608)=MIN(E608:E608)</f>
        <v>1</v>
      </c>
    </row>
    <row r="609" spans="1:7" s="2" customFormat="1" ht="11.25">
      <c r="A609" s="2" t="s">
        <v>2411</v>
      </c>
      <c r="D609" s="403"/>
      <c r="E609" s="399"/>
      <c r="F609"/>
      <c r="G609" t="b">
        <f>MAX(E609:E609)=MIN(E609:E609)</f>
        <v>1</v>
      </c>
    </row>
    <row r="610" spans="1:7" s="2" customFormat="1" ht="11.25">
      <c r="B610" s="2" t="s">
        <v>1487</v>
      </c>
      <c r="D610" s="403"/>
      <c r="E610" s="399">
        <f>finPNLBusBV1Rev+finPNLBusBV2Rev+finPNLBusBV3Rev</f>
        <v>117600000</v>
      </c>
      <c r="F610" t="s">
        <v>2740</v>
      </c>
      <c r="G610" t="b">
        <f>MAX(E610:E610)=MIN(E610:E610)</f>
        <v>1</v>
      </c>
    </row>
    <row r="611" spans="1:7" s="2" customFormat="1" ht="11.25">
      <c r="B611" s="2" t="s">
        <v>1216</v>
      </c>
      <c r="D611" s="403"/>
      <c r="E611" s="399">
        <f>finPNLBusBV1COSExp+finPNLBusBV2COSExp+finPNLBusBV3COSExp</f>
        <v>90720000</v>
      </c>
      <c r="F611" t="s">
        <v>2741</v>
      </c>
      <c r="G611" t="b">
        <f>MAX(E611:E611)=MIN(E611:E611)</f>
        <v>1</v>
      </c>
    </row>
    <row r="612" spans="1:7" s="2" customFormat="1" ht="11.25">
      <c r="B612" s="2" t="s">
        <v>408</v>
      </c>
      <c r="D612" s="403"/>
      <c r="E612" s="399">
        <f>finPNLBusBEntSvcsV1ExpAlloc+finPNLBusBEntSvcsV2ExpAlloc+finPNLBusBEntSvcsV3ExpAlloc</f>
        <v>0</v>
      </c>
      <c r="F612" t="s">
        <v>619</v>
      </c>
      <c r="G612" t="b">
        <f>MAX(E612:E612)=MIN(E612:E612)</f>
        <v>1</v>
      </c>
    </row>
    <row r="613" spans="1:7" s="2" customFormat="1" ht="11.25">
      <c r="B613" s="2" t="s">
        <v>2059</v>
      </c>
      <c r="D613" s="403"/>
      <c r="E613" s="399">
        <f>finPNLBusBV1CompDevExp+finPNLBusBV2CompDevExp+finPNLBusBV3CompDevExp</f>
        <v>0</v>
      </c>
      <c r="F613" t="s">
        <v>617</v>
      </c>
      <c r="G613" t="b">
        <f>MAX(E613:E613)=MIN(E613:E613)</f>
        <v>1</v>
      </c>
    </row>
    <row r="614" spans="1:7" s="2" customFormat="1" ht="11.25">
      <c r="B614" s="2" t="s">
        <v>1832</v>
      </c>
      <c r="D614" s="403"/>
      <c r="E614" s="399">
        <f>finPNLBusBV1GeneralTrainingExp+finPNLBusBV2GeneralTrainingExp+finPNLBusBV3GeneralTrainingExp</f>
        <v>433999.99999999994</v>
      </c>
      <c r="F614" t="s">
        <v>618</v>
      </c>
      <c r="G614" t="b">
        <f>MAX(E614:E614)=MIN(E614:E614)</f>
        <v>1</v>
      </c>
    </row>
    <row r="615" spans="1:7" s="2" customFormat="1" ht="11.25">
      <c r="B615" s="2" t="s">
        <v>3571</v>
      </c>
      <c r="D615" s="403"/>
      <c r="E615" s="399">
        <f>finPNLBusBV1EmpRecDismExp+finPNLBusBV2EmpRecDismExp+finPNLBusBV3EmpRecDismExp</f>
        <v>0</v>
      </c>
      <c r="F615" t="s">
        <v>622</v>
      </c>
      <c r="G615" t="b">
        <f>MAX(E615:E615)=MIN(E615:E615)</f>
        <v>1</v>
      </c>
    </row>
    <row r="616" spans="1:7" s="2" customFormat="1" ht="11.25">
      <c r="B616" s="2" t="s">
        <v>3400</v>
      </c>
      <c r="D616" s="403"/>
      <c r="E616" s="399">
        <f>finPNLBusBV3OpsImproveExp+finPNLBusBV2OpsImproveExp+finPNLBusBV1OpsImproveExp</f>
        <v>1191388.888888889</v>
      </c>
      <c r="F616" t="s">
        <v>1172</v>
      </c>
      <c r="G616" t="b">
        <f>MAX(E616:E616)=MIN(E616:E616)</f>
        <v>1</v>
      </c>
    </row>
    <row r="617" spans="1:7" s="2" customFormat="1" ht="11.25">
      <c r="B617" s="2" t="s">
        <v>3876</v>
      </c>
      <c r="D617" s="403"/>
      <c r="E617" s="399">
        <f>finPNLBusBV3QualityCost+finPNLBusBV2QualityCost+finPNLBusBV1QualityCost</f>
        <v>13332257.415654961</v>
      </c>
      <c r="F617" t="s">
        <v>4524</v>
      </c>
      <c r="G617" t="b">
        <f>MAX(E617:E617)=MIN(E617:E617)</f>
        <v>1</v>
      </c>
    </row>
    <row r="618" spans="1:7" s="2" customFormat="1" ht="3" customHeight="1">
      <c r="D618" s="403"/>
      <c r="E618" s="399"/>
      <c r="F618"/>
      <c r="G618" t="b">
        <f>MAX(E618:E618)=MIN(E618:E618)</f>
        <v>1</v>
      </c>
    </row>
    <row r="619" spans="1:7" s="2" customFormat="1" ht="11.25">
      <c r="B619" s="2" t="s">
        <v>3545</v>
      </c>
      <c r="D619" s="591">
        <f>E610-E611-E612-E613-E614-E615-E616-E617</f>
        <v>11922353.695456151</v>
      </c>
      <c r="E619" s="396">
        <f>E610-E611-E613-E614-E615-E616-E617-E612</f>
        <v>11922353.695456151</v>
      </c>
      <c r="F619" t="s">
        <v>2742</v>
      </c>
      <c r="G619" t="b">
        <f>MAX(E619:E619)=MIN(E619:E619)</f>
        <v>1</v>
      </c>
    </row>
    <row r="620" spans="1:7" s="2" customFormat="1" ht="11.25">
      <c r="D620" s="592">
        <f>E619-D619</f>
        <v>0</v>
      </c>
      <c r="E620" s="399"/>
      <c r="F620"/>
      <c r="G620" t="b">
        <f>MAX(E620:E620)=MIN(E620:E620)</f>
        <v>1</v>
      </c>
    </row>
    <row r="621" spans="1:7" s="2" customFormat="1" ht="11.25">
      <c r="B621" s="2" t="s">
        <v>2354</v>
      </c>
      <c r="D621" s="403"/>
      <c r="E621" s="399">
        <f>finBusBV1BusDevTimeExp+finBusBV2BusDevTimeExp+finBusBV3BusDevTimeExp+finBusBV1BusDevNonPayroll+finBusBV2BusDevNonPayroll+finBusBV3BusDevNonPayroll</f>
        <v>1250000</v>
      </c>
      <c r="F621" t="s">
        <v>2743</v>
      </c>
      <c r="G621" t="b">
        <f>MAX(E621:E621)=MIN(E621:E621)</f>
        <v>1</v>
      </c>
    </row>
    <row r="622" spans="1:7" s="2" customFormat="1" ht="11.25">
      <c r="B622" s="2" t="s">
        <v>2060</v>
      </c>
      <c r="D622" s="403"/>
      <c r="E622" s="399">
        <f>finPNLBusBV1TotalGlobalSalaryExp+finPNLBusBV2TotalGlobalSalaryExp+finPNLBusBV3TotalGlobalSalaryExp</f>
        <v>0</v>
      </c>
      <c r="F622" t="s">
        <v>616</v>
      </c>
      <c r="G622" t="b">
        <f>MAX(E622:E622)=MIN(E622:E622)</f>
        <v>1</v>
      </c>
    </row>
    <row r="623" spans="1:7" s="2" customFormat="1" ht="11.25">
      <c r="B623" s="2" t="s">
        <v>3544</v>
      </c>
      <c r="D623" s="403"/>
      <c r="E623" s="399">
        <f>finPNLBusBV3TotalGenMktExp+finPNLBusBV2TotalGenMktExp+finPNLBusBV1TotalGenMktExp</f>
        <v>0</v>
      </c>
      <c r="F623" t="s">
        <v>1060</v>
      </c>
      <c r="G623" t="b">
        <f>MAX(E623:E623)=MIN(E623:E623)</f>
        <v>1</v>
      </c>
    </row>
    <row r="624" spans="1:7" s="2" customFormat="1" ht="11.25">
      <c r="B624" s="2" t="s">
        <v>1171</v>
      </c>
      <c r="D624" s="403"/>
      <c r="E624" s="399">
        <f>finPNLBusBV1UnallocTimeExp+finPNLBusBV2UnallocTimeExp+finPNLBusBV3UnallocTimeExp</f>
        <v>6109611.1111111119</v>
      </c>
      <c r="F624" t="s">
        <v>620</v>
      </c>
      <c r="G624" t="b">
        <f>MAX(E624:E624)=MIN(E624:E624)</f>
        <v>1</v>
      </c>
    </row>
    <row r="625" spans="1:7" s="2" customFormat="1" ht="11.25">
      <c r="B625" s="2" t="s">
        <v>2759</v>
      </c>
      <c r="D625" s="403"/>
      <c r="E625" s="399">
        <f>finPNLBusBV3GeneralTrainingBudgetExpense+finPNLBusBV2GeneralTrainingBudgetExpense+finPNLBusBV1GeneralTrainingBudgetExpense</f>
        <v>199750</v>
      </c>
      <c r="F625" t="s">
        <v>4070</v>
      </c>
      <c r="G625" t="b">
        <f>MAX(E625:E625)=MIN(E625:E625)</f>
        <v>1</v>
      </c>
    </row>
    <row r="626" spans="1:7" s="2" customFormat="1" ht="11.25">
      <c r="B626" s="2" t="s">
        <v>3570</v>
      </c>
      <c r="D626" s="403"/>
      <c r="E626" s="399">
        <f>finPNLBusBV1TtlEmpAdminExp+finPNLBusBV2TtlEmpAdminExp+finPNLBusBV3TtlEmpAdminExp</f>
        <v>408000</v>
      </c>
      <c r="F626" t="s">
        <v>621</v>
      </c>
      <c r="G626" t="b">
        <f>MAX(E626:E626)=MIN(E626:E626)</f>
        <v>1</v>
      </c>
    </row>
    <row r="627" spans="1:7" s="2" customFormat="1" ht="11.25">
      <c r="B627" s="2" t="s">
        <v>3572</v>
      </c>
      <c r="D627" s="403"/>
      <c r="E627" s="399">
        <f>finPNLBusBV1FixedAdminExp+finPNLBusBV2FixedAdminExp+finPNLBusBV3FixedAdminExp</f>
        <v>1000000</v>
      </c>
      <c r="F627" t="s">
        <v>623</v>
      </c>
      <c r="G627" t="b">
        <f>MAX(E627:E627)=MIN(E627:E627)</f>
        <v>1</v>
      </c>
    </row>
    <row r="628" spans="1:7" s="2" customFormat="1" ht="11.25">
      <c r="B628" s="2" t="s">
        <v>1990</v>
      </c>
      <c r="D628" s="403"/>
      <c r="E628" s="399">
        <f>finPNLBusBV1OtherExp+finPNLBusBV2OtherExp+finPNLBusBV3OtherExp</f>
        <v>1000000</v>
      </c>
      <c r="F628" t="s">
        <v>624</v>
      </c>
      <c r="G628" t="b">
        <f>MAX(E628:E628)=MIN(E628:E628)</f>
        <v>1</v>
      </c>
    </row>
    <row r="629" spans="1:7" ht="11.25">
      <c r="B629" s="2" t="s">
        <v>1018</v>
      </c>
      <c r="E629" s="324">
        <f>finPNLBusBV3SpecProgExp+finPNLBusBV2SpecProgExp+finPNLBusBV1SpecProgExp</f>
        <v>0</v>
      </c>
      <c r="F629" t="s">
        <v>1019</v>
      </c>
      <c r="G629" t="b">
        <f>MAX(E629:E629)=MIN(E629:E629)</f>
        <v>1</v>
      </c>
    </row>
    <row r="630" spans="1:7" s="2" customFormat="1" ht="11.25">
      <c r="B630" s="2" t="s">
        <v>2410</v>
      </c>
      <c r="D630" s="591">
        <f>SUM(E621:E629)</f>
        <v>9967361.1111111119</v>
      </c>
      <c r="E630" s="399">
        <f>finPNLBusBV1TotalOpExp+finPNLBusBV2TotalOpExp+finPNLBusBV3TotalOpExp</f>
        <v>9967361.1111111119</v>
      </c>
      <c r="F630" t="s">
        <v>625</v>
      </c>
      <c r="G630" t="b">
        <f>MAX(E630:E630)=MIN(E630:E630)</f>
        <v>1</v>
      </c>
    </row>
    <row r="631" spans="1:7" s="2" customFormat="1" ht="11.25">
      <c r="D631" s="592">
        <f>E630-D630</f>
        <v>0</v>
      </c>
      <c r="E631" s="399"/>
      <c r="F631"/>
      <c r="G631" t="b">
        <f>MAX(E631:E631)=MIN(E631:E631)</f>
        <v>1</v>
      </c>
    </row>
    <row r="632" spans="1:7" s="2" customFormat="1" ht="11.25">
      <c r="B632" s="2" t="s">
        <v>2052</v>
      </c>
      <c r="D632" s="592">
        <f>E610-E611-E612-E613-E614-E615-E616-E617-E621-E622-E623-E624-E625-E626-E627-E628-E629</f>
        <v>1954992.584345039</v>
      </c>
      <c r="E632" s="396">
        <f>finPNLBusBV1OpsMargin+finPNLBusBV2OpsMargin+finPNLBusBV3OpsMargin</f>
        <v>1954992.5843450413</v>
      </c>
      <c r="F632" t="s">
        <v>626</v>
      </c>
      <c r="G632" t="b">
        <f>MAX(E632:E632)=MIN(E632:E632)</f>
        <v>1</v>
      </c>
    </row>
    <row r="633" spans="1:7" s="2" customFormat="1" ht="11.25">
      <c r="C633" s="3" t="s">
        <v>262</v>
      </c>
      <c r="D633" s="592">
        <f>E632-D632</f>
        <v>2.3283064365386963E-9</v>
      </c>
      <c r="E633" s="410">
        <f>E632/E610</f>
        <v>1.6624086601573482E-2</v>
      </c>
      <c r="F633" t="s">
        <v>627</v>
      </c>
      <c r="G633" t="b">
        <f>MAX(E633:E633)=MIN(E633:E633)</f>
        <v>1</v>
      </c>
    </row>
    <row r="634" spans="1:7" s="2" customFormat="1" ht="11.25">
      <c r="B634"/>
      <c r="D634" s="403"/>
      <c r="E634" s="399"/>
      <c r="F634"/>
      <c r="G634" t="b">
        <f>MAX(E634:E634)=MIN(E634:E634)</f>
        <v>1</v>
      </c>
    </row>
    <row r="635" spans="1:7" s="2" customFormat="1" ht="11.25">
      <c r="B635" s="3"/>
      <c r="D635" s="403"/>
      <c r="E635" s="399"/>
      <c r="F635"/>
      <c r="G635" t="b">
        <f>MAX(E635:E635)=MIN(E635:E635)</f>
        <v>1</v>
      </c>
    </row>
    <row r="636" spans="1:7" s="2" customFormat="1" ht="11.25">
      <c r="B636" s="3"/>
      <c r="D636" s="403"/>
      <c r="E636" s="51"/>
      <c r="F636"/>
      <c r="G636" t="b">
        <f>MAX(E636:E636)=MIN(E636:E636)</f>
        <v>1</v>
      </c>
    </row>
    <row r="637" spans="1:7" s="2" customFormat="1" ht="15.75">
      <c r="A637" s="414" t="s">
        <v>2051</v>
      </c>
      <c r="B637" s="415"/>
      <c r="C637" s="414"/>
      <c r="D637" s="416"/>
      <c r="E637" s="417"/>
      <c r="F637" s="415"/>
      <c r="G637" t="b">
        <f>MAX(E637:E637)=MIN(E637:E637)</f>
        <v>1</v>
      </c>
    </row>
    <row r="638" spans="1:7" s="2" customFormat="1" ht="11.25">
      <c r="B638" s="3"/>
      <c r="D638" s="403"/>
      <c r="E638" s="399"/>
      <c r="F638"/>
      <c r="G638" t="b">
        <f>MAX(E638:E638)=MIN(E638:E638)</f>
        <v>1</v>
      </c>
    </row>
    <row r="639" spans="1:7" s="2" customFormat="1" ht="11.25">
      <c r="B639" s="3" t="s">
        <v>3407</v>
      </c>
      <c r="D639" s="403"/>
      <c r="E639" s="399">
        <f>finPNLProd1Rev</f>
        <v>200512505.05278993</v>
      </c>
      <c r="F639" t="s">
        <v>2463</v>
      </c>
      <c r="G639" t="b">
        <f>MAX(E639:E639)=MIN(E639:E639)</f>
        <v>1</v>
      </c>
    </row>
    <row r="640" spans="1:7" s="2" customFormat="1" ht="11.25">
      <c r="B640" s="2" t="s">
        <v>234</v>
      </c>
      <c r="D640" s="403"/>
      <c r="E640" s="399"/>
      <c r="G640" t="b">
        <f>MAX(E640:E640)=MIN(E640:E640)</f>
        <v>1</v>
      </c>
    </row>
    <row r="641" spans="2:7" s="2" customFormat="1" ht="11.25">
      <c r="C641" s="3" t="s">
        <v>1408</v>
      </c>
      <c r="D641" s="403"/>
      <c r="E641" s="399">
        <f>finPNLBusAV1TotalSalaryExp+finPNLBusAV2TotalSalaryExp+finPNLBusAV3TotalSalaryExp</f>
        <v>62603187.282498181</v>
      </c>
      <c r="F641" t="s">
        <v>1609</v>
      </c>
      <c r="G641" t="b">
        <f>MAX(E641:E641)=MIN(E641:E641)</f>
        <v>1</v>
      </c>
    </row>
    <row r="642" spans="2:7" s="2" customFormat="1" ht="11.25">
      <c r="B642"/>
      <c r="C642" s="3" t="s">
        <v>2056</v>
      </c>
      <c r="D642" s="403"/>
      <c r="E642" s="399">
        <f>paramProd1AdminCost*E641</f>
        <v>6260318.7282498181</v>
      </c>
      <c r="F642" t="s">
        <v>2358</v>
      </c>
      <c r="G642" t="b">
        <f>MAX(E642:E642)=MIN(E642:E642)</f>
        <v>1</v>
      </c>
    </row>
    <row r="643" spans="2:7" s="2" customFormat="1" ht="11.25">
      <c r="C643" s="3" t="s">
        <v>1149</v>
      </c>
      <c r="D643" s="403"/>
      <c r="E643" s="399">
        <f>finPNLBusATotalGlobalSalaryExp</f>
        <v>0</v>
      </c>
      <c r="F643" t="s">
        <v>1610</v>
      </c>
      <c r="G643" t="b">
        <f>MAX(E643:E643)=MIN(E643:E643)</f>
        <v>1</v>
      </c>
    </row>
    <row r="644" spans="2:7" s="2" customFormat="1" ht="11.25">
      <c r="C644" s="3" t="s">
        <v>3571</v>
      </c>
      <c r="D644" s="403"/>
      <c r="E644" s="399">
        <f>finPNLBusAEmpRecDismExp</f>
        <v>25075000</v>
      </c>
      <c r="F644" t="s">
        <v>1613</v>
      </c>
      <c r="G644" t="b">
        <f>MAX(E644:E644)=MIN(E644:E644)</f>
        <v>1</v>
      </c>
    </row>
    <row r="645" spans="2:7" s="2" customFormat="1" ht="11.25">
      <c r="B645" s="3"/>
      <c r="C645" s="3" t="s">
        <v>1217</v>
      </c>
      <c r="D645" s="403"/>
      <c r="E645" s="399"/>
      <c r="F645" t="s">
        <v>1614</v>
      </c>
      <c r="G645" t="b">
        <f>MAX(E645:E645)=MIN(E645:E645)</f>
        <v>1</v>
      </c>
    </row>
    <row r="646" spans="2:7" s="2" customFormat="1" ht="11.25">
      <c r="B646" s="3"/>
      <c r="C646" s="3" t="s">
        <v>4701</v>
      </c>
      <c r="D646" s="403"/>
      <c r="E646" s="399">
        <f>finPNLBusAV1CompDevTimeExp+finPNLBusAV2CompDevTimeExp+finPNLBusAV3CompDevTimeExp</f>
        <v>924000</v>
      </c>
      <c r="F646" t="s">
        <v>1611</v>
      </c>
      <c r="G646" t="b">
        <f>MAX(E646:E646)=MIN(E646:E646)</f>
        <v>1</v>
      </c>
    </row>
    <row r="647" spans="2:7" s="2" customFormat="1" ht="11.25">
      <c r="B647" s="3"/>
      <c r="C647" s="3" t="s">
        <v>3369</v>
      </c>
      <c r="D647" s="403"/>
      <c r="E647" s="399">
        <f>finPNLBusATotalQualityCost</f>
        <v>1270588.5916194911</v>
      </c>
      <c r="F647" t="s">
        <v>4525</v>
      </c>
      <c r="G647" t="b">
        <f>MAX(E647:E647)=MIN(E647:E647)</f>
        <v>1</v>
      </c>
    </row>
    <row r="648" spans="2:7" s="2" customFormat="1" ht="11.25">
      <c r="B648" s="3"/>
      <c r="C648" s="700" t="s">
        <v>4880</v>
      </c>
      <c r="D648" s="403"/>
      <c r="E648" s="399">
        <f>SUM(E641:E647)</f>
        <v>96133094.602367491</v>
      </c>
      <c r="F648" s="700" t="s">
        <v>4881</v>
      </c>
      <c r="G648" t="b">
        <f>MAX(E648:E648)=MIN(E648:E648)</f>
        <v>1</v>
      </c>
    </row>
    <row r="649" spans="2:7" s="2" customFormat="1" ht="11.25">
      <c r="B649" s="2" t="s">
        <v>4766</v>
      </c>
      <c r="D649" s="403"/>
      <c r="E649" s="396">
        <f>finPNLTotalRev-finPNLTotalCOSExp</f>
        <v>104379410.45042244</v>
      </c>
      <c r="F649" t="s">
        <v>1615</v>
      </c>
      <c r="G649" t="b">
        <f>MAX(E649:E649)=MIN(E649:E649)</f>
        <v>1</v>
      </c>
    </row>
    <row r="650" spans="2:7" s="2" customFormat="1" ht="11.25">
      <c r="C650" s="1017" t="s">
        <v>4772</v>
      </c>
      <c r="D650" s="403"/>
      <c r="E650" s="1061">
        <f>E649/E639</f>
        <v>0.52056309616670515</v>
      </c>
      <c r="F650"/>
      <c r="G650" t="b">
        <f>MAX(E650:E650)=MIN(E650:E650)</f>
        <v>1</v>
      </c>
    </row>
    <row r="651" spans="2:7" s="2" customFormat="1" ht="11.25">
      <c r="B651" s="2" t="s">
        <v>2054</v>
      </c>
      <c r="D651" s="403"/>
      <c r="E651" s="399"/>
      <c r="G651" t="b">
        <f>MAX(E651:E651)=MIN(E651:E651)</f>
        <v>1</v>
      </c>
    </row>
    <row r="652" spans="2:7" s="2" customFormat="1" ht="11.25">
      <c r="C652" s="3" t="s">
        <v>4696</v>
      </c>
      <c r="D652" s="403"/>
      <c r="E652" s="399">
        <f>finEmp6SalesSupportExp+finEmp6RecDismExp+finEmp6TrainingTimeExp+finEmp6AdminExp</f>
        <v>52110137.848936141</v>
      </c>
      <c r="F652" t="s">
        <v>1140</v>
      </c>
      <c r="G652" t="b">
        <f>MAX(E652:E652)=MIN(E652:E652)</f>
        <v>1</v>
      </c>
    </row>
    <row r="653" spans="2:7" s="2" customFormat="1" ht="11.25">
      <c r="B653" s="3"/>
      <c r="C653" s="3" t="s">
        <v>3544</v>
      </c>
      <c r="D653" s="403"/>
      <c r="E653" s="399">
        <f>finEntSvcsMarketing</f>
        <v>7500000</v>
      </c>
      <c r="F653" t="s">
        <v>1141</v>
      </c>
      <c r="G653" t="b">
        <f>MAX(E653:E653)=MIN(E653:E653)</f>
        <v>1</v>
      </c>
    </row>
    <row r="654" spans="2:7" s="2" customFormat="1" ht="11.25">
      <c r="B654" s="3"/>
      <c r="C654" s="1020" t="s">
        <v>1340</v>
      </c>
      <c r="D654" s="1021"/>
      <c r="E654" s="1022">
        <f>SUM(E652:E653)</f>
        <v>59610137.848936141</v>
      </c>
      <c r="F654" t="s">
        <v>4809</v>
      </c>
      <c r="G654" t="b">
        <f>MAX(E654:E654)=MIN(E654:E654)</f>
        <v>1</v>
      </c>
    </row>
    <row r="655" spans="2:7" s="2" customFormat="1" ht="11.25">
      <c r="B655" s="3"/>
      <c r="C655" s="1017" t="s">
        <v>4768</v>
      </c>
      <c r="D655" s="403"/>
      <c r="E655" s="1019">
        <f>E654/E639</f>
        <v>0.29728887898159911</v>
      </c>
      <c r="F655"/>
      <c r="G655" t="b">
        <f>MAX(E655:E655)=MIN(E655:E655)</f>
        <v>1</v>
      </c>
    </row>
    <row r="656" spans="2:7" s="2" customFormat="1" ht="11.25">
      <c r="B656" s="2" t="s">
        <v>2055</v>
      </c>
      <c r="D656" s="403"/>
      <c r="E656" s="399"/>
      <c r="G656" t="b">
        <f>MAX(E656:E656)=MIN(E656:E656)</f>
        <v>1</v>
      </c>
    </row>
    <row r="657" spans="2:7" s="2" customFormat="1" ht="11.25">
      <c r="C657" s="3" t="s">
        <v>1171</v>
      </c>
      <c r="D657" s="403"/>
      <c r="E657" s="399">
        <f>finPNLBusAUnallocTimeExp</f>
        <v>53300600</v>
      </c>
      <c r="F657" t="s">
        <v>2359</v>
      </c>
      <c r="G657" t="b">
        <f>MAX(E657:E657)=MIN(E657:E657)</f>
        <v>1</v>
      </c>
    </row>
    <row r="658" spans="2:7" s="2" customFormat="1" ht="11.25">
      <c r="C658" s="3" t="s">
        <v>2759</v>
      </c>
      <c r="D658" s="403"/>
      <c r="E658" s="399">
        <f>finPNLBusATotalGeneralTrainingBudgetExpense</f>
        <v>4313750</v>
      </c>
      <c r="F658" t="s">
        <v>2309</v>
      </c>
      <c r="G658" t="b">
        <f>MAX(E658:E658)=MIN(E658:E658)</f>
        <v>1</v>
      </c>
    </row>
    <row r="659" spans="2:7" s="2" customFormat="1" ht="11.25">
      <c r="C659" s="3" t="s">
        <v>3570</v>
      </c>
      <c r="D659" s="403"/>
      <c r="E659" s="399">
        <f>finPNLBusATtlEmpAdminExp</f>
        <v>5995000</v>
      </c>
      <c r="F659" t="s">
        <v>1345</v>
      </c>
      <c r="G659" t="b">
        <f>MAX(E659:E659)=MIN(E659:E659)</f>
        <v>1</v>
      </c>
    </row>
    <row r="660" spans="2:7" s="2" customFormat="1" ht="11.25">
      <c r="C660" s="3" t="s">
        <v>3572</v>
      </c>
      <c r="D660" s="403"/>
      <c r="E660" s="399">
        <f>finPNLBusAFixedAdminExp</f>
        <v>0</v>
      </c>
      <c r="F660" t="s">
        <v>1205</v>
      </c>
      <c r="G660" t="b">
        <f>MAX(E660:E660)=MIN(E660:E660)</f>
        <v>1</v>
      </c>
    </row>
    <row r="661" spans="2:7" s="2" customFormat="1" ht="11.25">
      <c r="C661" s="3" t="s">
        <v>1990</v>
      </c>
      <c r="D661" s="403"/>
      <c r="E661" s="399">
        <f>finPNLBusAOtherExp</f>
        <v>0</v>
      </c>
      <c r="F661" t="s">
        <v>1206</v>
      </c>
      <c r="G661" t="b">
        <f>MAX(E661:E661)=MIN(E661:E661)</f>
        <v>1</v>
      </c>
    </row>
    <row r="662" spans="2:7" s="2" customFormat="1" ht="11.25">
      <c r="C662" s="3" t="s">
        <v>1832</v>
      </c>
      <c r="D662" s="403"/>
      <c r="E662" s="399">
        <f>finPNLBusAGeneralTrainingExp</f>
        <v>7138000</v>
      </c>
      <c r="F662" t="s">
        <v>1612</v>
      </c>
      <c r="G662" t="b">
        <f>MAX(E662:E662)=MIN(E662:E662)</f>
        <v>1</v>
      </c>
    </row>
    <row r="663" spans="2:7" s="2" customFormat="1" ht="11.25">
      <c r="C663" s="3" t="s">
        <v>1018</v>
      </c>
      <c r="D663" s="403"/>
      <c r="E663" s="399">
        <f>finPNLBusASpecProgExp</f>
        <v>0</v>
      </c>
      <c r="F663" t="s">
        <v>4468</v>
      </c>
      <c r="G663" t="b">
        <f>MAX(E663:E663)=MIN(E663:E663)</f>
        <v>1</v>
      </c>
    </row>
    <row r="664" spans="2:7" s="2" customFormat="1" ht="11.25">
      <c r="C664" s="1020" t="s">
        <v>4771</v>
      </c>
      <c r="D664" s="1021"/>
      <c r="E664" s="1022">
        <f>SUM(E657:E663)</f>
        <v>70747350</v>
      </c>
      <c r="F664" t="s">
        <v>4469</v>
      </c>
      <c r="G664" t="b">
        <f>MAX(E664:E664)=MIN(E664:E664)</f>
        <v>1</v>
      </c>
    </row>
    <row r="665" spans="2:7" s="2" customFormat="1" ht="11.25">
      <c r="C665" s="1017" t="s">
        <v>4769</v>
      </c>
      <c r="D665" s="403"/>
      <c r="E665" s="1019">
        <f>E664/E639</f>
        <v>0.35283260752926104</v>
      </c>
      <c r="F665"/>
      <c r="G665" t="b">
        <f>MAX(E665:E665)=MIN(E665:E665)</f>
        <v>1</v>
      </c>
    </row>
    <row r="666" spans="2:7" s="2" customFormat="1" ht="11.25">
      <c r="B666" s="2" t="s">
        <v>4773</v>
      </c>
      <c r="D666" s="403"/>
      <c r="E666" s="399"/>
      <c r="G666" t="b">
        <f>MAX(E666:E666)=MIN(E666:E666)</f>
        <v>1</v>
      </c>
    </row>
    <row r="667" spans="2:7" s="2" customFormat="1" ht="11.25">
      <c r="C667" s="3" t="s">
        <v>4927</v>
      </c>
      <c r="D667" s="403"/>
      <c r="E667" s="399">
        <f>VLOOKUP(decIndustryEminence,dataTableRDExp,2,FALSE)</f>
        <v>5011726.1499999994</v>
      </c>
      <c r="F667" t="s">
        <v>4931</v>
      </c>
      <c r="G667" t="b">
        <f>MAX(E667:E667)=MIN(E667:E667)</f>
        <v>1</v>
      </c>
    </row>
    <row r="668" spans="2:7" s="2" customFormat="1" ht="11.25">
      <c r="C668" s="3" t="s">
        <v>4774</v>
      </c>
      <c r="D668" s="403"/>
      <c r="E668" s="399">
        <f>VLOOKUP(decInternalAssets,dataTableRDExp,3,FALSE)</f>
        <v>5011726.1499999994</v>
      </c>
      <c r="F668" t="s">
        <v>4776</v>
      </c>
      <c r="G668" t="b">
        <f>MAX(E668:E668)=MIN(E668:E668)</f>
        <v>1</v>
      </c>
    </row>
    <row r="669" spans="2:7" s="2" customFormat="1" ht="11.25">
      <c r="C669" s="1020" t="s">
        <v>4785</v>
      </c>
      <c r="D669" s="1021"/>
      <c r="E669" s="1022">
        <f>SUM(E667:E668)</f>
        <v>10023452.299999999</v>
      </c>
      <c r="F669" t="s">
        <v>4775</v>
      </c>
      <c r="G669" t="b">
        <f>MAX(E669:E669)=MIN(E669:E669)</f>
        <v>1</v>
      </c>
    </row>
    <row r="670" spans="2:7" s="2" customFormat="1" ht="11.25">
      <c r="C670" s="1017" t="s">
        <v>4786</v>
      </c>
      <c r="D670" s="403"/>
      <c r="E670" s="1019">
        <f>E669/E639</f>
        <v>4.9989163006871187E-2</v>
      </c>
      <c r="F670"/>
      <c r="G670" t="b">
        <f>MAX(E670:E670)=MIN(E670:E670)</f>
        <v>1</v>
      </c>
    </row>
    <row r="671" spans="2:7" s="2" customFormat="1" ht="11.25">
      <c r="C671" s="3"/>
      <c r="D671" s="403"/>
      <c r="E671" s="1023"/>
      <c r="F671"/>
      <c r="G671" t="b">
        <f>MAX(E671:E671)=MIN(E671:E671)</f>
        <v>1</v>
      </c>
    </row>
    <row r="672" spans="2:7" s="2" customFormat="1" ht="11.25">
      <c r="B672" s="2" t="s">
        <v>4767</v>
      </c>
      <c r="D672" s="403"/>
      <c r="E672" s="396">
        <f>E649-E654-E664-E669</f>
        <v>-36001529.698513702</v>
      </c>
      <c r="F672" t="s">
        <v>4470</v>
      </c>
      <c r="G672" t="b">
        <f>MAX(E672:E672)=MIN(E672:E672)</f>
        <v>1</v>
      </c>
    </row>
    <row r="673" spans="1:11" s="2" customFormat="1" ht="11.25">
      <c r="B673" s="1017" t="s">
        <v>4770</v>
      </c>
      <c r="D673" s="403"/>
      <c r="E673" s="1019">
        <f>E672/E639</f>
        <v>-0.17954755335102615</v>
      </c>
      <c r="F673"/>
      <c r="G673" t="b">
        <f>MAX(E673:E673)=MIN(E673:E673)</f>
        <v>1</v>
      </c>
    </row>
    <row r="674" spans="1:11" s="2" customFormat="1" ht="11.25">
      <c r="D674" s="403"/>
      <c r="E674" s="396"/>
      <c r="F674"/>
      <c r="G674" t="b">
        <f>MAX(E674:E674)=MIN(E674:E674)</f>
        <v>1</v>
      </c>
    </row>
    <row r="675" spans="1:11" s="2" customFormat="1" ht="11.25">
      <c r="B675" s="2" t="s">
        <v>3629</v>
      </c>
      <c r="D675" s="1194"/>
      <c r="F675" t="s">
        <v>2614</v>
      </c>
      <c r="G675" t="b">
        <f>MAX(E675:E675)=MIN(E675:E675)</f>
        <v>1</v>
      </c>
    </row>
    <row r="676" spans="1:11" s="2" customFormat="1" ht="11.25">
      <c r="B676" s="2" t="s">
        <v>701</v>
      </c>
      <c r="D676" s="591"/>
      <c r="E676" s="399">
        <f>paramLTDebtIntRate*cbalLTDebtValue</f>
        <v>2169648.2482047891</v>
      </c>
      <c r="F676" t="s">
        <v>2615</v>
      </c>
      <c r="G676" t="b">
        <f>MAX(E676:E676)=MIN(E676:E676)</f>
        <v>1</v>
      </c>
    </row>
    <row r="677" spans="1:11" s="2" customFormat="1" ht="11.25">
      <c r="B677" s="2" t="s">
        <v>2158</v>
      </c>
      <c r="D677" s="403"/>
      <c r="E677" s="399">
        <f>(finPNLTotalOpIncome-finPNLTotalDeprExp-finPNLTotalInterestExp)*paramTaxRate</f>
        <v>-15268471.178687397</v>
      </c>
      <c r="F677" t="s">
        <v>2616</v>
      </c>
      <c r="G677" t="b">
        <f>MAX(E677:E677)=MIN(E677:E677)</f>
        <v>1</v>
      </c>
    </row>
    <row r="678" spans="1:11" s="2" customFormat="1" ht="11.25">
      <c r="D678" s="403"/>
      <c r="E678" s="399"/>
      <c r="F678"/>
      <c r="G678" t="b">
        <f>MAX(E678:E678)=MIN(E678:E678)</f>
        <v>1</v>
      </c>
    </row>
    <row r="679" spans="1:11" s="2" customFormat="1" ht="11.25">
      <c r="B679" s="2" t="s">
        <v>284</v>
      </c>
      <c r="D679" s="403"/>
      <c r="E679" s="399">
        <f>E672-E675-E676-E677</f>
        <v>-22902706.768031094</v>
      </c>
      <c r="F679" t="s">
        <v>3628</v>
      </c>
      <c r="G679" t="b">
        <f>MAX(E679:E679)=MIN(E679:E679)</f>
        <v>1</v>
      </c>
    </row>
    <row r="680" spans="1:11" s="2" customFormat="1" ht="11.25">
      <c r="D680" s="403"/>
      <c r="E680" s="399"/>
      <c r="F680"/>
      <c r="G680" t="b">
        <f>MAX(E680:E680)=MIN(E680:E680)</f>
        <v>1</v>
      </c>
    </row>
    <row r="681" spans="1:11" s="2" customFormat="1" ht="11.25">
      <c r="B681" s="2" t="s">
        <v>4726</v>
      </c>
      <c r="D681" s="403"/>
      <c r="E681" s="399">
        <f>finPNLProd1Bookings</f>
        <v>441261193.15301216</v>
      </c>
      <c r="F681" t="s">
        <v>4727</v>
      </c>
      <c r="G681" t="b">
        <f>MAX(E681:E681)=MIN(E681:E681)</f>
        <v>1</v>
      </c>
    </row>
    <row r="682" spans="1:11" s="2" customFormat="1" ht="11.25">
      <c r="B682" s="2" t="s">
        <v>4730</v>
      </c>
      <c r="D682" s="403"/>
      <c r="E682" s="51">
        <f>IF(xxYear=0,0,(finBookings/obal!$K$51)^(1/xxYear)-1)</f>
        <v>0.30292902901643148</v>
      </c>
      <c r="F682" t="s">
        <v>4731</v>
      </c>
      <c r="G682" t="b">
        <f>MAX(E682:E682)=MIN(E682:E682)</f>
        <v>1</v>
      </c>
    </row>
    <row r="683" spans="1:11" s="2" customFormat="1" ht="11.25">
      <c r="B683"/>
      <c r="D683" s="403"/>
      <c r="E683" s="399"/>
      <c r="F683"/>
      <c r="G683" t="b">
        <f>MAX(E683:E683)=MIN(E683:E683)</f>
        <v>1</v>
      </c>
    </row>
    <row r="684" spans="1:11" s="2" customFormat="1" ht="11.25">
      <c r="A684" s="2" t="s">
        <v>1469</v>
      </c>
      <c r="D684" s="403"/>
      <c r="E684" s="399">
        <f>finPNLBusAV1TotalSalaryExp+finPNLBusAV2TotalSalaryExp+finPNLBusAV3TotalSalaryExp+finPNLBusAtotalLoadExp+finPNLBusATotalGlobalSalaryExp+finPNLBusATotalOpExp+finPNLBusBTotalCOS</f>
        <v>299395326.27529776</v>
      </c>
      <c r="F684" t="s">
        <v>1479</v>
      </c>
      <c r="G684" t="b">
        <f>MAX(E684:E684)=MIN(E684:E684)</f>
        <v>1</v>
      </c>
    </row>
    <row r="685" spans="1:11" ht="11.25">
      <c r="G685" t="b">
        <f>MAX(E685:E685)=MIN(E685:E685)</f>
        <v>1</v>
      </c>
      <c r="H685" s="2"/>
      <c r="I685" s="2"/>
      <c r="J685" s="2"/>
      <c r="K685" s="2"/>
    </row>
    <row r="686" spans="1:11" ht="15.75">
      <c r="A686" s="22" t="s">
        <v>854</v>
      </c>
      <c r="B686" s="23"/>
      <c r="C686" s="23"/>
      <c r="D686" s="23"/>
      <c r="E686" s="398"/>
      <c r="F686" s="80"/>
      <c r="G686" t="b">
        <f>MAX(E686:E686)=MIN(E686:E686)</f>
        <v>1</v>
      </c>
      <c r="H686" s="2"/>
      <c r="I686" s="2"/>
      <c r="J686" s="2"/>
      <c r="K686" s="2"/>
    </row>
    <row r="687" spans="1:11" ht="11.25">
      <c r="A687" s="2" t="s">
        <v>855</v>
      </c>
      <c r="B687" s="2"/>
      <c r="C687" s="2"/>
      <c r="D687" s="2"/>
      <c r="E687" s="396">
        <f>obalCashValue</f>
        <v>42504808.081901476</v>
      </c>
      <c r="G687" t="b">
        <f>MAX(E687:E687)=MIN(E687:E687)</f>
        <v>1</v>
      </c>
      <c r="H687" s="2"/>
      <c r="I687" s="2"/>
      <c r="J687" s="2"/>
      <c r="K687" s="2"/>
    </row>
    <row r="688" spans="1:11" ht="11.25">
      <c r="G688" t="b">
        <f>MAX(E688:E688)=MIN(E688:E688)</f>
        <v>1</v>
      </c>
    </row>
    <row r="689" spans="1:7" ht="11.25">
      <c r="B689" t="s">
        <v>2713</v>
      </c>
      <c r="E689" s="324">
        <f>finPNLNetIncome</f>
        <v>-22902706.768031094</v>
      </c>
      <c r="G689" t="b">
        <f>MAX(E689:E689)=MIN(E689:E689)</f>
        <v>1</v>
      </c>
    </row>
    <row r="690" spans="1:7" ht="11.25">
      <c r="B690" t="s">
        <v>2287</v>
      </c>
      <c r="G690" t="b">
        <f>MAX(E690:E690)=MIN(E690:E690)</f>
        <v>1</v>
      </c>
    </row>
    <row r="691" spans="1:7" ht="11.25">
      <c r="B691" t="s">
        <v>3794</v>
      </c>
      <c r="E691" s="324">
        <f>finPNLTotalDeprExp</f>
        <v>0</v>
      </c>
      <c r="F691" t="s">
        <v>1480</v>
      </c>
      <c r="G691" t="b">
        <f>MAX(E691:E691)=MIN(E691:E691)</f>
        <v>1</v>
      </c>
    </row>
    <row r="692" spans="1:7" ht="11.25">
      <c r="C692" s="57"/>
      <c r="D692" s="57"/>
      <c r="E692" s="401"/>
      <c r="G692" t="b">
        <f>MAX(E692:E692)=MIN(E692:E692)</f>
        <v>1</v>
      </c>
    </row>
    <row r="693" spans="1:7" ht="11.25">
      <c r="A693" s="2" t="s">
        <v>856</v>
      </c>
      <c r="B693" s="2"/>
      <c r="C693" s="2"/>
      <c r="D693" s="2"/>
      <c r="E693" s="396">
        <f>SUM(E689:E692)</f>
        <v>-22902706.768031094</v>
      </c>
      <c r="G693" t="b">
        <f>MAX(E693:E693)=MIN(E693:E693)</f>
        <v>1</v>
      </c>
    </row>
    <row r="694" spans="1:7" ht="11.25">
      <c r="G694" t="b">
        <f>MAX(E694:E694)=MIN(E694:E694)</f>
        <v>1</v>
      </c>
    </row>
    <row r="695" spans="1:7" ht="11.25">
      <c r="B695" t="s">
        <v>857</v>
      </c>
      <c r="E695" s="324">
        <f>-(cbalARValue-obalARValue)</f>
        <v>9446014.714157097</v>
      </c>
      <c r="F695" t="s">
        <v>2393</v>
      </c>
      <c r="G695" t="b">
        <f>MAX(E695:E695)=MIN(E695:E695)</f>
        <v>1</v>
      </c>
    </row>
    <row r="696" spans="1:7" ht="11.25">
      <c r="B696" t="s">
        <v>4344</v>
      </c>
      <c r="E696" s="324">
        <f>cbalAPValue-obalAPValue</f>
        <v>-4743097.731465973</v>
      </c>
      <c r="F696" t="s">
        <v>2394</v>
      </c>
      <c r="G696" t="b">
        <f>MAX(E696:E696)=MIN(E696:E696)</f>
        <v>1</v>
      </c>
    </row>
    <row r="697" spans="1:7" ht="11.25">
      <c r="B697" t="s">
        <v>3976</v>
      </c>
      <c r="E697" s="324">
        <f>cbalOtherCurrLiabValue-obalOtherCurrLiabValue</f>
        <v>12513807.879562512</v>
      </c>
      <c r="F697" t="s">
        <v>2395</v>
      </c>
      <c r="G697" t="b">
        <f>MAX(E697:E697)=MIN(E697:E697)</f>
        <v>1</v>
      </c>
    </row>
    <row r="698" spans="1:7" ht="11.25">
      <c r="C698" s="57"/>
      <c r="D698" s="57"/>
      <c r="E698" s="401"/>
      <c r="G698" t="b">
        <f>MAX(E698:E698)=MIN(E698:E698)</f>
        <v>1</v>
      </c>
    </row>
    <row r="699" spans="1:7" ht="11.25">
      <c r="A699" s="2" t="s">
        <v>1340</v>
      </c>
      <c r="B699" s="2"/>
      <c r="C699" s="2"/>
      <c r="D699" s="2"/>
      <c r="E699" s="396">
        <f>SUM(E695:E698)</f>
        <v>17216724.862253636</v>
      </c>
      <c r="F699" t="s">
        <v>298</v>
      </c>
      <c r="G699" t="b">
        <f>MAX(E699:E699)=MIN(E699:E699)</f>
        <v>1</v>
      </c>
    </row>
    <row r="700" spans="1:7" ht="11.25">
      <c r="A700" s="2"/>
      <c r="B700" s="2"/>
      <c r="C700" s="2"/>
      <c r="D700" s="2"/>
      <c r="E700" s="396"/>
      <c r="G700" t="b">
        <f>MAX(E700:E700)=MIN(E700:E700)</f>
        <v>1</v>
      </c>
    </row>
    <row r="701" spans="1:7" ht="11.25">
      <c r="A701" s="2" t="s">
        <v>1341</v>
      </c>
      <c r="B701" s="2"/>
      <c r="C701" s="2"/>
      <c r="D701" s="2"/>
      <c r="E701" s="396">
        <f>E693+E699</f>
        <v>-5685981.9057774581</v>
      </c>
      <c r="G701" t="b">
        <f>MAX(E701:E701)=MIN(E701:E701)</f>
        <v>1</v>
      </c>
    </row>
    <row r="702" spans="1:7" ht="11.25">
      <c r="G702" t="b">
        <f>MAX(E702:E702)=MIN(E702:E702)</f>
        <v>1</v>
      </c>
    </row>
    <row r="703" spans="1:7" ht="11.25">
      <c r="B703" t="s">
        <v>3023</v>
      </c>
      <c r="E703" s="324">
        <f>-(cbalPlantValue-obalPlantValue)-finPNLTotalDeprExp</f>
        <v>0</v>
      </c>
      <c r="G703" t="b">
        <f>MAX(E703:E703)=MIN(E703:E703)</f>
        <v>1</v>
      </c>
    </row>
    <row r="704" spans="1:7" ht="11.25">
      <c r="B704" t="s">
        <v>1342</v>
      </c>
      <c r="E704" s="324">
        <f>-(cbalOtherAsstesValue-obalOtherAsstesValue)</f>
        <v>0</v>
      </c>
      <c r="G704" t="b">
        <f>MAX(E704:E704)=MIN(E704:E704)</f>
        <v>1</v>
      </c>
    </row>
    <row r="705" spans="1:7" ht="11.25">
      <c r="C705" s="57"/>
      <c r="D705" s="57"/>
      <c r="E705" s="401"/>
      <c r="G705" t="b">
        <f>MAX(E705:E705)=MIN(E705:E705)</f>
        <v>1</v>
      </c>
    </row>
    <row r="706" spans="1:7" ht="11.25">
      <c r="A706" s="2" t="s">
        <v>1343</v>
      </c>
      <c r="B706" s="2"/>
      <c r="C706" s="2"/>
      <c r="D706" s="2"/>
      <c r="E706" s="396">
        <f>SUM(E703:E705)</f>
        <v>0</v>
      </c>
      <c r="F706" t="s">
        <v>2829</v>
      </c>
      <c r="G706" t="b">
        <f>MAX(E706:E706)=MIN(E706:E706)</f>
        <v>1</v>
      </c>
    </row>
    <row r="707" spans="1:7" ht="11.25">
      <c r="G707" t="b">
        <f>MAX(E707:E707)=MIN(E707:E707)</f>
        <v>1</v>
      </c>
    </row>
    <row r="708" spans="1:7" ht="11.25">
      <c r="B708" t="s">
        <v>105</v>
      </c>
      <c r="E708" s="324">
        <v>0</v>
      </c>
      <c r="G708" t="b">
        <f>MAX(E708:E708)=MIN(E708:E708)</f>
        <v>1</v>
      </c>
    </row>
    <row r="709" spans="1:7" ht="11.25">
      <c r="B709" t="s">
        <v>1927</v>
      </c>
      <c r="E709" s="324">
        <f>cbalOtherLTLiab-obalOtherLTLiab</f>
        <v>0</v>
      </c>
      <c r="G709" t="b">
        <f>MAX(E709:E709)=MIN(E709:E709)</f>
        <v>1</v>
      </c>
    </row>
    <row r="710" spans="1:7" ht="11.25">
      <c r="A710" s="3"/>
      <c r="B710" s="3" t="s">
        <v>106</v>
      </c>
      <c r="C710" s="3"/>
      <c r="D710" s="3"/>
      <c r="E710" s="399">
        <f>IF((SUM(E701,E706,E708:E708)+obalCashValue)&lt;0,-SUM(E701,E706,E708:E708)-obalCashValue, IF(obalSpecLoansValue&gt;0, MAX(-SUM(E701,E706,E708:E708),-obalSpecLoansValue),0))</f>
        <v>0</v>
      </c>
      <c r="F710" t="s">
        <v>4067</v>
      </c>
      <c r="G710" t="b">
        <f>MAX(E710:E710)=MIN(E710:E710)</f>
        <v>1</v>
      </c>
    </row>
    <row r="711" spans="1:7" ht="11.25">
      <c r="A711" s="3"/>
      <c r="B711" s="3"/>
      <c r="C711" s="38"/>
      <c r="D711" s="38"/>
      <c r="E711" s="400"/>
      <c r="G711" t="b">
        <f>MAX(E711:E711)=MIN(E711:E711)</f>
        <v>1</v>
      </c>
    </row>
    <row r="712" spans="1:7" ht="11.25">
      <c r="A712" s="2" t="s">
        <v>107</v>
      </c>
      <c r="B712" s="2"/>
      <c r="C712" s="2"/>
      <c r="D712" s="2"/>
      <c r="E712" s="396">
        <f>SUM(E708:E711)</f>
        <v>0</v>
      </c>
      <c r="F712" t="s">
        <v>488</v>
      </c>
      <c r="G712" t="b">
        <f>MAX(E712:E712)=MIN(E712:E712)</f>
        <v>1</v>
      </c>
    </row>
    <row r="713" spans="1:7" ht="11.25">
      <c r="A713" s="2"/>
      <c r="B713" s="2"/>
      <c r="C713" s="2"/>
      <c r="D713" s="2"/>
      <c r="E713" s="396"/>
      <c r="G713" t="b">
        <f>MAX(E713:E713)=MIN(E713:E713)</f>
        <v>1</v>
      </c>
    </row>
    <row r="714" spans="1:7" ht="11.25">
      <c r="A714" t="s">
        <v>108</v>
      </c>
      <c r="E714" s="324">
        <f>E701+E706+E712</f>
        <v>-5685981.9057774581</v>
      </c>
      <c r="G714" t="b">
        <f>MAX(E714:E714)=MIN(E714:E714)</f>
        <v>1</v>
      </c>
    </row>
    <row r="715" spans="1:7" ht="11.25">
      <c r="G715" t="b">
        <f>MAX(E715:E715)=MIN(E715:E715)</f>
        <v>1</v>
      </c>
    </row>
    <row r="716" spans="1:7" ht="11.25">
      <c r="A716" s="2" t="s">
        <v>109</v>
      </c>
      <c r="B716" s="2"/>
      <c r="C716" s="2"/>
      <c r="D716" s="2"/>
      <c r="E716" s="396">
        <f>obalCashValue+E714</f>
        <v>36818826.176124021</v>
      </c>
      <c r="F716" t="s">
        <v>860</v>
      </c>
      <c r="G716" t="b">
        <f>MAX(E716:E716)=MIN(E716:E716)</f>
        <v>1</v>
      </c>
    </row>
    <row r="717" spans="1:7" ht="11.25">
      <c r="G717" t="b">
        <f>MAX(E717:E717)=MIN(E717:E717)</f>
        <v>1</v>
      </c>
    </row>
    <row r="718" spans="1:7" ht="11.25">
      <c r="A718" s="2" t="s">
        <v>4200</v>
      </c>
      <c r="G718" t="b">
        <f>MAX(E718:E718)=MIN(E718:E718)</f>
        <v>1</v>
      </c>
    </row>
    <row r="719" spans="1:7" ht="11.25">
      <c r="A719" s="2" t="s">
        <v>4201</v>
      </c>
      <c r="B719" s="2"/>
      <c r="C719" s="2"/>
      <c r="E719" s="324">
        <f>paramCStockParValue</f>
        <v>1</v>
      </c>
      <c r="G719" t="b">
        <f>MAX(E719:E719)=MIN(E719:E719)</f>
        <v>1</v>
      </c>
    </row>
    <row r="720" spans="1:7" ht="11.25">
      <c r="B720" s="3" t="s">
        <v>2664</v>
      </c>
      <c r="C720" s="3"/>
      <c r="F720" t="s">
        <v>4204</v>
      </c>
      <c r="G720" t="b">
        <f>MAX(E720:E720)=MIN(E720:E720)</f>
        <v>1</v>
      </c>
    </row>
    <row r="721" spans="1:11" ht="11.25">
      <c r="B721" s="3" t="s">
        <v>4202</v>
      </c>
      <c r="C721" s="3"/>
      <c r="E721" s="324">
        <f>paramCStockParValue*E720</f>
        <v>0</v>
      </c>
      <c r="F721" t="s">
        <v>4205</v>
      </c>
      <c r="G721" t="b">
        <f>MAX(E721:E721)=MIN(E721:E721)</f>
        <v>1</v>
      </c>
    </row>
    <row r="722" spans="1:11" ht="11.25">
      <c r="B722" s="3" t="s">
        <v>4203</v>
      </c>
      <c r="C722" s="3"/>
      <c r="E722" s="324">
        <f>E720-E721</f>
        <v>0</v>
      </c>
      <c r="F722" t="s">
        <v>4206</v>
      </c>
      <c r="G722" t="b">
        <f>MAX(E722:E722)=MIN(E722:E722)</f>
        <v>1</v>
      </c>
    </row>
    <row r="723" spans="1:11" ht="11.25">
      <c r="A723" s="2" t="s">
        <v>3268</v>
      </c>
      <c r="G723" t="b">
        <f>MAX(E723:E723)=MIN(E723:E723)</f>
        <v>1</v>
      </c>
    </row>
    <row r="724" spans="1:11" ht="11.25">
      <c r="G724" t="b">
        <f>MAX(E724:E724)=MIN(E724:E724)</f>
        <v>1</v>
      </c>
    </row>
    <row r="725" spans="1:11" ht="11.25">
      <c r="A725" t="s">
        <v>2422</v>
      </c>
      <c r="E725" s="324">
        <f>(obalAssetsValue+cbalAssetsValue)/2</f>
        <v>237833829.08337861</v>
      </c>
      <c r="G725" t="b">
        <f>MAX(E725:E725)=MIN(E725:E725)</f>
        <v>1</v>
      </c>
    </row>
    <row r="726" spans="1:11" ht="11.25">
      <c r="A726" s="2" t="s">
        <v>3542</v>
      </c>
      <c r="F726" t="s">
        <v>861</v>
      </c>
      <c r="G726" t="b">
        <f>MAX(E726:E726)=MIN(E726:E726)</f>
        <v>1</v>
      </c>
    </row>
    <row r="727" spans="1:11" ht="11.25">
      <c r="A727" s="3" t="s">
        <v>4523</v>
      </c>
      <c r="F727" t="s">
        <v>862</v>
      </c>
      <c r="G727" t="b">
        <f>MAX(E727:E727)=MIN(E727:E727)</f>
        <v>1</v>
      </c>
    </row>
    <row r="728" spans="1:11" ht="11.25">
      <c r="A728" t="s">
        <v>3543</v>
      </c>
      <c r="F728" t="s">
        <v>2728</v>
      </c>
      <c r="G728" t="b">
        <f>MAX(E728:E728)=MIN(E728:E728)</f>
        <v>1</v>
      </c>
    </row>
    <row r="729" spans="1:11" ht="11.25">
      <c r="G729" t="b">
        <f>MAX(E729:E729)=MIN(E729:E729)</f>
        <v>1</v>
      </c>
    </row>
    <row r="730" spans="1:11" ht="11.25">
      <c r="G730" t="b">
        <f>MAX(E730:E730)=MIN(E730:E730)</f>
        <v>1</v>
      </c>
      <c r="H730" s="2"/>
      <c r="I730" s="2"/>
      <c r="J730" s="2"/>
      <c r="K730" s="2"/>
    </row>
    <row r="731" spans="1:11" ht="15.75">
      <c r="A731" s="22" t="s">
        <v>4764</v>
      </c>
      <c r="B731" s="23"/>
      <c r="C731" s="23"/>
      <c r="D731" s="23"/>
      <c r="E731" s="398"/>
      <c r="F731" s="80"/>
      <c r="G731" t="b">
        <f>MAX(E731:E731)=MIN(E731:E731)</f>
        <v>1</v>
      </c>
      <c r="H731" s="2"/>
      <c r="I731" s="2"/>
      <c r="J731" s="2"/>
      <c r="K731" s="2"/>
    </row>
    <row r="732" spans="1:11" ht="11.25"/>
    <row r="733" spans="1:11" ht="11.25"/>
    <row r="734" spans="1:11" ht="11.25">
      <c r="A734" t="s">
        <v>290</v>
      </c>
      <c r="C734" s="565">
        <v>2000</v>
      </c>
      <c r="E734" s="324" t="str">
        <f>decTeamName</f>
        <v>Entrevard</v>
      </c>
    </row>
    <row r="735" spans="1:11" ht="11.25">
      <c r="B735" s="2" t="s">
        <v>4734</v>
      </c>
      <c r="D735" s="136">
        <v>0.25</v>
      </c>
      <c r="E735" s="271">
        <f>finBookingsCAGR</f>
        <v>0.30292902901643148</v>
      </c>
      <c r="F735" t="s">
        <v>4481</v>
      </c>
      <c r="G735" s="627">
        <f>D735*$C$734</f>
        <v>500</v>
      </c>
    </row>
    <row r="736" spans="1:11" ht="11.25">
      <c r="B736" t="s">
        <v>2535</v>
      </c>
      <c r="E736">
        <f ca="1">RANK(E735,OFFSET($E735,0,0,1,xxNumOfTeams))</f>
        <v>2</v>
      </c>
      <c r="G736" s="626">
        <f>G735/5</f>
        <v>100</v>
      </c>
      <c r="H736" s="564">
        <f>G736+$G$736</f>
        <v>200</v>
      </c>
      <c r="I736" s="564">
        <f>H736+$G$736</f>
        <v>300</v>
      </c>
      <c r="J736" s="564">
        <f>I736+$G$736</f>
        <v>400</v>
      </c>
      <c r="K736" s="564">
        <f>J736+$G$736</f>
        <v>500</v>
      </c>
    </row>
    <row r="737" spans="2:11" ht="11.25">
      <c r="B737" t="s">
        <v>2653</v>
      </c>
      <c r="E737" s="16">
        <f ca="1">CHOOSE(E736,$K736,$J736,$I736,$H736,$G736)</f>
        <v>400</v>
      </c>
    </row>
    <row r="738" spans="2:11" ht="11.25">
      <c r="B738" s="2" t="s">
        <v>4753</v>
      </c>
      <c r="D738" s="136">
        <v>0.25</v>
      </c>
      <c r="E738" s="271">
        <f>cbalTotalCIMargin</f>
        <v>-0.17954755335102615</v>
      </c>
      <c r="F738" t="s">
        <v>4482</v>
      </c>
      <c r="G738" s="420">
        <f>D738*$C$734</f>
        <v>500</v>
      </c>
    </row>
    <row r="739" spans="2:11" ht="11.25">
      <c r="B739" t="s">
        <v>2535</v>
      </c>
      <c r="E739">
        <f ca="1">RANK(E738,OFFSET($E738,0,0,1,xxNumOfTeams))</f>
        <v>2</v>
      </c>
      <c r="G739" s="564">
        <f>G738/5</f>
        <v>100</v>
      </c>
      <c r="H739" s="564">
        <f>$G739+G739</f>
        <v>200</v>
      </c>
      <c r="I739" s="564">
        <f>$G$739+H739</f>
        <v>300</v>
      </c>
      <c r="J739" s="564">
        <f>$G$739+I739</f>
        <v>400</v>
      </c>
      <c r="K739" s="564">
        <f>$G$739+J739</f>
        <v>500</v>
      </c>
    </row>
    <row r="740" spans="2:11" ht="11.25">
      <c r="B740" t="s">
        <v>2653</v>
      </c>
      <c r="D740" s="126"/>
      <c r="E740" s="16">
        <f ca="1">CHOOSE(E739,$K739,$J739,$I739,$H739,$G739)</f>
        <v>400</v>
      </c>
    </row>
    <row r="741" spans="2:11" ht="11.25">
      <c r="B741" s="2" t="s">
        <v>4641</v>
      </c>
      <c r="D741" s="136">
        <v>0.25</v>
      </c>
      <c r="E741" s="271">
        <f ca="1">capESATEnd</f>
        <v>0.6174379006842422</v>
      </c>
      <c r="F741" t="s">
        <v>4483</v>
      </c>
      <c r="G741" s="420">
        <f>D741*$C$734</f>
        <v>500</v>
      </c>
    </row>
    <row r="742" spans="2:11" ht="11.25">
      <c r="B742" t="s">
        <v>2535</v>
      </c>
      <c r="E742">
        <f ca="1">RANK(E741,OFFSET($E741,0,0,1,xxNumOfTeams))</f>
        <v>2</v>
      </c>
      <c r="G742" s="564">
        <f>G741/5</f>
        <v>100</v>
      </c>
      <c r="H742" s="564">
        <f>$G742+G742</f>
        <v>200</v>
      </c>
      <c r="I742" s="564">
        <f>$G742+H742</f>
        <v>300</v>
      </c>
      <c r="J742" s="564">
        <f>$G742+I742</f>
        <v>400</v>
      </c>
      <c r="K742" s="564">
        <f>$G742+J742</f>
        <v>500</v>
      </c>
    </row>
    <row r="743" spans="2:11" ht="11.25">
      <c r="B743" t="s">
        <v>2653</v>
      </c>
      <c r="E743" s="16">
        <f ca="1">CHOOSE(E742,$K742,$J742,$I742,$H742,$G742)</f>
        <v>400</v>
      </c>
    </row>
    <row r="744" spans="2:11" ht="11.25">
      <c r="B744" s="2" t="s">
        <v>364</v>
      </c>
      <c r="D744" s="136">
        <v>0.25</v>
      </c>
      <c r="E744" s="271">
        <f ca="1">capCSATEnd</f>
        <v>0.67005549739544945</v>
      </c>
      <c r="F744" t="s">
        <v>4763</v>
      </c>
      <c r="G744" s="420">
        <f>D744*$C$734</f>
        <v>500</v>
      </c>
    </row>
    <row r="745" spans="2:11" ht="11.25">
      <c r="B745" t="s">
        <v>2535</v>
      </c>
      <c r="E745">
        <f ca="1">RANK(E744,OFFSET($E744,0,0,1,xxNumOfTeams))</f>
        <v>2</v>
      </c>
      <c r="G745" s="564">
        <f>G744/5</f>
        <v>100</v>
      </c>
      <c r="H745" s="564">
        <f>$G745+G745</f>
        <v>200</v>
      </c>
      <c r="I745" s="564">
        <f>$G745+H745</f>
        <v>300</v>
      </c>
      <c r="J745" s="564">
        <f>$G745+I745</f>
        <v>400</v>
      </c>
      <c r="K745" s="564">
        <f>$G745+J745</f>
        <v>500</v>
      </c>
    </row>
    <row r="746" spans="2:11" ht="11.25">
      <c r="B746" t="s">
        <v>2653</v>
      </c>
      <c r="E746" s="16">
        <f ca="1">CHOOSE(E745,$K745,$J745,$I745,$H745,$G745)</f>
        <v>400</v>
      </c>
    </row>
    <row r="747" spans="2:11" ht="11.25"/>
    <row r="748" spans="2:11" ht="11.25">
      <c r="B748" t="s">
        <v>221</v>
      </c>
      <c r="E748" s="16">
        <f ca="1">E737+E740+E743+E746+(E735/1000000000)</f>
        <v>1600.0000000003029</v>
      </c>
      <c r="F748" t="s">
        <v>288</v>
      </c>
    </row>
    <row r="749" spans="2:11" ht="11.25">
      <c r="B749" t="s">
        <v>287</v>
      </c>
      <c r="E749">
        <f ca="1">RANK(E748,OFFSET($E748,0,0,1,xxNumOfTeams))</f>
        <v>1</v>
      </c>
      <c r="F749" t="s">
        <v>289</v>
      </c>
    </row>
    <row r="750" spans="2:11" ht="11.25"/>
    <row r="751" spans="2:11" ht="11.25">
      <c r="B751" t="s">
        <v>4305</v>
      </c>
      <c r="E751" s="566">
        <f ca="1">cbalCumBalCardPoints</f>
        <v>1600.0000000003029</v>
      </c>
      <c r="F751" t="s">
        <v>2685</v>
      </c>
    </row>
    <row r="752" spans="2:11" ht="11.25">
      <c r="B752" t="s">
        <v>4306</v>
      </c>
      <c r="E752">
        <f ca="1">RANK(E751,OFFSET($E751,0,0,1,xxNumOfTeams))</f>
        <v>1</v>
      </c>
      <c r="F752" t="s">
        <v>2686</v>
      </c>
    </row>
  </sheetData>
  <phoneticPr fontId="0" type="noConversion"/>
  <conditionalFormatting sqref="G7:G32 G647:G665 G39:G173 G177:G186 G190:G201 G208:G645 G671:G729">
    <cfRule type="cellIs" dxfId="76" priority="11" stopIfTrue="1" operator="notEqual">
      <formula>TRUE</formula>
    </cfRule>
  </conditionalFormatting>
  <conditionalFormatting sqref="G33:G37">
    <cfRule type="cellIs" dxfId="75" priority="9" stopIfTrue="1" operator="notEqual">
      <formula>TRUE</formula>
    </cfRule>
  </conditionalFormatting>
  <conditionalFormatting sqref="G38">
    <cfRule type="cellIs" dxfId="74" priority="8" stopIfTrue="1" operator="notEqual">
      <formula>TRUE</formula>
    </cfRule>
  </conditionalFormatting>
  <conditionalFormatting sqref="G730:G731">
    <cfRule type="cellIs" dxfId="73" priority="7" stopIfTrue="1" operator="notEqual">
      <formula>TRUE</formula>
    </cfRule>
  </conditionalFormatting>
  <conditionalFormatting sqref="G666:G668">
    <cfRule type="cellIs" dxfId="72" priority="6" stopIfTrue="1" operator="notEqual">
      <formula>TRUE</formula>
    </cfRule>
  </conditionalFormatting>
  <conditionalFormatting sqref="G669:G670">
    <cfRule type="cellIs" dxfId="71" priority="5" stopIfTrue="1" operator="notEqual">
      <formula>TRUE</formula>
    </cfRule>
  </conditionalFormatting>
  <conditionalFormatting sqref="G202:G207">
    <cfRule type="cellIs" dxfId="70" priority="4" stopIfTrue="1" operator="notEqual">
      <formula>TRUE</formula>
    </cfRule>
  </conditionalFormatting>
  <conditionalFormatting sqref="G646">
    <cfRule type="cellIs" dxfId="69" priority="3" stopIfTrue="1" operator="notEqual">
      <formula>TRUE</formula>
    </cfRule>
  </conditionalFormatting>
  <conditionalFormatting sqref="G174:G176">
    <cfRule type="cellIs" dxfId="68" priority="2" stopIfTrue="1" operator="notEqual">
      <formula>TRUE</formula>
    </cfRule>
  </conditionalFormatting>
  <conditionalFormatting sqref="G187:G189">
    <cfRule type="cellIs" dxfId="67" priority="1" stopIfTrue="1" operator="notEqual">
      <formula>TRUE</formula>
    </cfRule>
  </conditionalFormatting>
  <pageMargins left="0.5" right="0.5" top="0.5" bottom="0.5" header="0.5" footer="0.5"/>
  <pageSetup scale="80" fitToHeight="3"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W375"/>
  <sheetViews>
    <sheetView topLeftCell="A284" zoomScale="110" zoomScaleNormal="110" workbookViewId="0">
      <selection activeCell="F316" sqref="F316"/>
    </sheetView>
  </sheetViews>
  <sheetFormatPr defaultColWidth="18.83203125" defaultRowHeight="12.75" customHeight="1"/>
  <cols>
    <col min="1" max="2" width="9.33203125" customWidth="1"/>
    <col min="3" max="3" width="12.6640625" bestFit="1" customWidth="1"/>
    <col min="4" max="4" width="12.5" bestFit="1" customWidth="1"/>
    <col min="5" max="6" width="10.1640625" bestFit="1" customWidth="1"/>
    <col min="7" max="22" width="9.33203125" customWidth="1"/>
  </cols>
  <sheetData>
    <row r="1" spans="1:23" s="868" customFormat="1" ht="20.25">
      <c r="A1" s="868" t="s">
        <v>4649</v>
      </c>
      <c r="W1" s="868" t="s">
        <v>5262</v>
      </c>
    </row>
    <row r="2" spans="1:23" ht="11.25"/>
    <row r="3" spans="1:23" s="872" customFormat="1" ht="15">
      <c r="A3" s="872" t="s">
        <v>4664</v>
      </c>
    </row>
    <row r="4" spans="1:23" ht="11.25"/>
    <row r="5" spans="1:23" ht="11.25"/>
    <row r="6" spans="1:23" ht="11.25"/>
    <row r="7" spans="1:23" ht="11.25"/>
    <row r="8" spans="1:23" ht="11.25"/>
    <row r="9" spans="1:23" ht="11.25"/>
    <row r="10" spans="1:23" ht="11.25"/>
    <row r="11" spans="1:23" ht="11.25"/>
    <row r="12" spans="1:23" ht="11.25"/>
    <row r="13" spans="1:23" ht="11.25"/>
    <row r="14" spans="1:23" ht="11.25"/>
    <row r="15" spans="1:23">
      <c r="B15" s="1527" t="s">
        <v>4650</v>
      </c>
      <c r="C15" s="1527"/>
      <c r="E15" s="1255" t="s">
        <v>4666</v>
      </c>
      <c r="F15" s="1256"/>
      <c r="I15" s="1255" t="s">
        <v>4665</v>
      </c>
      <c r="J15" s="1256"/>
      <c r="M15" s="1255" t="s">
        <v>4669</v>
      </c>
      <c r="N15" s="1256"/>
    </row>
    <row r="16" spans="1:23" ht="11.25">
      <c r="B16" s="12">
        <f>1/6</f>
        <v>0.16666666666666666</v>
      </c>
      <c r="E16" s="1252" t="s">
        <v>4653</v>
      </c>
      <c r="F16" s="1252">
        <f>IF(AND(IF(INDEX(capBusAEmp2Utiliz,xxIndexTeam)&gt;0%,TRUE,FALSE),IF(INDEX(capBusAEmp2Utiliz,xxIndexTeam)&lt;10%,TRUE,FALSE)),1/40,1/20)</f>
        <v>0.05</v>
      </c>
      <c r="I16" s="1252" t="s">
        <v>4653</v>
      </c>
      <c r="J16" s="1252">
        <f>IF(AND(IF(INDEX(capBusAEmp3Utiliz,xxIndexTeam)&gt;0%,TRUE,FALSE),IF(INDEX(capBusAEmp3Utiliz,xxIndexTeam)&lt;10%,TRUE,FALSE)),1/40,1/20)</f>
        <v>0.05</v>
      </c>
      <c r="M16" s="1252" t="s">
        <v>4653</v>
      </c>
      <c r="N16" s="1252">
        <f>IF(AND(IF(INDEX(capBusAEmp4Utiliz,xxIndexTeam)&gt;0%,TRUE,FALSE),IF(INDEX(capBusAEmp4Utiliz,xxIndexTeam)&lt;10%,TRUE,FALSE)),1/40,1/20)</f>
        <v>0.05</v>
      </c>
    </row>
    <row r="17" spans="2:14" ht="11.25">
      <c r="B17" s="12">
        <f>1/6</f>
        <v>0.16666666666666666</v>
      </c>
      <c r="E17" s="1252" t="s">
        <v>4651</v>
      </c>
      <c r="F17" s="1252">
        <f>IF(AND(IF(INDEX(capBusAEmp2Utiliz,xxIndexTeam)&gt;0%,TRUE,FALSE),IF(INDEX(capBusAEmp2Utiliz,xxIndexTeam)&lt;=10%,TRUE,FALSE)),1/200,0)</f>
        <v>0</v>
      </c>
      <c r="I17" s="1252" t="s">
        <v>4651</v>
      </c>
      <c r="J17" s="1252">
        <f>IF(AND(IF(INDEX(capBusAEmp3Utiliz,xxIndexTeam)&gt;0%,TRUE,FALSE),IF(INDEX(capBusAEmp3Utiliz,xxIndexTeam)&lt;=10%,TRUE,FALSE)),1/200,0)</f>
        <v>0</v>
      </c>
      <c r="M17" s="1252" t="s">
        <v>4651</v>
      </c>
      <c r="N17" s="1252">
        <f>IF(AND(IF(INDEX(capBusAEmp4Utiliz,xxIndexTeam)&gt;0%,TRUE,FALSE),IF(INDEX(capBusAEmp4Utiliz,xxIndexTeam)&lt;=10%,TRUE,FALSE)),1/200,0)</f>
        <v>0</v>
      </c>
    </row>
    <row r="18" spans="2:14" ht="11.25">
      <c r="B18" s="12">
        <f>2/3</f>
        <v>0.66666666666666663</v>
      </c>
      <c r="E18" s="1253" t="s">
        <v>4653</v>
      </c>
      <c r="F18" s="1252">
        <f>IF(AND(IF(INDEX(capBusAEmp2Utiliz,xxIndexTeam)&gt;0%,TRUE,FALSE),IF(INDEX(capBusAEmp2Utiliz,xxIndexTeam)&lt;=10%,TRUE,FALSE)),1/40,0)</f>
        <v>0</v>
      </c>
      <c r="I18" s="1253" t="s">
        <v>4653</v>
      </c>
      <c r="J18" s="1252">
        <f>IF(AND(IF(INDEX(capBusAEmp3Utiliz,xxIndexTeam)&gt;0%,TRUE,FALSE),IF(INDEX(capBusAEmp3Utiliz,xxIndexTeam)&lt;=10%,TRUE,FALSE)),1/40,0)</f>
        <v>0</v>
      </c>
      <c r="M18" s="1253" t="s">
        <v>4653</v>
      </c>
      <c r="N18" s="1252">
        <f>IF(AND(IF(INDEX(capBusAEmp4Utiliz,xxIndexTeam)&gt;0%,TRUE,FALSE),IF(INDEX(capBusAEmp4Utiliz,xxIndexTeam)&lt;=10%,TRUE,FALSE)),1/40,0)</f>
        <v>0</v>
      </c>
    </row>
    <row r="19" spans="2:14" ht="11.25">
      <c r="B19" s="12">
        <f>1/6</f>
        <v>0.16666666666666666</v>
      </c>
      <c r="E19" s="1254" t="s">
        <v>4654</v>
      </c>
      <c r="F19" s="1252">
        <f>IF(AND(IF(INDEX(capBusAEmp2Utiliz,xxIndexTeam)&gt;10%,TRUE,FALSE),IF(INDEX(capBusAEmp2Utiliz,xxIndexTeam)&lt;20,TRUE,FALSE)),1/40,1/20)</f>
        <v>2.5000000000000001E-2</v>
      </c>
      <c r="I19" s="1254" t="s">
        <v>4654</v>
      </c>
      <c r="J19" s="1252">
        <f>IF(AND(IF(INDEX(capBusAEmp3Utiliz,xxIndexTeam)&gt;10%,TRUE,FALSE),IF(INDEX(capBusAEmp3Utiliz,xxIndexTeam)&lt;20,TRUE,FALSE)),1/40,1/20)</f>
        <v>2.5000000000000001E-2</v>
      </c>
      <c r="M19" s="1254" t="s">
        <v>4654</v>
      </c>
      <c r="N19" s="1252">
        <f>IF(AND(IF(INDEX(capBusAEmp4Utiliz,xxIndexTeam)&gt;10%,TRUE,FALSE),IF(INDEX(capBusAEmp4Utiliz,xxIndexTeam)&lt;20,TRUE,FALSE)),1/40,1/20)</f>
        <v>2.5000000000000001E-2</v>
      </c>
    </row>
    <row r="20" spans="2:14" ht="11.25">
      <c r="B20" s="12">
        <f>1/6</f>
        <v>0.16666666666666666</v>
      </c>
      <c r="E20" s="1252" t="s">
        <v>4651</v>
      </c>
      <c r="F20" s="1252">
        <f>IF(AND(IF(INDEX(capBusAEmp2Utiliz,xxIndexTeam)&gt;10%,TRUE,FALSE),IF(INDEX(capBusAEmp2Utiliz,xxIndexTeam)&lt;=20%,TRUE,FALSE)),1/200,0)</f>
        <v>0</v>
      </c>
      <c r="I20" s="1252" t="s">
        <v>4651</v>
      </c>
      <c r="J20" s="1252">
        <f>IF(AND(IF(INDEX(capBusAEmp3Utiliz,xxIndexTeam)&gt;10%,TRUE,FALSE),IF(INDEX(capBusAEmp3Utiliz,xxIndexTeam)&lt;=20%,TRUE,FALSE)),1/200,0)</f>
        <v>0</v>
      </c>
      <c r="M20" s="1252" t="s">
        <v>4651</v>
      </c>
      <c r="N20" s="1252">
        <f>IF(AND(IF(INDEX(capBusAEmp4Utiliz,xxIndexTeam)&gt;10%,TRUE,FALSE),IF(INDEX(capBusAEmp4Utiliz,xxIndexTeam)&lt;=20%,TRUE,FALSE)),1/200,0)</f>
        <v>0</v>
      </c>
    </row>
    <row r="21" spans="2:14" ht="11.25">
      <c r="E21" s="1254" t="s">
        <v>4654</v>
      </c>
      <c r="F21" s="1252">
        <f>IF(AND(IF(INDEX(capBusAEmp2Utiliz,xxIndexTeam)&gt;10%,TRUE,FALSE),IF(INDEX(capBusAEmp2Utiliz,xxIndexTeam)&lt;=20%,TRUE,FALSE)),1/40,0)</f>
        <v>0</v>
      </c>
      <c r="I21" s="1254" t="s">
        <v>4654</v>
      </c>
      <c r="J21" s="1252">
        <f>IF(AND(IF(INDEX(capBusAEmp3Utiliz,xxIndexTeam)&gt;10%,TRUE,FALSE),IF(INDEX(capBusAEmp3Utiliz,xxIndexTeam)&lt;=20%,TRUE,FALSE)),1/40,0)</f>
        <v>0</v>
      </c>
      <c r="M21" s="1254" t="s">
        <v>4654</v>
      </c>
      <c r="N21" s="1252">
        <f>IF(AND(IF(INDEX(capBusAEmp4Utiliz,xxIndexTeam)&gt;10%,TRUE,FALSE),IF(INDEX(capBusAEmp4Utiliz,xxIndexTeam)&lt;=20%,TRUE,FALSE)),1/40,0)</f>
        <v>0</v>
      </c>
    </row>
    <row r="22" spans="2:14" ht="11.25">
      <c r="B22" s="12"/>
      <c r="E22" s="1252" t="s">
        <v>4655</v>
      </c>
      <c r="F22" s="1252">
        <f>IF(AND(IF(INDEX(capBusAEmp2Utiliz,xxIndexTeam)&gt;20%,TRUE,FALSE),IF(INDEX(capBusAEmp2Utiliz,xxIndexTeam)&lt;30%,TRUE,FALSE)),1/40,1/20)</f>
        <v>0.05</v>
      </c>
      <c r="I22" s="1252" t="s">
        <v>4655</v>
      </c>
      <c r="J22" s="1252">
        <f>IF(AND(IF(INDEX(capBusAEmp3Utiliz,xxIndexTeam)&gt;20%,TRUE,FALSE),IF(INDEX(capBusAEmp3Utiliz,xxIndexTeam)&lt;30%,TRUE,FALSE)),1/40,1/20)</f>
        <v>0.05</v>
      </c>
      <c r="M22" s="1252" t="s">
        <v>4655</v>
      </c>
      <c r="N22" s="1252">
        <f>IF(AND(IF(INDEX(capBusAEmp4Utiliz,xxIndexTeam)&gt;20%,TRUE,FALSE),IF(INDEX(capBusAEmp4Utiliz,xxIndexTeam)&lt;30%,TRUE,FALSE)),1/40,1/20)</f>
        <v>0.05</v>
      </c>
    </row>
    <row r="23" spans="2:14" ht="11.25">
      <c r="B23" s="12"/>
      <c r="E23" s="1252" t="s">
        <v>4651</v>
      </c>
      <c r="F23" s="1252">
        <f>IF(AND(IF(INDEX(capBusAEmp2Utiliz,xxIndexTeam)&gt;20%,TRUE,FALSE),IF(INDEX(capBusAEmp2Utiliz,xxIndexTeam)&lt;=30%,TRUE,FALSE)),1/200,0)</f>
        <v>0</v>
      </c>
      <c r="I23" s="1252" t="s">
        <v>4651</v>
      </c>
      <c r="J23" s="1252">
        <f>IF(AND(IF(INDEX(capBusAEmp3Utiliz,xxIndexTeam)&gt;20%,TRUE,FALSE),IF(INDEX(capBusAEmp3Utiliz,xxIndexTeam)&lt;=30%,TRUE,FALSE)),1/200,0)</f>
        <v>0</v>
      </c>
      <c r="M23" s="1252" t="s">
        <v>4651</v>
      </c>
      <c r="N23" s="1252">
        <f>IF(AND(IF(INDEX(capBusAEmp4Utiliz,xxIndexTeam)&gt;20%,TRUE,FALSE),IF(INDEX(capBusAEmp4Utiliz,xxIndexTeam)&lt;=30%,TRUE,FALSE)),1/200,0)</f>
        <v>0</v>
      </c>
    </row>
    <row r="24" spans="2:14" ht="11.25">
      <c r="E24" s="1252" t="s">
        <v>4655</v>
      </c>
      <c r="F24" s="1252">
        <f>IF(AND(IF(INDEX(capBusAEmp2Utiliz,xxIndexTeam)&gt;20%,TRUE,FALSE),IF(INDEX(capBusAEmp2Utiliz,xxIndexTeam)&lt;=30%,TRUE,FALSE)),1/40,0)</f>
        <v>0</v>
      </c>
      <c r="I24" s="1252" t="s">
        <v>4655</v>
      </c>
      <c r="J24" s="1252">
        <f>IF(AND(IF(INDEX(capBusAEmp3Utiliz,xxIndexTeam)&gt;20%,TRUE,FALSE),IF(INDEX(capBusAEmp3Utiliz,xxIndexTeam)&lt;=30%,TRUE,FALSE)),1/40,0)</f>
        <v>0</v>
      </c>
      <c r="M24" s="1252" t="s">
        <v>4655</v>
      </c>
      <c r="N24" s="1252">
        <f>IF(AND(IF(INDEX(capBusAEmp4Utiliz,xxIndexTeam)&gt;20%,TRUE,FALSE),IF(INDEX(capBusAEmp4Utiliz,xxIndexTeam)&lt;=30%,TRUE,FALSE)),1/40,0)</f>
        <v>0</v>
      </c>
    </row>
    <row r="25" spans="2:14" ht="11.25">
      <c r="B25" s="12"/>
      <c r="E25" s="1252" t="s">
        <v>4656</v>
      </c>
      <c r="F25" s="1252">
        <f>IF(AND(IF(INDEX(capBusAEmp2Utiliz,xxIndexTeam)&gt;30%,TRUE,FALSE),IF(INDEX(capBusAEmp2Utiliz,xxIndexTeam)&lt;40%,TRUE,FALSE)),1/40,1/20)</f>
        <v>0.05</v>
      </c>
      <c r="I25" s="1252" t="s">
        <v>4656</v>
      </c>
      <c r="J25" s="1252">
        <f>IF(AND(IF(INDEX(capBusAEmp3Utiliz,xxIndexTeam)&gt;30%,TRUE,FALSE),IF(INDEX(capBusAEmp3Utiliz,xxIndexTeam)&lt;40%,TRUE,FALSE)),1/40,1/20)</f>
        <v>0.05</v>
      </c>
      <c r="M25" s="1252" t="s">
        <v>4656</v>
      </c>
      <c r="N25" s="1252">
        <f>IF(AND(IF(INDEX(capBusAEmp4Utiliz,xxIndexTeam)&gt;30%,TRUE,FALSE),IF(INDEX(capBusAEmp4Utiliz,xxIndexTeam)&lt;40%,TRUE,FALSE)),1/40,1/20)</f>
        <v>0.05</v>
      </c>
    </row>
    <row r="26" spans="2:14" ht="11.25">
      <c r="B26" s="12"/>
      <c r="E26" s="1252" t="s">
        <v>4651</v>
      </c>
      <c r="F26" s="1252">
        <f>IF(AND(IF(INDEX(capBusAEmp2Utiliz,xxIndexTeam)&gt;30%,TRUE,FALSE),IF(INDEX(capBusAEmp2Utiliz,xxIndexTeam)&lt;=40%,TRUE,FALSE)),1/200,0)</f>
        <v>0</v>
      </c>
      <c r="I26" s="1252" t="s">
        <v>4651</v>
      </c>
      <c r="J26" s="1252">
        <f>IF(AND(IF(INDEX(capBusAEmp3Utiliz,xxIndexTeam)&gt;30%,TRUE,FALSE),IF(INDEX(capBusAEmp3Utiliz,xxIndexTeam)&lt;=40%,TRUE,FALSE)),1/200,0)</f>
        <v>0</v>
      </c>
      <c r="M26" s="1252" t="s">
        <v>4651</v>
      </c>
      <c r="N26" s="1252">
        <f>IF(AND(IF(INDEX(capBusAEmp4Utiliz,xxIndexTeam)&gt;30%,TRUE,FALSE),IF(INDEX(capBusAEmp4Utiliz,xxIndexTeam)&lt;=40%,TRUE,FALSE)),1/200,0)</f>
        <v>0</v>
      </c>
    </row>
    <row r="27" spans="2:14" ht="11.25">
      <c r="E27" s="1252" t="s">
        <v>4656</v>
      </c>
      <c r="F27" s="1252">
        <f>IF(AND(IF(INDEX(capBusAEmp2Utiliz,xxIndexTeam)&gt;30%,TRUE,FALSE),IF(INDEX(capBusAEmp2Utiliz,xxIndexTeam)&lt;=40%,TRUE,FALSE)),1/40,0)</f>
        <v>0</v>
      </c>
      <c r="I27" s="1252" t="s">
        <v>4656</v>
      </c>
      <c r="J27" s="1252">
        <f>IF(AND(IF(INDEX(capBusAEmp3Utiliz,xxIndexTeam)&gt;30%,TRUE,FALSE),IF(INDEX(capBusAEmp3Utiliz,xxIndexTeam)&lt;=40%,TRUE,FALSE)),1/40,0)</f>
        <v>0</v>
      </c>
      <c r="M27" s="1252" t="s">
        <v>4656</v>
      </c>
      <c r="N27" s="1252">
        <f>IF(AND(IF(INDEX(capBusAEmp4Utiliz,xxIndexTeam)&gt;30%,TRUE,FALSE),IF(INDEX(capBusAEmp4Utiliz,xxIndexTeam)&lt;=40%,TRUE,FALSE)),1/40,0)</f>
        <v>0</v>
      </c>
    </row>
    <row r="28" spans="2:14" ht="11.25">
      <c r="B28" s="12"/>
      <c r="E28" s="1252" t="s">
        <v>4657</v>
      </c>
      <c r="F28" s="1252">
        <f>IF(AND(IF(INDEX(capBusAEmp2Utiliz,xxIndexTeam)&gt;40%,TRUE,FALSE),IF(INDEX(capBusAEmp2Utiliz,xxIndexTeam)&lt;50%,TRUE,FALSE)),1/40,1/20)</f>
        <v>0.05</v>
      </c>
      <c r="I28" s="1252" t="s">
        <v>4657</v>
      </c>
      <c r="J28" s="1252">
        <f>IF(AND(IF(INDEX(capBusAEmp3Utiliz,xxIndexTeam)&gt;40%,TRUE,FALSE),IF(INDEX(capBusAEmp3Utiliz,xxIndexTeam)&lt;50%,TRUE,FALSE)),1/40,1/20)</f>
        <v>0.05</v>
      </c>
      <c r="M28" s="1252" t="s">
        <v>4657</v>
      </c>
      <c r="N28" s="1252">
        <f>IF(AND(IF(INDEX(capBusAEmp4Utiliz,xxIndexTeam)&gt;40%,TRUE,FALSE),IF(INDEX(capBusAEmp4Utiliz,xxIndexTeam)&lt;50%,TRUE,FALSE)),1/40,1/20)</f>
        <v>2.5000000000000001E-2</v>
      </c>
    </row>
    <row r="29" spans="2:14" ht="11.25">
      <c r="B29" s="12"/>
      <c r="E29" s="1252" t="s">
        <v>4651</v>
      </c>
      <c r="F29" s="1252">
        <f>IF(AND(IF(INDEX(capBusAEmp2Utiliz,xxIndexTeam)&gt;40%,TRUE,FALSE),IF(INDEX(capBusAEmp2Utiliz,xxIndexTeam)&lt;=50%,TRUE,FALSE)),1/200,0)</f>
        <v>0</v>
      </c>
      <c r="I29" s="1252" t="s">
        <v>4651</v>
      </c>
      <c r="J29" s="1252">
        <f>IF(AND(IF(INDEX(capBusAEmp3Utiliz,xxIndexTeam)&gt;40%,TRUE,FALSE),IF(INDEX(capBusAEmp3Utiliz,xxIndexTeam)&lt;=50%,TRUE,FALSE)),1/200,0)</f>
        <v>0</v>
      </c>
      <c r="M29" s="1252" t="s">
        <v>4651</v>
      </c>
      <c r="N29" s="1252">
        <f>IF(AND(IF(INDEX(capBusAEmp4Utiliz,xxIndexTeam)&gt;40%,TRUE,FALSE),IF(INDEX(capBusAEmp4Utiliz,xxIndexTeam)&lt;=50%,TRUE,FALSE)),1/200,0)</f>
        <v>5.0000000000000001E-3</v>
      </c>
    </row>
    <row r="30" spans="2:14" ht="11.25">
      <c r="E30" s="1252" t="s">
        <v>4657</v>
      </c>
      <c r="F30" s="1252">
        <f>IF(AND(IF(INDEX(capBusAEmp2Utiliz,xxIndexTeam)&gt;40%,TRUE,FALSE),IF(INDEX(capBusAEmp2Utiliz,xxIndexTeam)&lt;=50%,TRUE,FALSE)),1/40,0)</f>
        <v>0</v>
      </c>
      <c r="I30" s="1252" t="s">
        <v>4657</v>
      </c>
      <c r="J30" s="1252">
        <f>IF(AND(IF(INDEX(capBusAEmp3Utiliz,xxIndexTeam)&gt;40%,TRUE,FALSE),IF(INDEX(capBusAEmp3Utiliz,xxIndexTeam)&lt;=50%,TRUE,FALSE)),1/40,0)</f>
        <v>0</v>
      </c>
      <c r="M30" s="1252" t="s">
        <v>4657</v>
      </c>
      <c r="N30" s="1252">
        <f>IF(AND(IF(INDEX(capBusAEmp4Utiliz,xxIndexTeam)&gt;40%,TRUE,FALSE),IF(INDEX(capBusAEmp4Utiliz,xxIndexTeam)&lt;=50%,TRUE,FALSE)),1/40,0)</f>
        <v>2.5000000000000001E-2</v>
      </c>
    </row>
    <row r="31" spans="2:14" ht="11.25">
      <c r="B31" s="12"/>
      <c r="E31" s="1252" t="s">
        <v>4658</v>
      </c>
      <c r="F31" s="1252">
        <f>IF(AND(IF(INDEX(capBusAEmp2Utiliz,xxIndexTeam)&gt;50%,TRUE,FALSE),IF(INDEX(capBusAEmp2Utiliz,xxIndexTeam)&lt;60%,TRUE,FALSE)),1/40,1/20)</f>
        <v>2.5000000000000001E-2</v>
      </c>
      <c r="I31" s="1252" t="s">
        <v>4658</v>
      </c>
      <c r="J31" s="1252">
        <f>IF(AND(IF(INDEX(capBusAEmp3Utiliz,xxIndexTeam)&gt;50%,TRUE,FALSE),IF(INDEX(capBusAEmp3Utiliz,xxIndexTeam)&lt;60%,TRUE,FALSE)),1/40,1/20)</f>
        <v>2.5000000000000001E-2</v>
      </c>
      <c r="M31" s="1252" t="s">
        <v>4658</v>
      </c>
      <c r="N31" s="1252">
        <f>IF(AND(IF(INDEX(capBusAEmp4Utiliz,xxIndexTeam)&gt;50%,TRUE,FALSE),IF(INDEX(capBusAEmp4Utiliz,xxIndexTeam)&lt;60%,TRUE,FALSE)),1/40,1/20)</f>
        <v>0.05</v>
      </c>
    </row>
    <row r="32" spans="2:14" ht="11.25">
      <c r="B32" s="12"/>
      <c r="E32" s="1252" t="s">
        <v>4651</v>
      </c>
      <c r="F32" s="1252">
        <f>IF(AND(IF(INDEX(capBusAEmp2Utiliz,xxIndexTeam)&gt;50%,TRUE,FALSE),IF(INDEX(capBusAEmp2Utiliz,xxIndexTeam)&lt;=60%,TRUE,FALSE)),1/200,0)</f>
        <v>5.0000000000000001E-3</v>
      </c>
      <c r="I32" s="1252" t="s">
        <v>4651</v>
      </c>
      <c r="J32" s="1252">
        <f>IF(AND(IF(INDEX(capBusAEmp3Utiliz,xxIndexTeam)&gt;50%,TRUE,FALSE),IF(INDEX(capBusAEmp3Utiliz,xxIndexTeam)&lt;=60%,TRUE,FALSE)),1/200,0)</f>
        <v>5.0000000000000001E-3</v>
      </c>
      <c r="M32" s="1252" t="s">
        <v>4651</v>
      </c>
      <c r="N32" s="1252">
        <f>IF(AND(IF(INDEX(capBusAEmp4Utiliz,xxIndexTeam)&gt;50%,TRUE,FALSE),IF(INDEX(capBusAEmp4Utiliz,xxIndexTeam)&lt;=60%,TRUE,FALSE)),1/200,0)</f>
        <v>0</v>
      </c>
    </row>
    <row r="33" spans="2:14" ht="11.25">
      <c r="E33" s="1252" t="s">
        <v>4658</v>
      </c>
      <c r="F33" s="1252">
        <f>IF(AND(IF(INDEX(capBusAEmp2Utiliz,xxIndexTeam)&gt;50%,TRUE,FALSE),IF(INDEX(capBusAEmp2Utiliz,xxIndexTeam)&lt;=60%,TRUE,FALSE)),1/40,0)</f>
        <v>2.5000000000000001E-2</v>
      </c>
      <c r="I33" s="1252" t="s">
        <v>4658</v>
      </c>
      <c r="J33" s="1252">
        <f>IF(AND(IF(INDEX(capBusAEmp3Utiliz,xxIndexTeam)&gt;50%,TRUE,FALSE),IF(INDEX(capBusAEmp3Utiliz,xxIndexTeam)&lt;=60%,TRUE,FALSE)),1/40,0)</f>
        <v>2.5000000000000001E-2</v>
      </c>
      <c r="M33" s="1252" t="s">
        <v>4658</v>
      </c>
      <c r="N33" s="1252">
        <f>IF(AND(IF(INDEX(capBusAEmp4Utiliz,xxIndexTeam)&gt;50%,TRUE,FALSE),IF(INDEX(capBusAEmp4Utiliz,xxIndexTeam)&lt;=60%,TRUE,FALSE)),1/40,0)</f>
        <v>0</v>
      </c>
    </row>
    <row r="34" spans="2:14" ht="11.25">
      <c r="B34" s="12"/>
      <c r="E34" s="1252" t="s">
        <v>4659</v>
      </c>
      <c r="F34" s="1252">
        <f>IF(AND(IF(INDEX(capBusAEmp2Utiliz,xxIndexTeam)&gt;60%,TRUE,FALSE),IF(INDEX(capBusAEmp2Utiliz,xxIndexTeam)&lt;70%,TRUE,FALSE)),1/40,1/20)</f>
        <v>0.05</v>
      </c>
      <c r="I34" s="1252" t="s">
        <v>4659</v>
      </c>
      <c r="J34" s="1252">
        <f>IF(AND(IF(INDEX(capBusAEmp3Utiliz,xxIndexTeam)&gt;60%,TRUE,FALSE),IF(INDEX(capBusAEmp3Utiliz,xxIndexTeam)&lt;70%,TRUE,FALSE)),1/40,1/20)</f>
        <v>0.05</v>
      </c>
      <c r="M34" s="1252" t="s">
        <v>4659</v>
      </c>
      <c r="N34" s="1252">
        <f>IF(AND(IF(INDEX(capBusAEmp4Utiliz,xxIndexTeam)&gt;60%,TRUE,FALSE),IF(INDEX(capBusAEmp4Utiliz,xxIndexTeam)&lt;70%,TRUE,FALSE)),1/40,1/20)</f>
        <v>0.05</v>
      </c>
    </row>
    <row r="35" spans="2:14" ht="11.25">
      <c r="B35" s="12"/>
      <c r="E35" s="1252" t="s">
        <v>4651</v>
      </c>
      <c r="F35" s="1252">
        <f>IF(AND(IF(INDEX(capBusAEmp2Utiliz,xxIndexTeam)&gt;60%,TRUE,FALSE),IF(INDEX(capBusAEmp2Utiliz,xxIndexTeam)&lt;=70%,TRUE,FALSE)),1/200,0)</f>
        <v>0</v>
      </c>
      <c r="I35" s="1252" t="s">
        <v>4651</v>
      </c>
      <c r="J35" s="1252">
        <f>IF(AND(IF(INDEX(capBusAEmp3Utiliz,xxIndexTeam)&gt;60%,TRUE,FALSE),IF(INDEX(capBusAEmp3Utiliz,xxIndexTeam)&lt;=70%,TRUE,FALSE)),1/200,0)</f>
        <v>0</v>
      </c>
      <c r="M35" s="1252" t="s">
        <v>4651</v>
      </c>
      <c r="N35" s="1252">
        <f>IF(AND(IF(INDEX(capBusAEmp4Utiliz,xxIndexTeam)&gt;60%,TRUE,FALSE),IF(INDEX(capBusAEmp4Utiliz,xxIndexTeam)&lt;=70%,TRUE,FALSE)),1/200,0)</f>
        <v>0</v>
      </c>
    </row>
    <row r="36" spans="2:14" ht="11.25">
      <c r="E36" s="1252" t="s">
        <v>4659</v>
      </c>
      <c r="F36" s="1252">
        <f>IF(AND(IF(INDEX(capBusAEmp2Utiliz,xxIndexTeam)&gt;60%,TRUE,FALSE),IF(INDEX(capBusAEmp2Utiliz,xxIndexTeam)&lt;=70%,TRUE,FALSE)),1/40,0)</f>
        <v>0</v>
      </c>
      <c r="I36" s="1252" t="s">
        <v>4659</v>
      </c>
      <c r="J36" s="1252">
        <f>IF(AND(IF(INDEX(capBusAEmp3Utiliz,xxIndexTeam)&gt;60%,TRUE,FALSE),IF(INDEX(capBusAEmp3Utiliz,xxIndexTeam)&lt;=70%,TRUE,FALSE)),1/40,0)</f>
        <v>0</v>
      </c>
      <c r="M36" s="1252" t="s">
        <v>4659</v>
      </c>
      <c r="N36" s="1252">
        <f>IF(AND(IF(INDEX(capBusAEmp4Utiliz,xxIndexTeam)&gt;60%,TRUE,FALSE),IF(INDEX(capBusAEmp4Utiliz,xxIndexTeam)&lt;=70%,TRUE,FALSE)),1/40,0)</f>
        <v>0</v>
      </c>
    </row>
    <row r="37" spans="2:14" ht="11.25">
      <c r="B37" s="12"/>
      <c r="E37" s="1252" t="s">
        <v>4660</v>
      </c>
      <c r="F37" s="1252">
        <f>IF(AND(IF(INDEX(capBusAEmp2Utiliz,xxIndexTeam)&gt;70%,TRUE,FALSE),IF(INDEX(capBusAEmp2Utiliz,xxIndexTeam)&lt;80%,TRUE,FALSE)),1/40,1/20)</f>
        <v>0.05</v>
      </c>
      <c r="I37" s="1252" t="s">
        <v>4660</v>
      </c>
      <c r="J37" s="1252">
        <f>IF(AND(IF(INDEX(capBusAEmp3Utiliz,xxIndexTeam)&gt;70%,TRUE,FALSE),IF(INDEX(capBusAEmp3Utiliz,xxIndexTeam)&lt;80%,TRUE,FALSE)),1/40,1/20)</f>
        <v>0.05</v>
      </c>
      <c r="M37" s="1252" t="s">
        <v>4660</v>
      </c>
      <c r="N37" s="1252">
        <f>IF(AND(IF(INDEX(capBusAEmp4Utiliz,xxIndexTeam)&gt;70%,TRUE,FALSE),IF(INDEX(capBusAEmp4Utiliz,xxIndexTeam)&lt;80%,TRUE,FALSE)),1/40,1/20)</f>
        <v>0.05</v>
      </c>
    </row>
    <row r="38" spans="2:14" ht="11.25">
      <c r="B38" s="12"/>
      <c r="E38" s="1252" t="s">
        <v>4651</v>
      </c>
      <c r="F38" s="1252">
        <f>IF(AND(IF(INDEX(capBusAEmp2Utiliz,xxIndexTeam)&gt;70%,TRUE,FALSE),IF(INDEX(capBusAEmp2Utiliz,xxIndexTeam)&lt;=80%,TRUE,FALSE)),1/200,0)</f>
        <v>0</v>
      </c>
      <c r="I38" s="1252" t="s">
        <v>4651</v>
      </c>
      <c r="J38" s="1252">
        <f>IF(AND(IF(INDEX(capBusAEmp3Utiliz,xxIndexTeam)&gt;70%,TRUE,FALSE),IF(INDEX(capBusAEmp3Utiliz,xxIndexTeam)&lt;=80%,TRUE,FALSE)),1/200,0)</f>
        <v>0</v>
      </c>
      <c r="M38" s="1252" t="s">
        <v>4651</v>
      </c>
      <c r="N38" s="1252">
        <f>IF(AND(IF(INDEX(capBusAEmp4Utiliz,xxIndexTeam)&gt;70%,TRUE,FALSE),IF(INDEX(capBusAEmp4Utiliz,xxIndexTeam)&lt;=80%,TRUE,FALSE)),1/200,0)</f>
        <v>0</v>
      </c>
    </row>
    <row r="39" spans="2:14" ht="11.25">
      <c r="E39" s="1252" t="s">
        <v>4660</v>
      </c>
      <c r="F39" s="1252">
        <f>IF(AND(IF(INDEX(capBusAEmp2Utiliz,xxIndexTeam)&gt;70%,TRUE,FALSE),IF(INDEX(capBusAEmp2Utiliz,xxIndexTeam)&lt;=80%,TRUE,FALSE)),1/40,0)</f>
        <v>0</v>
      </c>
      <c r="I39" s="1252" t="s">
        <v>4660</v>
      </c>
      <c r="J39" s="1252">
        <f>IF(AND(IF(INDEX(capBusAEmp3Utiliz,xxIndexTeam)&gt;70%,TRUE,FALSE),IF(INDEX(capBusAEmp3Utiliz,xxIndexTeam)&lt;=80%,TRUE,FALSE)),1/40,0)</f>
        <v>0</v>
      </c>
      <c r="M39" s="1252" t="s">
        <v>4660</v>
      </c>
      <c r="N39" s="1252">
        <f>IF(AND(IF(INDEX(capBusAEmp4Utiliz,xxIndexTeam)&gt;70%,TRUE,FALSE),IF(INDEX(capBusAEmp4Utiliz,xxIndexTeam)&lt;=80%,TRUE,FALSE)),1/40,0)</f>
        <v>0</v>
      </c>
    </row>
    <row r="40" spans="2:14" ht="11.25">
      <c r="B40" s="12"/>
      <c r="E40" s="1252" t="s">
        <v>4661</v>
      </c>
      <c r="F40" s="1252">
        <f>IF(AND(IF(INDEX(capBusAEmp2Utiliz,xxIndexTeam)&gt;80%,TRUE,FALSE),IF(INDEX(capBusAEmp2Utiliz,xxIndexTeam)&lt;90%,TRUE,FALSE)),1/40,1/20)</f>
        <v>0.05</v>
      </c>
      <c r="I40" s="1252" t="s">
        <v>4661</v>
      </c>
      <c r="J40" s="1252">
        <f>IF(AND(IF(INDEX(capBusAEmp3Utiliz,xxIndexTeam)&gt;80%,TRUE,FALSE),IF(INDEX(capBusAEmp3Utiliz,xxIndexTeam)&lt;90%,TRUE,FALSE)),1/40,1/20)</f>
        <v>0.05</v>
      </c>
      <c r="M40" s="1252" t="s">
        <v>4661</v>
      </c>
      <c r="N40" s="1252">
        <f>IF(AND(IF(INDEX(capBusAEmp4Utiliz,xxIndexTeam)&gt;80%,TRUE,FALSE),IF(INDEX(capBusAEmp4Utiliz,xxIndexTeam)&lt;90%,TRUE,FALSE)),1/40,1/20)</f>
        <v>0.05</v>
      </c>
    </row>
    <row r="41" spans="2:14" ht="11.25">
      <c r="B41" s="12"/>
      <c r="E41" s="1252" t="s">
        <v>4651</v>
      </c>
      <c r="F41" s="1252">
        <f>IF(AND(IF(INDEX(capBusAEmp2Utiliz,xxIndexTeam)&gt;80%,TRUE,FALSE),IF(INDEX(capBusAEmp2Utiliz,xxIndexTeam)&lt;=90%,TRUE,FALSE)),1/200,0)</f>
        <v>0</v>
      </c>
      <c r="I41" s="1252" t="s">
        <v>4651</v>
      </c>
      <c r="J41" s="1252">
        <f>IF(AND(IF(INDEX(capBusAEmp3Utiliz,xxIndexTeam)&gt;80%,TRUE,FALSE),IF(INDEX(capBusAEmp3Utiliz,xxIndexTeam)&lt;=90%,TRUE,FALSE)),1/200,0)</f>
        <v>0</v>
      </c>
      <c r="M41" s="1252" t="s">
        <v>4651</v>
      </c>
      <c r="N41" s="1252">
        <f>IF(AND(IF(INDEX(capBusAEmp4Utiliz,xxIndexTeam)&gt;80%,TRUE,FALSE),IF(INDEX(capBusAEmp4Utiliz,xxIndexTeam)&lt;=90%,TRUE,FALSE)),1/200,0)</f>
        <v>0</v>
      </c>
    </row>
    <row r="42" spans="2:14" ht="11.25">
      <c r="E42" s="1252" t="s">
        <v>4661</v>
      </c>
      <c r="F42" s="1252">
        <f>IF(AND(IF(INDEX(capBusAEmp2Utiliz,xxIndexTeam)&gt;80%,TRUE,FALSE),IF(INDEX(capBusAEmp2Utiliz,xxIndexTeam)&lt;=90%,TRUE,FALSE)),1/40,0)</f>
        <v>0</v>
      </c>
      <c r="I42" s="1252" t="s">
        <v>4661</v>
      </c>
      <c r="J42" s="1252">
        <f>IF(AND(IF(INDEX(capBusAEmp3Utiliz,xxIndexTeam)&gt;80%,TRUE,FALSE),IF(INDEX(capBusAEmp3Utiliz,xxIndexTeam)&lt;=90%,TRUE,FALSE)),1/40,0)</f>
        <v>0</v>
      </c>
      <c r="M42" s="1252" t="s">
        <v>4661</v>
      </c>
      <c r="N42" s="1252">
        <f>IF(AND(IF(INDEX(capBusAEmp4Utiliz,xxIndexTeam)&gt;80%,TRUE,FALSE),IF(INDEX(capBusAEmp4Utiliz,xxIndexTeam)&lt;=90%,TRUE,FALSE)),1/40,0)</f>
        <v>0</v>
      </c>
    </row>
    <row r="43" spans="2:14" ht="11.25">
      <c r="B43" s="12"/>
      <c r="E43" s="1252" t="s">
        <v>4662</v>
      </c>
      <c r="F43" s="1252">
        <f>IF(AND(IF(INDEX(capBusAEmp2Utiliz,xxIndexTeam)&gt;90%,TRUE,FALSE),IF(INDEX(capBusAEmp2Utiliz,xxIndexTeam)&lt;100%,TRUE,FALSE)),1/40,1/20)</f>
        <v>0.05</v>
      </c>
      <c r="I43" s="1252" t="s">
        <v>4662</v>
      </c>
      <c r="J43" s="1252">
        <f>IF(AND(IF(INDEX(capBusAEmp3Utiliz,xxIndexTeam)&gt;90%,TRUE,FALSE),IF(INDEX(capBusAEmp3Utiliz,xxIndexTeam)&lt;100%,TRUE,FALSE)),1/40,1/20)</f>
        <v>0.05</v>
      </c>
      <c r="M43" s="1252" t="s">
        <v>4662</v>
      </c>
      <c r="N43" s="1252">
        <f>IF(AND(IF(INDEX(capBusAEmp4Utiliz,xxIndexTeam)&gt;90%,TRUE,FALSE),IF(INDEX(capBusAEmp4Utiliz,xxIndexTeam)&lt;100%,TRUE,FALSE)),1/40,1/20)</f>
        <v>0.05</v>
      </c>
    </row>
    <row r="44" spans="2:14" ht="11.25">
      <c r="B44" s="12"/>
      <c r="E44" s="1252" t="s">
        <v>4651</v>
      </c>
      <c r="F44" s="1252">
        <f>IF(AND(IF(INDEX(capBusAEmp2Utiliz,xxIndexTeam)&gt;90%,TRUE,FALSE),IF(INDEX(capBusAEmp2Utiliz,xxIndexTeam)&lt;=100%,TRUE,FALSE)),1/200,0)</f>
        <v>0</v>
      </c>
      <c r="I44" s="1252" t="s">
        <v>4651</v>
      </c>
      <c r="J44" s="1252">
        <f>IF(AND(IF(INDEX(capBusAEmp3Utiliz,xxIndexTeam)&gt;90%,TRUE,FALSE),IF(INDEX(capBusAEmp3Utiliz,xxIndexTeam)&lt;=100%,TRUE,FALSE)),1/200,0)</f>
        <v>0</v>
      </c>
      <c r="M44" s="1252" t="s">
        <v>4651</v>
      </c>
      <c r="N44" s="1252">
        <f>IF(AND(IF(INDEX(capBusAEmp4Utiliz,xxIndexTeam)&gt;90%,TRUE,FALSE),IF(INDEX(capBusAEmp4Utiliz,xxIndexTeam)&lt;=100%,TRUE,FALSE)),1/200,0)</f>
        <v>0</v>
      </c>
    </row>
    <row r="45" spans="2:14" ht="11.25">
      <c r="E45" s="1252" t="s">
        <v>4662</v>
      </c>
      <c r="F45" s="1252">
        <f>IF(AND(IF(INDEX(capBusAEmp2Utiliz,xxIndexTeam)&gt;90%,TRUE,FALSE),IF(INDEX(capBusAEmp2Utiliz,xxIndexTeam)&lt;=100%,TRUE,FALSE)),1/40,0)</f>
        <v>0</v>
      </c>
      <c r="I45" s="1252" t="s">
        <v>4662</v>
      </c>
      <c r="J45" s="1252">
        <f>IF(AND(IF(INDEX(capBusAEmp3Utiliz,xxIndexTeam)&gt;90%,TRUE,FALSE),IF(INDEX(capBusAEmp3Utiliz,xxIndexTeam)&lt;=100%,TRUE,FALSE)),1/40,0)</f>
        <v>0</v>
      </c>
      <c r="M45" s="1252" t="s">
        <v>4662</v>
      </c>
      <c r="N45" s="1252">
        <f>IF(AND(IF(INDEX(capBusAEmp4Utiliz,xxIndexTeam)&gt;90%,TRUE,FALSE),IF(INDEX(capBusAEmp4Utiliz,xxIndexTeam)&lt;=100%,TRUE,FALSE)),1/40,0)</f>
        <v>0</v>
      </c>
    </row>
    <row r="46" spans="2:14" ht="11.25">
      <c r="B46" s="12"/>
      <c r="E46" s="1252" t="s">
        <v>4663</v>
      </c>
      <c r="F46" s="1252">
        <f>IF(AND(IF(INDEX(capBusAEmp2Utiliz,xxIndexTeam)&gt;100%,TRUE,FALSE),IF(INDEX(capBusAEmp2Utiliz,xxIndexTeam)&lt;110%,TRUE,FALSE)),1/40,1/20)</f>
        <v>0.05</v>
      </c>
      <c r="I46" s="1252" t="s">
        <v>4663</v>
      </c>
      <c r="J46" s="1252">
        <f>IF(AND(IF(INDEX(capBusAEmp3Utiliz,xxIndexTeam)&gt;100%,TRUE,FALSE),IF(INDEX(capBusAEmp3Utiliz,xxIndexTeam)&lt;110%,TRUE,FALSE)),1/40,1/20)</f>
        <v>0.05</v>
      </c>
      <c r="M46" s="1252" t="s">
        <v>4663</v>
      </c>
      <c r="N46" s="1252">
        <f>IF(AND(IF(INDEX(capBusAEmp4Utiliz,xxIndexTeam)&gt;100%,TRUE,FALSE),IF(INDEX(capBusAEmp4Utiliz,xxIndexTeam)&lt;110%,TRUE,FALSE)),1/40,1/20)</f>
        <v>0.05</v>
      </c>
    </row>
    <row r="47" spans="2:14" ht="11.25">
      <c r="B47" s="12"/>
      <c r="E47" s="1252" t="s">
        <v>4651</v>
      </c>
      <c r="F47" s="1252">
        <f>IF(AND(IF(INDEX(capBusAEmp2Utiliz,xxIndexTeam)&gt;100%,TRUE,FALSE),IF(INDEX(capBusAEmp2Utiliz,xxIndexTeam)&lt;=110%,TRUE,FALSE)),1/200,0)</f>
        <v>0</v>
      </c>
      <c r="I47" s="1252" t="s">
        <v>4651</v>
      </c>
      <c r="J47" s="1252">
        <f>IF(AND(IF(INDEX(capBusAEmp3Utiliz,xxIndexTeam)&gt;100%,TRUE,FALSE),IF(INDEX(capBusAEmp3Utiliz,xxIndexTeam)&lt;=110%,TRUE,FALSE)),1/200,0)</f>
        <v>0</v>
      </c>
      <c r="M47" s="1252" t="s">
        <v>4651</v>
      </c>
      <c r="N47" s="1252">
        <f>IF(AND(IF(INDEX(capBusAEmp4Utiliz,xxIndexTeam)&gt;100%,TRUE,FALSE),IF(INDEX(capBusAEmp4Utiliz,xxIndexTeam)&lt;=110%,TRUE,FALSE)),1/200,0)</f>
        <v>0</v>
      </c>
    </row>
    <row r="48" spans="2:14" ht="11.25">
      <c r="E48" s="1252" t="s">
        <v>4663</v>
      </c>
      <c r="F48" s="1252">
        <f>IF(AND(IF(INDEX(capBusAEmp2Utiliz,xxIndexTeam)&gt;100%,TRUE,FALSE),IF(INDEX(capBusAEmp2Utiliz,xxIndexTeam)&lt;=110%,TRUE,FALSE)),1/40,0)</f>
        <v>0</v>
      </c>
      <c r="I48" s="1252" t="s">
        <v>4663</v>
      </c>
      <c r="J48" s="1252">
        <f>IF(AND(IF(INDEX(capBusAEmp3Utiliz,xxIndexTeam)&gt;100%,TRUE,FALSE),IF(INDEX(capBusAEmp3Utiliz,xxIndexTeam)&lt;=110%,TRUE,FALSE)),1/40,0)</f>
        <v>0</v>
      </c>
      <c r="M48" s="1252" t="s">
        <v>4663</v>
      </c>
      <c r="N48" s="1252">
        <f>IF(AND(IF(INDEX(capBusAEmp4Utiliz,xxIndexTeam)&gt;100%,TRUE,FALSE),IF(INDEX(capBusAEmp4Utiliz,xxIndexTeam)&lt;=110%,TRUE,FALSE)),1/40,0)</f>
        <v>0</v>
      </c>
    </row>
    <row r="49" spans="1:18" ht="11.25">
      <c r="E49" s="1252" t="s">
        <v>4652</v>
      </c>
      <c r="F49" s="1252">
        <v>0.5</v>
      </c>
      <c r="I49" s="1252" t="s">
        <v>4652</v>
      </c>
      <c r="J49" s="1252">
        <v>0.5</v>
      </c>
      <c r="M49" s="1252" t="s">
        <v>4652</v>
      </c>
      <c r="N49" s="1252">
        <v>0.5</v>
      </c>
    </row>
    <row r="50" spans="1:18" ht="11.25"/>
    <row r="51" spans="1:18" s="872" customFormat="1" ht="15">
      <c r="A51" s="872" t="s">
        <v>4667</v>
      </c>
    </row>
    <row r="52" spans="1:18" ht="11.25"/>
    <row r="53" spans="1:18" ht="11.25"/>
    <row r="54" spans="1:18" ht="11.25"/>
    <row r="55" spans="1:18" ht="11.25"/>
    <row r="56" spans="1:18" ht="11.25"/>
    <row r="57" spans="1:18" ht="11.25"/>
    <row r="58" spans="1:18" ht="11.25"/>
    <row r="59" spans="1:18" ht="11.25"/>
    <row r="60" spans="1:18" ht="11.25"/>
    <row r="61" spans="1:18" ht="11.25"/>
    <row r="62" spans="1:18" ht="11.25"/>
    <row r="63" spans="1:18">
      <c r="E63" s="1255" t="s">
        <v>4669</v>
      </c>
      <c r="F63" s="1257"/>
      <c r="I63" s="1255" t="s">
        <v>4665</v>
      </c>
      <c r="J63" s="1257"/>
      <c r="M63" s="1255" t="s">
        <v>4666</v>
      </c>
      <c r="N63" s="1257"/>
      <c r="Q63" s="1255" t="s">
        <v>4668</v>
      </c>
      <c r="R63" s="1257"/>
    </row>
    <row r="64" spans="1:18" ht="11.25">
      <c r="E64" s="1252" t="s">
        <v>4653</v>
      </c>
      <c r="F64" s="1252">
        <f>IF(AND(IF(INDEX(capBusAEmp7Utiliz,xxIndexTeam)&gt;0%,TRUE,FALSE),IF(INDEX(capBusAEmp7Utiliz,xxIndexTeam)&lt;10%,TRUE,FALSE)),1/40,1/20)</f>
        <v>0.05</v>
      </c>
      <c r="I64" s="1252" t="s">
        <v>4653</v>
      </c>
      <c r="J64" s="1252">
        <f>IF(AND(IF(INDEX(capBusAEmp8Utiliz,xxIndexTeam)&gt;0%,TRUE,FALSE),IF(INDEX(capBusAEmp8Utiliz,xxIndexTeam)&lt;10%,TRUE,FALSE)),1/40,1/20)</f>
        <v>0.05</v>
      </c>
      <c r="M64" s="1252" t="s">
        <v>4653</v>
      </c>
      <c r="N64" s="1252">
        <f>IF(AND(IF(INDEX(capBusAEmp9Utiliz,xxIndexTeam)&gt;0%,TRUE,FALSE),IF(INDEX(capBusAEmp9Utiliz,xxIndexTeam)&lt;10%,TRUE,FALSE)),1/40,1/20)</f>
        <v>0.05</v>
      </c>
      <c r="Q64" s="1252" t="s">
        <v>4653</v>
      </c>
      <c r="R64" s="1252">
        <f>IF(AND(IF(INDEX(capBusARiskUtiliz,xxIndexTeam)&gt;0%,TRUE,FALSE),IF(INDEX(capBusARiskUtiliz,xxIndexTeam)&lt;10%,TRUE,FALSE)),1/40,1/20)</f>
        <v>0.05</v>
      </c>
    </row>
    <row r="65" spans="5:18" ht="11.25">
      <c r="E65" s="1252" t="s">
        <v>4651</v>
      </c>
      <c r="F65" s="1252">
        <f>IF(AND(IF(INDEX(capBusAEmp7Utiliz,xxIndexTeam)&gt;0%,TRUE,FALSE),IF(INDEX(capBusAEmp7Utiliz,xxIndexTeam)&lt;=10%,TRUE,FALSE)),1/200,0)</f>
        <v>0</v>
      </c>
      <c r="I65" s="1252" t="s">
        <v>4651</v>
      </c>
      <c r="J65" s="1252">
        <f>IF(AND(IF(INDEX(capBusAEmp8Utiliz,xxIndexTeam)&gt;0%,TRUE,FALSE),IF(INDEX(capBusAEmp8Utiliz,xxIndexTeam)&lt;=10%,TRUE,FALSE)),1/200,0)</f>
        <v>0</v>
      </c>
      <c r="M65" s="1252" t="s">
        <v>4651</v>
      </c>
      <c r="N65" s="1252">
        <f>IF(AND(IF(INDEX(capBusAEmp9Utiliz,xxIndexTeam)&gt;0%,TRUE,FALSE),IF(INDEX(capBusAEmp9Utiliz,xxIndexTeam)&lt;=10%,TRUE,FALSE)),1/200,0)</f>
        <v>0</v>
      </c>
      <c r="Q65" s="1252" t="s">
        <v>4651</v>
      </c>
      <c r="R65" s="1252">
        <f>IF(AND(IF(INDEX(capBusARiskUtiliz,xxIndexTeam)&gt;0%,TRUE,FALSE),IF(INDEX(capBusARiskUtiliz,xxIndexTeam)&lt;=10%,TRUE,FALSE)),1/200,0)</f>
        <v>0</v>
      </c>
    </row>
    <row r="66" spans="5:18" ht="11.25">
      <c r="E66" s="1253" t="s">
        <v>4653</v>
      </c>
      <c r="F66" s="1252">
        <f>IF(AND(IF(INDEX(capBusAEmp7Utiliz,xxIndexTeam)&gt;0%,TRUE,FALSE),IF(INDEX(capBusAEmp7Utiliz,xxIndexTeam)&lt;=10%,TRUE,FALSE)),1/40,0)</f>
        <v>0</v>
      </c>
      <c r="I66" s="1253" t="s">
        <v>4653</v>
      </c>
      <c r="J66" s="1252">
        <f>IF(AND(IF(INDEX(capBusAEmp8Utiliz,xxIndexTeam)&gt;0%,TRUE,FALSE),IF(INDEX(capBusAEmp8Utiliz,xxIndexTeam)&lt;=10%,TRUE,FALSE)),1/40,0)</f>
        <v>0</v>
      </c>
      <c r="M66" s="1253" t="s">
        <v>4653</v>
      </c>
      <c r="N66" s="1252">
        <f>IF(AND(IF(INDEX(capBusAEmp9Utiliz,xxIndexTeam)&gt;0%,TRUE,FALSE),IF(INDEX(capBusAEmp9Utiliz,xxIndexTeam)&lt;=10%,TRUE,FALSE)),1/40,0)</f>
        <v>0</v>
      </c>
      <c r="Q66" s="1253" t="s">
        <v>4653</v>
      </c>
      <c r="R66" s="1252">
        <f>IF(AND(IF(INDEX(capBusARiskUtiliz,xxIndexTeam)&gt;0%,TRUE,FALSE),IF(INDEX(capBusARiskUtiliz,xxIndexTeam)&lt;=10%,TRUE,FALSE)),1/40,0)</f>
        <v>0</v>
      </c>
    </row>
    <row r="67" spans="5:18" ht="11.25">
      <c r="E67" s="1254" t="s">
        <v>4654</v>
      </c>
      <c r="F67" s="1252">
        <f>IF(AND(IF(INDEX(capBusAEmp7Utiliz,xxIndexTeam)&gt;10%,TRUE,FALSE),IF(INDEX(capBusAEmp7Utiliz,xxIndexTeam)&lt;20,TRUE,FALSE)),1/40,1/20)</f>
        <v>2.5000000000000001E-2</v>
      </c>
      <c r="I67" s="1254" t="s">
        <v>4654</v>
      </c>
      <c r="J67" s="1252">
        <f>IF(AND(IF(INDEX(capBusAEmp8Utiliz,xxIndexTeam)&gt;10%,TRUE,FALSE),IF(INDEX(capBusAEmp8Utiliz,xxIndexTeam)&lt;20,TRUE,FALSE)),1/40,1/20)</f>
        <v>2.5000000000000001E-2</v>
      </c>
      <c r="M67" s="1254" t="s">
        <v>4654</v>
      </c>
      <c r="N67" s="1252">
        <f>IF(AND(IF(INDEX(capBusAEmp9Utiliz,xxIndexTeam)&gt;10%,TRUE,FALSE),IF(INDEX(capBusAEmp9Utiliz,xxIndexTeam)&lt;20,TRUE,FALSE)),1/40,1/20)</f>
        <v>2.5000000000000001E-2</v>
      </c>
      <c r="Q67" s="1254" t="s">
        <v>4654</v>
      </c>
      <c r="R67" s="1252">
        <f>IF(AND(IF(INDEX(capBusARiskUtiliz,xxIndexTeam)&gt;10%,TRUE,FALSE),IF(INDEX(capBusARiskUtiliz,xxIndexTeam)&lt;20,TRUE,FALSE)),1/40,1/20)</f>
        <v>2.5000000000000001E-2</v>
      </c>
    </row>
    <row r="68" spans="5:18" ht="11.25">
      <c r="E68" s="1252" t="s">
        <v>4651</v>
      </c>
      <c r="F68" s="1252">
        <f>IF(AND(IF(INDEX(capBusAEmp7Utiliz,xxIndexTeam)&gt;10%,TRUE,FALSE),IF(INDEX(capBusAEmp7Utiliz,xxIndexTeam)&lt;=20%,TRUE,FALSE)),1/200,0)</f>
        <v>0</v>
      </c>
      <c r="I68" s="1252" t="s">
        <v>4651</v>
      </c>
      <c r="J68" s="1252">
        <f>IF(AND(IF(INDEX(capBusAEmp8Utiliz,xxIndexTeam)&gt;10%,TRUE,FALSE),IF(INDEX(capBusAEmp8Utiliz,xxIndexTeam)&lt;=20%,TRUE,FALSE)),1/200,0)</f>
        <v>0</v>
      </c>
      <c r="M68" s="1252" t="s">
        <v>4651</v>
      </c>
      <c r="N68" s="1252">
        <f>IF(AND(IF(INDEX(capBusAEmp9Utiliz,xxIndexTeam)&gt;10%,TRUE,FALSE),IF(INDEX(capBusAEmp9Utiliz,xxIndexTeam)&lt;=20%,TRUE,FALSE)),1/200,0)</f>
        <v>0</v>
      </c>
      <c r="Q68" s="1252" t="s">
        <v>4651</v>
      </c>
      <c r="R68" s="1252">
        <f>IF(AND(IF(INDEX(capBusARiskUtiliz,xxIndexTeam)&gt;10%,TRUE,FALSE),IF(INDEX(capBusARiskUtiliz,xxIndexTeam)&lt;=20%,TRUE,FALSE)),1/200,0)</f>
        <v>0</v>
      </c>
    </row>
    <row r="69" spans="5:18" ht="11.25">
      <c r="E69" s="1254" t="s">
        <v>4654</v>
      </c>
      <c r="F69" s="1252">
        <f>IF(AND(IF(INDEX(capBusAEmp7Utiliz,xxIndexTeam)&gt;10%,TRUE,FALSE),IF(INDEX(capBusAEmp7Utiliz,xxIndexTeam)&lt;=20%,TRUE,FALSE)),1/40,0)</f>
        <v>0</v>
      </c>
      <c r="I69" s="1254" t="s">
        <v>4654</v>
      </c>
      <c r="J69" s="1252">
        <f>IF(AND(IF(INDEX(capBusAEmp8Utiliz,xxIndexTeam)&gt;10%,TRUE,FALSE),IF(INDEX(capBusAEmp8Utiliz,xxIndexTeam)&lt;=20%,TRUE,FALSE)),1/40,0)</f>
        <v>0</v>
      </c>
      <c r="M69" s="1254" t="s">
        <v>4654</v>
      </c>
      <c r="N69" s="1252">
        <f>IF(AND(IF(INDEX(capBusAEmp9Utiliz,xxIndexTeam)&gt;10%,TRUE,FALSE),IF(INDEX(capBusAEmp9Utiliz,xxIndexTeam)&lt;=20%,TRUE,FALSE)),1/40,0)</f>
        <v>0</v>
      </c>
      <c r="Q69" s="1254" t="s">
        <v>4654</v>
      </c>
      <c r="R69" s="1252">
        <f>IF(AND(IF(INDEX(capBusARiskUtiliz,xxIndexTeam)&gt;10%,TRUE,FALSE),IF(INDEX(capBusARiskUtiliz,xxIndexTeam)&lt;=20%,TRUE,FALSE)),1/40,0)</f>
        <v>0</v>
      </c>
    </row>
    <row r="70" spans="5:18" ht="11.25">
      <c r="E70" s="1252" t="s">
        <v>4655</v>
      </c>
      <c r="F70" s="1252">
        <f>IF(AND(IF(INDEX(capBusAEmp7Utiliz,xxIndexTeam)&gt;20%,TRUE,FALSE),IF(INDEX(capBusAEmp7Utiliz,xxIndexTeam)&lt;30%,TRUE,FALSE)),1/40,1/20)</f>
        <v>0.05</v>
      </c>
      <c r="I70" s="1252" t="s">
        <v>4655</v>
      </c>
      <c r="J70" s="1252">
        <f>IF(AND(IF(INDEX(capBusAEmp8Utiliz,xxIndexTeam)&gt;20%,TRUE,FALSE),IF(INDEX(capBusAEmp8Utiliz,xxIndexTeam)&lt;30%,TRUE,FALSE)),1/40,1/20)</f>
        <v>0.05</v>
      </c>
      <c r="M70" s="1252" t="s">
        <v>4655</v>
      </c>
      <c r="N70" s="1252">
        <f>IF(AND(IF(INDEX(capBusAEmp9Utiliz,xxIndexTeam)&gt;20%,TRUE,FALSE),IF(INDEX(capBusAEmp9Utiliz,xxIndexTeam)&lt;30%,TRUE,FALSE)),1/40,1/20)</f>
        <v>0.05</v>
      </c>
      <c r="Q70" s="1252" t="s">
        <v>4655</v>
      </c>
      <c r="R70" s="1252">
        <f>IF(AND(IF(INDEX(capBusARiskUtiliz,xxIndexTeam)&gt;20%,TRUE,FALSE),IF(INDEX(capBusARiskUtiliz,xxIndexTeam)&lt;30%,TRUE,FALSE)),1/40,1/20)</f>
        <v>0.05</v>
      </c>
    </row>
    <row r="71" spans="5:18" ht="11.25">
      <c r="E71" s="1252" t="s">
        <v>4651</v>
      </c>
      <c r="F71" s="1252">
        <f>IF(AND(IF(INDEX(capBusAEmp7Utiliz,xxIndexTeam)&gt;20%,TRUE,FALSE),IF(INDEX(capBusAEmp7Utiliz,xxIndexTeam)&lt;=30%,TRUE,FALSE)),1/200,0)</f>
        <v>0</v>
      </c>
      <c r="I71" s="1252" t="s">
        <v>4651</v>
      </c>
      <c r="J71" s="1252">
        <f>IF(AND(IF(INDEX(capBusAEmp8Utiliz,xxIndexTeam)&gt;20%,TRUE,FALSE),IF(INDEX(capBusAEmp8Utiliz,xxIndexTeam)&lt;=30%,TRUE,FALSE)),1/200,0)</f>
        <v>0</v>
      </c>
      <c r="M71" s="1252" t="s">
        <v>4651</v>
      </c>
      <c r="N71" s="1252">
        <f>IF(AND(IF(INDEX(capBusAEmp9Utiliz,xxIndexTeam)&gt;20%,TRUE,FALSE),IF(INDEX(capBusAEmp9Utiliz,xxIndexTeam)&lt;=30%,TRUE,FALSE)),1/200,0)</f>
        <v>0</v>
      </c>
      <c r="Q71" s="1252" t="s">
        <v>4651</v>
      </c>
      <c r="R71" s="1252">
        <f>IF(AND(IF(INDEX(capBusARiskUtiliz,xxIndexTeam)&gt;20%,TRUE,FALSE),IF(INDEX(capBusARiskUtiliz,xxIndexTeam)&lt;=30%,TRUE,FALSE)),1/200,0)</f>
        <v>0</v>
      </c>
    </row>
    <row r="72" spans="5:18" ht="11.25">
      <c r="E72" s="1252" t="s">
        <v>4655</v>
      </c>
      <c r="F72" s="1252">
        <f>IF(AND(IF(INDEX(capBusAEmp7Utiliz,xxIndexTeam)&gt;20%,TRUE,FALSE),IF(INDEX(capBusAEmp7Utiliz,xxIndexTeam)&lt;=30%,TRUE,FALSE)),1/40,0)</f>
        <v>0</v>
      </c>
      <c r="I72" s="1252" t="s">
        <v>4655</v>
      </c>
      <c r="J72" s="1252">
        <f>IF(AND(IF(INDEX(capBusAEmp8Utiliz,xxIndexTeam)&gt;20%,TRUE,FALSE),IF(INDEX(capBusAEmp8Utiliz,xxIndexTeam)&lt;=30%,TRUE,FALSE)),1/40,0)</f>
        <v>0</v>
      </c>
      <c r="M72" s="1252" t="s">
        <v>4655</v>
      </c>
      <c r="N72" s="1252">
        <f>IF(AND(IF(INDEX(capBusAEmp9Utiliz,xxIndexTeam)&gt;20%,TRUE,FALSE),IF(INDEX(capBusAEmp9Utiliz,xxIndexTeam)&lt;=30%,TRUE,FALSE)),1/40,0)</f>
        <v>0</v>
      </c>
      <c r="Q72" s="1252" t="s">
        <v>4655</v>
      </c>
      <c r="R72" s="1252">
        <f>IF(AND(IF(INDEX(capBusARiskUtiliz,xxIndexTeam)&gt;20%,TRUE,FALSE),IF(INDEX(capBusARiskUtiliz,xxIndexTeam)&lt;=30%,TRUE,FALSE)),1/40,0)</f>
        <v>0</v>
      </c>
    </row>
    <row r="73" spans="5:18" ht="11.25">
      <c r="E73" s="1252" t="s">
        <v>4656</v>
      </c>
      <c r="F73" s="1252">
        <f>IF(AND(IF(INDEX(capBusAEmp7Utiliz,xxIndexTeam)&gt;30%,TRUE,FALSE),IF(INDEX(capBusAEmp7Utiliz,xxIndexTeam)&lt;40%,TRUE,FALSE)),1/40,1/20)</f>
        <v>0.05</v>
      </c>
      <c r="I73" s="1252" t="s">
        <v>4656</v>
      </c>
      <c r="J73" s="1252">
        <f>IF(AND(IF(INDEX(capBusAEmp8Utiliz,xxIndexTeam)&gt;30%,TRUE,FALSE),IF(INDEX(capBusAEmp8Utiliz,xxIndexTeam)&lt;40%,TRUE,FALSE)),1/40,1/20)</f>
        <v>0.05</v>
      </c>
      <c r="M73" s="1252" t="s">
        <v>4656</v>
      </c>
      <c r="N73" s="1252">
        <f>IF(AND(IF(INDEX(capBusAEmp9Utiliz,xxIndexTeam)&gt;30%,TRUE,FALSE),IF(INDEX(capBusAEmp9Utiliz,xxIndexTeam)&lt;40%,TRUE,FALSE)),1/40,1/20)</f>
        <v>0.05</v>
      </c>
      <c r="Q73" s="1252" t="s">
        <v>4656</v>
      </c>
      <c r="R73" s="1252">
        <f>IF(AND(IF(INDEX(capBusARiskUtiliz,xxIndexTeam)&gt;30%,TRUE,FALSE),IF(INDEX(capBusARiskUtiliz,xxIndexTeam)&lt;40%,TRUE,FALSE)),1/40,1/20)</f>
        <v>0.05</v>
      </c>
    </row>
    <row r="74" spans="5:18" ht="11.25">
      <c r="E74" s="1252" t="s">
        <v>4651</v>
      </c>
      <c r="F74" s="1252">
        <f>IF(AND(IF(INDEX(capBusAEmp7Utiliz,xxIndexTeam)&gt;30%,TRUE,FALSE),IF(INDEX(capBusAEmp7Utiliz,xxIndexTeam)&lt;=40%,TRUE,FALSE)),1/200,0)</f>
        <v>0</v>
      </c>
      <c r="I74" s="1252" t="s">
        <v>4651</v>
      </c>
      <c r="J74" s="1252">
        <f>IF(AND(IF(INDEX(capBusAEmp8Utiliz,xxIndexTeam)&gt;30%,TRUE,FALSE),IF(INDEX(capBusAEmp8Utiliz,xxIndexTeam)&lt;=40%,TRUE,FALSE)),1/200,0)</f>
        <v>0</v>
      </c>
      <c r="M74" s="1252" t="s">
        <v>4651</v>
      </c>
      <c r="N74" s="1252">
        <f>IF(AND(IF(INDEX(capBusAEmp9Utiliz,xxIndexTeam)&gt;30%,TRUE,FALSE),IF(INDEX(capBusAEmp9Utiliz,xxIndexTeam)&lt;=40%,TRUE,FALSE)),1/200,0)</f>
        <v>0</v>
      </c>
      <c r="Q74" s="1252" t="s">
        <v>4651</v>
      </c>
      <c r="R74" s="1252">
        <f>IF(AND(IF(INDEX(capBusARiskUtiliz,xxIndexTeam)&gt;30%,TRUE,FALSE),IF(INDEX(capBusARiskUtiliz,xxIndexTeam)&lt;=40%,TRUE,FALSE)),1/200,0)</f>
        <v>0</v>
      </c>
    </row>
    <row r="75" spans="5:18" ht="11.25">
      <c r="E75" s="1252" t="s">
        <v>4656</v>
      </c>
      <c r="F75" s="1252">
        <f>IF(AND(IF(INDEX(capBusAEmp7Utiliz,xxIndexTeam)&gt;30%,TRUE,FALSE),IF(INDEX(capBusAEmp7Utiliz,xxIndexTeam)&lt;=40%,TRUE,FALSE)),1/40,0)</f>
        <v>0</v>
      </c>
      <c r="I75" s="1252" t="s">
        <v>4656</v>
      </c>
      <c r="J75" s="1252">
        <f>IF(AND(IF(INDEX(capBusAEmp8Utiliz,xxIndexTeam)&gt;30%,TRUE,FALSE),IF(INDEX(capBusAEmp8Utiliz,xxIndexTeam)&lt;=40%,TRUE,FALSE)),1/40,0)</f>
        <v>0</v>
      </c>
      <c r="M75" s="1252" t="s">
        <v>4656</v>
      </c>
      <c r="N75" s="1252">
        <f>IF(AND(IF(INDEX(capBusAEmp9Utiliz,xxIndexTeam)&gt;30%,TRUE,FALSE),IF(INDEX(capBusAEmp9Utiliz,xxIndexTeam)&lt;=40%,TRUE,FALSE)),1/40,0)</f>
        <v>0</v>
      </c>
      <c r="Q75" s="1252" t="s">
        <v>4656</v>
      </c>
      <c r="R75" s="1252">
        <f>IF(AND(IF(INDEX(capBusARiskUtiliz,xxIndexTeam)&gt;30%,TRUE,FALSE),IF(INDEX(capBusARiskUtiliz,xxIndexTeam)&lt;=40%,TRUE,FALSE)),1/40,0)</f>
        <v>0</v>
      </c>
    </row>
    <row r="76" spans="5:18" ht="11.25">
      <c r="E76" s="1252" t="s">
        <v>4657</v>
      </c>
      <c r="F76" s="1252">
        <f>IF(AND(IF(INDEX(capBusAEmp7Utiliz,xxIndexTeam)&gt;40%,TRUE,FALSE),IF(INDEX(capBusAEmp7Utiliz,xxIndexTeam)&lt;50%,TRUE,FALSE)),1/40,1/20)</f>
        <v>0.05</v>
      </c>
      <c r="I76" s="1252" t="s">
        <v>4657</v>
      </c>
      <c r="J76" s="1252">
        <f>IF(AND(IF(INDEX(capBusAEmp8Utiliz,xxIndexTeam)&gt;40%,TRUE,FALSE),IF(INDEX(capBusAEmp8Utiliz,xxIndexTeam)&lt;50%,TRUE,FALSE)),1/40,1/20)</f>
        <v>0.05</v>
      </c>
      <c r="M76" s="1252" t="s">
        <v>4657</v>
      </c>
      <c r="N76" s="1252">
        <f>IF(AND(IF(INDEX(capBusAEmp9Utiliz,xxIndexTeam)&gt;40%,TRUE,FALSE),IF(INDEX(capBusAEmp9Utiliz,xxIndexTeam)&lt;50%,TRUE,FALSE)),1/40,1/20)</f>
        <v>0.05</v>
      </c>
      <c r="Q76" s="1252" t="s">
        <v>4657</v>
      </c>
      <c r="R76" s="1252">
        <f>IF(AND(IF(INDEX(capBusARiskUtiliz,xxIndexTeam)&gt;40%,TRUE,FALSE),IF(INDEX(capBusARiskUtiliz,xxIndexTeam)&lt;50%,TRUE,FALSE)),1/40,1/20)</f>
        <v>2.5000000000000001E-2</v>
      </c>
    </row>
    <row r="77" spans="5:18" ht="11.25">
      <c r="E77" s="1252" t="s">
        <v>4651</v>
      </c>
      <c r="F77" s="1252">
        <f>IF(AND(IF(INDEX(capBusAEmp7Utiliz,xxIndexTeam)&gt;40%,TRUE,FALSE),IF(INDEX(capBusAEmp7Utiliz,xxIndexTeam)&lt;=50%,TRUE,FALSE)),1/200,0)</f>
        <v>0</v>
      </c>
      <c r="I77" s="1252" t="s">
        <v>4651</v>
      </c>
      <c r="J77" s="1252">
        <f>IF(AND(IF(INDEX(capBusAEmp8Utiliz,xxIndexTeam)&gt;40%,TRUE,FALSE),IF(INDEX(capBusAEmp8Utiliz,xxIndexTeam)&lt;=50%,TRUE,FALSE)),1/200,0)</f>
        <v>0</v>
      </c>
      <c r="M77" s="1252" t="s">
        <v>4651</v>
      </c>
      <c r="N77" s="1252">
        <f>IF(AND(IF(INDEX(capBusAEmp9Utiliz,xxIndexTeam)&gt;40%,TRUE,FALSE),IF(INDEX(capBusAEmp9Utiliz,xxIndexTeam)&lt;=50%,TRUE,FALSE)),1/200,0)</f>
        <v>0</v>
      </c>
      <c r="Q77" s="1252" t="s">
        <v>4651</v>
      </c>
      <c r="R77" s="1252">
        <f>IF(AND(IF(INDEX(capBusARiskUtiliz,xxIndexTeam)&gt;40%,TRUE,FALSE),IF(INDEX(capBusARiskUtiliz,xxIndexTeam)&lt;=50%,TRUE,FALSE)),1/200,0)</f>
        <v>5.0000000000000001E-3</v>
      </c>
    </row>
    <row r="78" spans="5:18" ht="11.25">
      <c r="E78" s="1252" t="s">
        <v>4657</v>
      </c>
      <c r="F78" s="1252">
        <f>IF(AND(IF(INDEX(capBusAEmp7Utiliz,xxIndexTeam)&gt;40%,TRUE,FALSE),IF(INDEX(capBusAEmp7Utiliz,xxIndexTeam)&lt;=50%,TRUE,FALSE)),1/40,0)</f>
        <v>0</v>
      </c>
      <c r="I78" s="1252" t="s">
        <v>4657</v>
      </c>
      <c r="J78" s="1252">
        <f>IF(AND(IF(INDEX(capBusAEmp8Utiliz,xxIndexTeam)&gt;40%,TRUE,FALSE),IF(INDEX(capBusAEmp8Utiliz,xxIndexTeam)&lt;=50%,TRUE,FALSE)),1/40,0)</f>
        <v>0</v>
      </c>
      <c r="M78" s="1252" t="s">
        <v>4657</v>
      </c>
      <c r="N78" s="1252">
        <f>IF(AND(IF(INDEX(capBusAEmp9Utiliz,xxIndexTeam)&gt;40%,TRUE,FALSE),IF(INDEX(capBusAEmp9Utiliz,xxIndexTeam)&lt;=50%,TRUE,FALSE)),1/40,0)</f>
        <v>0</v>
      </c>
      <c r="Q78" s="1252" t="s">
        <v>4657</v>
      </c>
      <c r="R78" s="1252">
        <f>IF(AND(IF(INDEX(capBusARiskUtiliz,xxIndexTeam)&gt;40%,TRUE,FALSE),IF(INDEX(capBusARiskUtiliz,xxIndexTeam)&lt;=50%,TRUE,FALSE)),1/40,0)</f>
        <v>2.5000000000000001E-2</v>
      </c>
    </row>
    <row r="79" spans="5:18" ht="11.25">
      <c r="E79" s="1252" t="s">
        <v>4658</v>
      </c>
      <c r="F79" s="1252">
        <f>IF(AND(IF(INDEX(capBusAEmp7Utiliz,xxIndexTeam)&gt;50%,TRUE,FALSE),IF(INDEX(capBusAEmp7Utiliz,xxIndexTeam)&lt;60%,TRUE,FALSE)),1/40,1/20)</f>
        <v>0.05</v>
      </c>
      <c r="I79" s="1252" t="s">
        <v>4658</v>
      </c>
      <c r="J79" s="1252">
        <f>IF(AND(IF(INDEX(capBusAEmp8Utiliz,xxIndexTeam)&gt;50%,TRUE,FALSE),IF(INDEX(capBusAEmp8Utiliz,xxIndexTeam)&lt;60%,TRUE,FALSE)),1/40,1/20)</f>
        <v>0.05</v>
      </c>
      <c r="M79" s="1252" t="s">
        <v>4658</v>
      </c>
      <c r="N79" s="1252">
        <f>IF(AND(IF(INDEX(capBusAEmp9Utiliz,xxIndexTeam)&gt;50%,TRUE,FALSE),IF(INDEX(capBusAEmp9Utiliz,xxIndexTeam)&lt;60%,TRUE,FALSE)),1/40,1/20)</f>
        <v>2.5000000000000001E-2</v>
      </c>
      <c r="Q79" s="1252" t="s">
        <v>4658</v>
      </c>
      <c r="R79" s="1252">
        <f>IF(AND(IF(INDEX(capBusARiskUtiliz,xxIndexTeam)&gt;50%,TRUE,FALSE),IF(INDEX(capBusARiskUtiliz,xxIndexTeam)&lt;60%,TRUE,FALSE)),1/40,1/20)</f>
        <v>0.05</v>
      </c>
    </row>
    <row r="80" spans="5:18" ht="11.25">
      <c r="E80" s="1252" t="s">
        <v>4651</v>
      </c>
      <c r="F80" s="1252">
        <f>IF(AND(IF(INDEX(capBusAEmp7Utiliz,xxIndexTeam)&gt;50%,TRUE,FALSE),IF(INDEX(capBusAEmp7Utiliz,xxIndexTeam)&lt;=60%,TRUE,FALSE)),1/200,0)</f>
        <v>0</v>
      </c>
      <c r="I80" s="1252" t="s">
        <v>4651</v>
      </c>
      <c r="J80" s="1252">
        <f>IF(AND(IF(INDEX(capBusAEmp8Utiliz,xxIndexTeam)&gt;50%,TRUE,FALSE),IF(INDEX(capBusAEmp8Utiliz,xxIndexTeam)&lt;=60%,TRUE,FALSE)),1/200,0)</f>
        <v>0</v>
      </c>
      <c r="M80" s="1252" t="s">
        <v>4651</v>
      </c>
      <c r="N80" s="1252">
        <f>IF(AND(IF(INDEX(capBusAEmp9Utiliz,xxIndexTeam)&gt;50%,TRUE,FALSE),IF(INDEX(capBusAEmp9Utiliz,xxIndexTeam)&lt;=60%,TRUE,FALSE)),1/200,0)</f>
        <v>5.0000000000000001E-3</v>
      </c>
      <c r="Q80" s="1252" t="s">
        <v>4651</v>
      </c>
      <c r="R80" s="1252">
        <f>IF(AND(IF(INDEX(capBusARiskUtiliz,xxIndexTeam)&gt;50%,TRUE,FALSE),IF(INDEX(capBusARiskUtiliz,xxIndexTeam)&lt;=60%,TRUE,FALSE)),1/200,0)</f>
        <v>0</v>
      </c>
    </row>
    <row r="81" spans="5:18" ht="11.25">
      <c r="E81" s="1252" t="s">
        <v>4658</v>
      </c>
      <c r="F81" s="1252">
        <f>IF(AND(IF(INDEX(capBusAEmp7Utiliz,xxIndexTeam)&gt;50%,TRUE,FALSE),IF(INDEX(capBusAEmp7Utiliz,xxIndexTeam)&lt;=60%,TRUE,FALSE)),1/40,0)</f>
        <v>0</v>
      </c>
      <c r="I81" s="1252" t="s">
        <v>4658</v>
      </c>
      <c r="J81" s="1252">
        <f>IF(AND(IF(INDEX(capBusAEmp8Utiliz,xxIndexTeam)&gt;50%,TRUE,FALSE),IF(INDEX(capBusAEmp8Utiliz,xxIndexTeam)&lt;=60%,TRUE,FALSE)),1/40,0)</f>
        <v>0</v>
      </c>
      <c r="M81" s="1252" t="s">
        <v>4658</v>
      </c>
      <c r="N81" s="1252">
        <f>IF(AND(IF(INDEX(capBusAEmp9Utiliz,xxIndexTeam)&gt;50%,TRUE,FALSE),IF(INDEX(capBusAEmp9Utiliz,xxIndexTeam)&lt;=60%,TRUE,FALSE)),1/40,0)</f>
        <v>2.5000000000000001E-2</v>
      </c>
      <c r="Q81" s="1252" t="s">
        <v>4658</v>
      </c>
      <c r="R81" s="1252">
        <f>IF(AND(IF(INDEX(capBusARiskUtiliz,xxIndexTeam)&gt;50%,TRUE,FALSE),IF(INDEX(capBusARiskUtiliz,xxIndexTeam)&lt;=60%,TRUE,FALSE)),1/40,0)</f>
        <v>0</v>
      </c>
    </row>
    <row r="82" spans="5:18" ht="11.25">
      <c r="E82" s="1252" t="s">
        <v>4659</v>
      </c>
      <c r="F82" s="1252">
        <f>IF(AND(IF(INDEX(capBusAEmp7Utiliz,xxIndexTeam)&gt;60%,TRUE,FALSE),IF(INDEX(capBusAEmp7Utiliz,xxIndexTeam)&lt;70%,TRUE,FALSE)),1/40,1/20)</f>
        <v>0.05</v>
      </c>
      <c r="I82" s="1252" t="s">
        <v>4659</v>
      </c>
      <c r="J82" s="1252">
        <f>IF(AND(IF(INDEX(capBusAEmp8Utiliz,xxIndexTeam)&gt;60%,TRUE,FALSE),IF(INDEX(capBusAEmp8Utiliz,xxIndexTeam)&lt;70%,TRUE,FALSE)),1/40,1/20)</f>
        <v>0.05</v>
      </c>
      <c r="M82" s="1252" t="s">
        <v>4659</v>
      </c>
      <c r="N82" s="1252">
        <f>IF(AND(IF(INDEX(capBusAEmp9Utiliz,xxIndexTeam)&gt;60%,TRUE,FALSE),IF(INDEX(capBusAEmp9Utiliz,xxIndexTeam)&lt;70%,TRUE,FALSE)),1/40,1/20)</f>
        <v>0.05</v>
      </c>
      <c r="Q82" s="1252" t="s">
        <v>4659</v>
      </c>
      <c r="R82" s="1252">
        <f>IF(AND(IF(INDEX(capBusARiskUtiliz,xxIndexTeam)&gt;60%,TRUE,FALSE),IF(INDEX(capBusARiskUtiliz,xxIndexTeam)&lt;70%,TRUE,FALSE)),1/40,1/20)</f>
        <v>0.05</v>
      </c>
    </row>
    <row r="83" spans="5:18" ht="11.25">
      <c r="E83" s="1252" t="s">
        <v>4651</v>
      </c>
      <c r="F83" s="1252">
        <f>IF(AND(IF(INDEX(capBusAEmp7Utiliz,xxIndexTeam)&gt;60%,TRUE,FALSE),IF(INDEX(capBusAEmp7Utiliz,xxIndexTeam)&lt;=70%,TRUE,FALSE)),1/200,0)</f>
        <v>0</v>
      </c>
      <c r="I83" s="1252" t="s">
        <v>4651</v>
      </c>
      <c r="J83" s="1252">
        <f>IF(AND(IF(INDEX(capBusAEmp8Utiliz,xxIndexTeam)&gt;60%,TRUE,FALSE),IF(INDEX(capBusAEmp8Utiliz,xxIndexTeam)&lt;=70%,TRUE,FALSE)),1/200,0)</f>
        <v>0</v>
      </c>
      <c r="M83" s="1252" t="s">
        <v>4651</v>
      </c>
      <c r="N83" s="1252">
        <f>IF(AND(IF(INDEX(capBusAEmp9Utiliz,xxIndexTeam)&gt;60%,TRUE,FALSE),IF(INDEX(capBusAEmp9Utiliz,xxIndexTeam)&lt;=70%,TRUE,FALSE)),1/200,0)</f>
        <v>0</v>
      </c>
      <c r="Q83" s="1252" t="s">
        <v>4651</v>
      </c>
      <c r="R83" s="1252">
        <f>IF(AND(IF(INDEX(capBusARiskUtiliz,xxIndexTeam)&gt;60%,TRUE,FALSE),IF(INDEX(capBusARiskUtiliz,xxIndexTeam)&lt;=70%,TRUE,FALSE)),1/200,0)</f>
        <v>0</v>
      </c>
    </row>
    <row r="84" spans="5:18" ht="11.25">
      <c r="E84" s="1252" t="s">
        <v>4659</v>
      </c>
      <c r="F84" s="1252">
        <f>IF(AND(IF(INDEX(capBusAEmp7Utiliz,xxIndexTeam)&gt;60%,TRUE,FALSE),IF(INDEX(capBusAEmp7Utiliz,xxIndexTeam)&lt;=70%,TRUE,FALSE)),1/40,0)</f>
        <v>0</v>
      </c>
      <c r="I84" s="1252" t="s">
        <v>4659</v>
      </c>
      <c r="J84" s="1252">
        <f>IF(AND(IF(INDEX(capBusAEmp8Utiliz,xxIndexTeam)&gt;60%,TRUE,FALSE),IF(INDEX(capBusAEmp8Utiliz,xxIndexTeam)&lt;=70%,TRUE,FALSE)),1/40,0)</f>
        <v>0</v>
      </c>
      <c r="M84" s="1252" t="s">
        <v>4659</v>
      </c>
      <c r="N84" s="1252">
        <f>IF(AND(IF(INDEX(capBusAEmp9Utiliz,xxIndexTeam)&gt;60%,TRUE,FALSE),IF(INDEX(capBusAEmp9Utiliz,xxIndexTeam)&lt;=70%,TRUE,FALSE)),1/40,0)</f>
        <v>0</v>
      </c>
      <c r="Q84" s="1252" t="s">
        <v>4659</v>
      </c>
      <c r="R84" s="1252">
        <f>IF(AND(IF(INDEX(capBusARiskUtiliz,xxIndexTeam)&gt;60%,TRUE,FALSE),IF(INDEX(capBusARiskUtiliz,xxIndexTeam)&lt;=70%,TRUE,FALSE)),1/40,0)</f>
        <v>0</v>
      </c>
    </row>
    <row r="85" spans="5:18" ht="11.25">
      <c r="E85" s="1252" t="s">
        <v>4660</v>
      </c>
      <c r="F85" s="1252">
        <f>IF(AND(IF(INDEX(capBusAEmp7Utiliz,xxIndexTeam)&gt;70%,TRUE,FALSE),IF(INDEX(capBusAEmp7Utiliz,xxIndexTeam)&lt;80%,TRUE,FALSE)),1/40,1/20)</f>
        <v>2.5000000000000001E-2</v>
      </c>
      <c r="I85" s="1252" t="s">
        <v>4660</v>
      </c>
      <c r="J85" s="1252">
        <f>IF(AND(IF(INDEX(capBusAEmp8Utiliz,xxIndexTeam)&gt;70%,TRUE,FALSE),IF(INDEX(capBusAEmp8Utiliz,xxIndexTeam)&lt;80%,TRUE,FALSE)),1/40,1/20)</f>
        <v>0.05</v>
      </c>
      <c r="M85" s="1252" t="s">
        <v>4660</v>
      </c>
      <c r="N85" s="1252">
        <f>IF(AND(IF(INDEX(capBusAEmp9Utiliz,xxIndexTeam)&gt;70%,TRUE,FALSE),IF(INDEX(capBusAEmp9Utiliz,xxIndexTeam)&lt;80%,TRUE,FALSE)),1/40,1/20)</f>
        <v>0.05</v>
      </c>
      <c r="Q85" s="1252" t="s">
        <v>4660</v>
      </c>
      <c r="R85" s="1252">
        <f>IF(AND(IF(INDEX(capBusARiskUtiliz,xxIndexTeam)&gt;70%,TRUE,FALSE),IF(INDEX(capBusARiskUtiliz,xxIndexTeam)&lt;80%,TRUE,FALSE)),1/40,1/20)</f>
        <v>0.05</v>
      </c>
    </row>
    <row r="86" spans="5:18" ht="11.25">
      <c r="E86" s="1252" t="s">
        <v>4651</v>
      </c>
      <c r="F86" s="1252">
        <f>IF(AND(IF(INDEX(capBusAEmp7Utiliz,xxIndexTeam)&gt;70%,TRUE,FALSE),IF(INDEX(capBusAEmp7Utiliz,xxIndexTeam)&lt;=80%,TRUE,FALSE)),1/200,0)</f>
        <v>5.0000000000000001E-3</v>
      </c>
      <c r="I86" s="1252" t="s">
        <v>4651</v>
      </c>
      <c r="J86" s="1252">
        <f>IF(AND(IF(INDEX(capBusAEmp8Utiliz,xxIndexTeam)&gt;70%,TRUE,FALSE),IF(INDEX(capBusAEmp8Utiliz,xxIndexTeam)&lt;=80%,TRUE,FALSE)),1/200,0)</f>
        <v>0</v>
      </c>
      <c r="M86" s="1252" t="s">
        <v>4651</v>
      </c>
      <c r="N86" s="1252">
        <f>IF(AND(IF(INDEX(capBusAEmp9Utiliz,xxIndexTeam)&gt;70%,TRUE,FALSE),IF(INDEX(capBusAEmp9Utiliz,xxIndexTeam)&lt;=80%,TRUE,FALSE)),1/200,0)</f>
        <v>0</v>
      </c>
      <c r="Q86" s="1252" t="s">
        <v>4651</v>
      </c>
      <c r="R86" s="1252">
        <f>IF(AND(IF(INDEX(capBusARiskUtiliz,xxIndexTeam)&gt;70%,TRUE,FALSE),IF(INDEX(capBusARiskUtiliz,xxIndexTeam)&lt;=80%,TRUE,FALSE)),1/200,0)</f>
        <v>0</v>
      </c>
    </row>
    <row r="87" spans="5:18" ht="11.25">
      <c r="E87" s="1252" t="s">
        <v>4660</v>
      </c>
      <c r="F87" s="1252">
        <f>IF(AND(IF(INDEX(capBusAEmp7Utiliz,xxIndexTeam)&gt;70%,TRUE,FALSE),IF(INDEX(capBusAEmp7Utiliz,xxIndexTeam)&lt;=80%,TRUE,FALSE)),1/40,0)</f>
        <v>2.5000000000000001E-2</v>
      </c>
      <c r="I87" s="1252" t="s">
        <v>4660</v>
      </c>
      <c r="J87" s="1252">
        <f>IF(AND(IF(INDEX(capBusAEmp8Utiliz,xxIndexTeam)&gt;70%,TRUE,FALSE),IF(INDEX(capBusAEmp8Utiliz,xxIndexTeam)&lt;=80%,TRUE,FALSE)),1/40,0)</f>
        <v>0</v>
      </c>
      <c r="M87" s="1252" t="s">
        <v>4660</v>
      </c>
      <c r="N87" s="1252">
        <f>IF(AND(IF(INDEX(capBusAEmp9Utiliz,xxIndexTeam)&gt;70%,TRUE,FALSE),IF(INDEX(capBusAEmp9Utiliz,xxIndexTeam)&lt;=80%,TRUE,FALSE)),1/40,0)</f>
        <v>0</v>
      </c>
      <c r="Q87" s="1252" t="s">
        <v>4660</v>
      </c>
      <c r="R87" s="1252">
        <f>IF(AND(IF(INDEX(capBusARiskUtiliz,xxIndexTeam)&gt;70%,TRUE,FALSE),IF(INDEX(capBusARiskUtiliz,xxIndexTeam)&lt;=80%,TRUE,FALSE)),1/40,0)</f>
        <v>0</v>
      </c>
    </row>
    <row r="88" spans="5:18" ht="11.25">
      <c r="E88" s="1252" t="s">
        <v>4661</v>
      </c>
      <c r="F88" s="1252">
        <f>IF(AND(IF(INDEX(capBusAEmp7Utiliz,xxIndexTeam)&gt;80%,TRUE,FALSE),IF(INDEX(capBusAEmp7Utiliz,xxIndexTeam)&lt;90%,TRUE,FALSE)),1/40,1/20)</f>
        <v>0.05</v>
      </c>
      <c r="I88" s="1252" t="s">
        <v>4661</v>
      </c>
      <c r="J88" s="1252">
        <f>IF(AND(IF(INDEX(capBusAEmp8Utiliz,xxIndexTeam)&gt;80%,TRUE,FALSE),IF(INDEX(capBusAEmp8Utiliz,xxIndexTeam)&lt;90%,TRUE,FALSE)),1/40,1/20)</f>
        <v>2.5000000000000001E-2</v>
      </c>
      <c r="M88" s="1252" t="s">
        <v>4661</v>
      </c>
      <c r="N88" s="1252">
        <f>IF(AND(IF(INDEX(capBusAEmp9Utiliz,xxIndexTeam)&gt;80%,TRUE,FALSE),IF(INDEX(capBusAEmp9Utiliz,xxIndexTeam)&lt;90%,TRUE,FALSE)),1/40,1/20)</f>
        <v>0.05</v>
      </c>
      <c r="Q88" s="1252" t="s">
        <v>4661</v>
      </c>
      <c r="R88" s="1252">
        <f>IF(AND(IF(INDEX(capBusARiskUtiliz,xxIndexTeam)&gt;80%,TRUE,FALSE),IF(INDEX(capBusARiskUtiliz,xxIndexTeam)&lt;90%,TRUE,FALSE)),1/40,1/20)</f>
        <v>0.05</v>
      </c>
    </row>
    <row r="89" spans="5:18" ht="11.25">
      <c r="E89" s="1252" t="s">
        <v>4651</v>
      </c>
      <c r="F89" s="1252">
        <f>IF(AND(IF(INDEX(capBusAEmp7Utiliz,xxIndexTeam)&gt;80%,TRUE,FALSE),IF(INDEX(capBusAEmp7Utiliz,xxIndexTeam)&lt;=90%,TRUE,FALSE)),1/200,0)</f>
        <v>0</v>
      </c>
      <c r="I89" s="1252" t="s">
        <v>4651</v>
      </c>
      <c r="J89" s="1252">
        <f>IF(AND(IF(INDEX(capBusAEmp8Utiliz,xxIndexTeam)&gt;80%,TRUE,FALSE),IF(INDEX(capBusAEmp8Utiliz,xxIndexTeam)&lt;=90%,TRUE,FALSE)),1/200,0)</f>
        <v>5.0000000000000001E-3</v>
      </c>
      <c r="M89" s="1252" t="s">
        <v>4651</v>
      </c>
      <c r="N89" s="1252">
        <f>IF(AND(IF(INDEX(capBusAEmp9Utiliz,xxIndexTeam)&gt;80%,TRUE,FALSE),IF(INDEX(capBusAEmp9Utiliz,xxIndexTeam)&lt;=90%,TRUE,FALSE)),1/200,0)</f>
        <v>0</v>
      </c>
      <c r="Q89" s="1252" t="s">
        <v>4651</v>
      </c>
      <c r="R89" s="1252">
        <f>IF(AND(IF(INDEX(capBusARiskUtiliz,xxIndexTeam)&gt;80%,TRUE,FALSE),IF(INDEX(capBusARiskUtiliz,xxIndexTeam)&lt;=90%,TRUE,FALSE)),1/200,0)</f>
        <v>0</v>
      </c>
    </row>
    <row r="90" spans="5:18" ht="11.25">
      <c r="E90" s="1252" t="s">
        <v>4661</v>
      </c>
      <c r="F90" s="1252">
        <f>IF(AND(IF(INDEX(capBusAEmp7Utiliz,xxIndexTeam)&gt;80%,TRUE,FALSE),IF(INDEX(capBusAEmp7Utiliz,xxIndexTeam)&lt;=90%,TRUE,FALSE)),1/40,0)</f>
        <v>0</v>
      </c>
      <c r="I90" s="1252" t="s">
        <v>4661</v>
      </c>
      <c r="J90" s="1252">
        <f>IF(AND(IF(INDEX(capBusAEmp8Utiliz,xxIndexTeam)&gt;80%,TRUE,FALSE),IF(INDEX(capBusAEmp8Utiliz,xxIndexTeam)&lt;=90%,TRUE,FALSE)),1/40,0)</f>
        <v>2.5000000000000001E-2</v>
      </c>
      <c r="M90" s="1252" t="s">
        <v>4661</v>
      </c>
      <c r="N90" s="1252">
        <f>IF(AND(IF(INDEX(capBusAEmp9Utiliz,xxIndexTeam)&gt;80%,TRUE,FALSE),IF(INDEX(capBusAEmp9Utiliz,xxIndexTeam)&lt;=90%,TRUE,FALSE)),1/40,0)</f>
        <v>0</v>
      </c>
      <c r="Q90" s="1252" t="s">
        <v>4661</v>
      </c>
      <c r="R90" s="1252">
        <f>IF(AND(IF(INDEX(capBusARiskUtiliz,xxIndexTeam)&gt;80%,TRUE,FALSE),IF(INDEX(capBusARiskUtiliz,xxIndexTeam)&lt;=90%,TRUE,FALSE)),1/40,0)</f>
        <v>0</v>
      </c>
    </row>
    <row r="91" spans="5:18" ht="11.25">
      <c r="E91" s="1252" t="s">
        <v>4662</v>
      </c>
      <c r="F91" s="1252">
        <f>IF(AND(IF(INDEX(capBusAEmp7Utiliz,xxIndexTeam)&gt;90%,TRUE,FALSE),IF(INDEX(capBusAEmp7Utiliz,xxIndexTeam)&lt;100%,TRUE,FALSE)),1/40,1/20)</f>
        <v>0.05</v>
      </c>
      <c r="I91" s="1252" t="s">
        <v>4662</v>
      </c>
      <c r="J91" s="1252">
        <f>IF(AND(IF(INDEX(capBusAEmp8Utiliz,xxIndexTeam)&gt;90%,TRUE,FALSE),IF(INDEX(capBusAEmp8Utiliz,xxIndexTeam)&lt;100%,TRUE,FALSE)),1/40,1/20)</f>
        <v>0.05</v>
      </c>
      <c r="M91" s="1252" t="s">
        <v>4662</v>
      </c>
      <c r="N91" s="1252">
        <f>IF(AND(IF(INDEX(capBusAEmp9Utiliz,xxIndexTeam)&gt;90%,TRUE,FALSE),IF(INDEX(capBusAEmp9Utiliz,xxIndexTeam)&lt;100%,TRUE,FALSE)),1/40,1/20)</f>
        <v>0.05</v>
      </c>
      <c r="Q91" s="1252" t="s">
        <v>4662</v>
      </c>
      <c r="R91" s="1252">
        <f>IF(AND(IF(INDEX(capBusARiskUtiliz,xxIndexTeam)&gt;90%,TRUE,FALSE),IF(INDEX(capBusARiskUtiliz,xxIndexTeam)&lt;100%,TRUE,FALSE)),1/40,1/20)</f>
        <v>0.05</v>
      </c>
    </row>
    <row r="92" spans="5:18" ht="11.25">
      <c r="E92" s="1252" t="s">
        <v>4651</v>
      </c>
      <c r="F92" s="1252">
        <f>IF(AND(IF(INDEX(capBusAEmp7Utiliz,xxIndexTeam)&gt;90%,TRUE,FALSE),IF(INDEX(capBusAEmp7Utiliz,xxIndexTeam)&lt;=100%,TRUE,FALSE)),1/200,0)</f>
        <v>0</v>
      </c>
      <c r="I92" s="1252" t="s">
        <v>4651</v>
      </c>
      <c r="J92" s="1252">
        <f>IF(AND(IF(INDEX(capBusAEmp8Utiliz,xxIndexTeam)&gt;90%,TRUE,FALSE),IF(INDEX(capBusAEmp8Utiliz,xxIndexTeam)&lt;=100%,TRUE,FALSE)),1/200,0)</f>
        <v>0</v>
      </c>
      <c r="M92" s="1252" t="s">
        <v>4651</v>
      </c>
      <c r="N92" s="1252">
        <f>IF(AND(IF(INDEX(capBusAEmp9Utiliz,xxIndexTeam)&gt;90%,TRUE,FALSE),IF(INDEX(capBusAEmp9Utiliz,xxIndexTeam)&lt;=100%,TRUE,FALSE)),1/200,0)</f>
        <v>0</v>
      </c>
      <c r="Q92" s="1252" t="s">
        <v>4651</v>
      </c>
      <c r="R92" s="1252">
        <f>IF(AND(IF(INDEX(capBusARiskUtiliz,xxIndexTeam)&gt;90%,TRUE,FALSE),IF(INDEX(capBusARiskUtiliz,xxIndexTeam)&lt;=100%,TRUE,FALSE)),1/200,0)</f>
        <v>0</v>
      </c>
    </row>
    <row r="93" spans="5:18" ht="11.25">
      <c r="E93" s="1252" t="s">
        <v>4662</v>
      </c>
      <c r="F93" s="1252">
        <f>IF(AND(IF(INDEX(capBusAEmp7Utiliz,xxIndexTeam)&gt;90%,TRUE,FALSE),IF(INDEX(capBusAEmp7Utiliz,xxIndexTeam)&lt;=100%,TRUE,FALSE)),1/40,0)</f>
        <v>0</v>
      </c>
      <c r="I93" s="1252" t="s">
        <v>4662</v>
      </c>
      <c r="J93" s="1252">
        <f>IF(AND(IF(INDEX(capBusAEmp8Utiliz,xxIndexTeam)&gt;90%,TRUE,FALSE),IF(INDEX(capBusAEmp8Utiliz,xxIndexTeam)&lt;=100%,TRUE,FALSE)),1/40,0)</f>
        <v>0</v>
      </c>
      <c r="M93" s="1252" t="s">
        <v>4662</v>
      </c>
      <c r="N93" s="1252">
        <f>IF(AND(IF(INDEX(capBusAEmp9Utiliz,xxIndexTeam)&gt;90%,TRUE,FALSE),IF(INDEX(capBusAEmp9Utiliz,xxIndexTeam)&lt;=100%,TRUE,FALSE)),1/40,0)</f>
        <v>0</v>
      </c>
      <c r="Q93" s="1252" t="s">
        <v>4662</v>
      </c>
      <c r="R93" s="1252">
        <f>IF(AND(IF(INDEX(capBusARiskUtiliz,xxIndexTeam)&gt;90%,TRUE,FALSE),IF(INDEX(capBusARiskUtiliz,xxIndexTeam)&lt;=100%,TRUE,FALSE)),1/40,0)</f>
        <v>0</v>
      </c>
    </row>
    <row r="94" spans="5:18" ht="11.25">
      <c r="E94" s="1252" t="s">
        <v>4663</v>
      </c>
      <c r="F94" s="1252">
        <f>IF(AND(IF(INDEX(capBusAEmp7Utiliz,xxIndexTeam)&gt;100%,TRUE,FALSE),IF(INDEX(capBusAEmp7Utiliz,xxIndexTeam)&lt;110%,TRUE,FALSE)),1/40,1/20)</f>
        <v>0.05</v>
      </c>
      <c r="I94" s="1252" t="s">
        <v>4663</v>
      </c>
      <c r="J94" s="1252">
        <f>IF(AND(IF(INDEX(capBusAEmp8Utiliz,xxIndexTeam)&gt;100%,TRUE,FALSE),IF(INDEX(capBusAEmp8Utiliz,xxIndexTeam)&lt;110%,TRUE,FALSE)),1/40,1/20)</f>
        <v>0.05</v>
      </c>
      <c r="M94" s="1252" t="s">
        <v>4663</v>
      </c>
      <c r="N94" s="1252">
        <f>IF(AND(IF(INDEX(capBusAEmp9Utiliz,xxIndexTeam)&gt;100%,TRUE,FALSE),IF(INDEX(capBusAEmp9Utiliz,xxIndexTeam)&lt;110%,TRUE,FALSE)),1/40,1/20)</f>
        <v>0.05</v>
      </c>
      <c r="Q94" s="1252" t="s">
        <v>4663</v>
      </c>
      <c r="R94" s="1252">
        <f>IF(AND(IF(INDEX(capBusARiskUtiliz,xxIndexTeam)&gt;100%,TRUE,FALSE),IF(INDEX(capBusARiskUtiliz,xxIndexTeam)&lt;110%,TRUE,FALSE)),1/40,1/20)</f>
        <v>0.05</v>
      </c>
    </row>
    <row r="95" spans="5:18" ht="11.25">
      <c r="E95" s="1252" t="s">
        <v>4651</v>
      </c>
      <c r="F95" s="1252">
        <f>IF(AND(IF(INDEX(capBusAEmp7Utiliz,xxIndexTeam)&gt;100%,TRUE,FALSE),IF(INDEX(capBusAEmp7Utiliz,xxIndexTeam)&lt;=110%,TRUE,FALSE)),1/200,0)</f>
        <v>0</v>
      </c>
      <c r="I95" s="1252" t="s">
        <v>4651</v>
      </c>
      <c r="J95" s="1252">
        <f>IF(AND(IF(INDEX(capBusAEmp8Utiliz,xxIndexTeam)&gt;100%,TRUE,FALSE),IF(INDEX(capBusAEmp8Utiliz,xxIndexTeam)&lt;=110%,TRUE,FALSE)),1/200,0)</f>
        <v>0</v>
      </c>
      <c r="M95" s="1252" t="s">
        <v>4651</v>
      </c>
      <c r="N95" s="1252">
        <f>IF(AND(IF(INDEX(capBusAEmp9Utiliz,xxIndexTeam)&gt;100%,TRUE,FALSE),IF(INDEX(capBusAEmp9Utiliz,xxIndexTeam)&lt;=110%,TRUE,FALSE)),1/200,0)</f>
        <v>0</v>
      </c>
      <c r="Q95" s="1252" t="s">
        <v>4651</v>
      </c>
      <c r="R95" s="1252">
        <f>IF(AND(IF(INDEX(capBusARiskUtiliz,xxIndexTeam)&gt;100%,TRUE,FALSE),IF(INDEX(capBusARiskUtiliz,xxIndexTeam)&lt;=110%,TRUE,FALSE)),1/200,0)</f>
        <v>0</v>
      </c>
    </row>
    <row r="96" spans="5:18" ht="11.25">
      <c r="E96" s="1252" t="s">
        <v>4663</v>
      </c>
      <c r="F96" s="1252">
        <f>IF(AND(IF(INDEX(capBusAEmp7Utiliz,xxIndexTeam)&gt;100%,TRUE,FALSE),IF(INDEX(capBusAEmp7Utiliz,xxIndexTeam)&lt;=110%,TRUE,FALSE)),1/40,0)</f>
        <v>0</v>
      </c>
      <c r="I96" s="1252" t="s">
        <v>4663</v>
      </c>
      <c r="J96" s="1252">
        <f>IF(AND(IF(INDEX(capBusAEmp8Utiliz,xxIndexTeam)&gt;100%,TRUE,FALSE),IF(INDEX(capBusAEmp8Utiliz,xxIndexTeam)&lt;=110%,TRUE,FALSE)),1/40,0)</f>
        <v>0</v>
      </c>
      <c r="M96" s="1252" t="s">
        <v>4663</v>
      </c>
      <c r="N96" s="1252">
        <f>IF(AND(IF(INDEX(capBusAEmp9Utiliz,xxIndexTeam)&gt;100%,TRUE,FALSE),IF(INDEX(capBusAEmp9Utiliz,xxIndexTeam)&lt;=110%,TRUE,FALSE)),1/40,0)</f>
        <v>0</v>
      </c>
      <c r="Q96" s="1252" t="s">
        <v>4663</v>
      </c>
      <c r="R96" s="1252">
        <f>IF(AND(IF(INDEX(capBusARiskUtiliz,xxIndexTeam)&gt;100%,TRUE,FALSE),IF(INDEX(capBusARiskUtiliz,xxIndexTeam)&lt;=110%,TRUE,FALSE)),1/40,0)</f>
        <v>0</v>
      </c>
    </row>
    <row r="97" spans="1:18" ht="11.25">
      <c r="E97" s="1252" t="s">
        <v>4652</v>
      </c>
      <c r="F97" s="1252">
        <v>0.5</v>
      </c>
      <c r="I97" s="1252" t="s">
        <v>4652</v>
      </c>
      <c r="J97" s="1252">
        <v>0.5</v>
      </c>
      <c r="M97" s="1252" t="s">
        <v>4652</v>
      </c>
      <c r="N97" s="1252">
        <v>0.5</v>
      </c>
      <c r="Q97" s="1252" t="s">
        <v>4652</v>
      </c>
      <c r="R97" s="1252">
        <v>0.5</v>
      </c>
    </row>
    <row r="98" spans="1:18" ht="11.25"/>
    <row r="99" spans="1:18" s="872" customFormat="1" ht="15">
      <c r="A99" s="872" t="s">
        <v>4684</v>
      </c>
    </row>
    <row r="100" spans="1:18" ht="11.25"/>
    <row r="101" spans="1:18" ht="11.25"/>
    <row r="102" spans="1:18" ht="11.25"/>
    <row r="103" spans="1:18" ht="11.25"/>
    <row r="104" spans="1:18" ht="11.25"/>
    <row r="105" spans="1:18" ht="11.25"/>
    <row r="106" spans="1:18" ht="11.25"/>
    <row r="107" spans="1:18" ht="11.25"/>
    <row r="108" spans="1:18" ht="11.25"/>
    <row r="109" spans="1:18" ht="11.25"/>
    <row r="110" spans="1:18" ht="11.25"/>
    <row r="111" spans="1:18">
      <c r="B111" s="1527" t="s">
        <v>4650</v>
      </c>
      <c r="C111" s="1527"/>
      <c r="E111" s="1255" t="s">
        <v>4666</v>
      </c>
      <c r="F111" s="1256"/>
      <c r="I111" s="1255" t="s">
        <v>4665</v>
      </c>
      <c r="J111" s="1256"/>
      <c r="M111" s="1255" t="s">
        <v>4669</v>
      </c>
      <c r="N111" s="1256"/>
      <c r="Q111" s="1255" t="s">
        <v>4668</v>
      </c>
      <c r="R111" s="1256"/>
    </row>
    <row r="112" spans="1:18" ht="11.25">
      <c r="B112" s="12">
        <f>1/6</f>
        <v>0.16666666666666666</v>
      </c>
      <c r="E112" s="1252" t="s">
        <v>4653</v>
      </c>
      <c r="F112" s="1252">
        <f>IF(AND(IF(INDEX(capBusBEmp2Utiliz,xxIndexTeam)&gt;0%,TRUE,FALSE),IF(INDEX(capBusBEmp2Utiliz,xxIndexTeam)&lt;10%,TRUE,FALSE)),1/40,1/20)</f>
        <v>0.05</v>
      </c>
      <c r="I112" s="1252" t="s">
        <v>4653</v>
      </c>
      <c r="J112" s="1252">
        <f>IF(AND(IF(INDEX(capBusBEmp3Utiliz,xxIndexTeam)&gt;0%,TRUE,FALSE),IF(INDEX(capBusBEmp3Utiliz,xxIndexTeam)&lt;10%,TRUE,FALSE)),1/40,1/20)</f>
        <v>0.05</v>
      </c>
      <c r="M112" s="1252" t="s">
        <v>4653</v>
      </c>
      <c r="N112" s="1252">
        <f>IF(AND(IF(INDEX(capBusBEmp4Utiliz,xxIndexTeam)&gt;0%,TRUE,FALSE),IF(INDEX(capBusBEmp4Utiliz,xxIndexTeam)&lt;10%,TRUE,FALSE)),1/40,1/20)</f>
        <v>0.05</v>
      </c>
      <c r="Q112" s="1252" t="s">
        <v>4653</v>
      </c>
      <c r="R112" s="1252">
        <f>IF(AND(IF(INDEX(capBusBEmp1Utiliz,xxIndexTeam)&gt;0%,TRUE,FALSE),IF(INDEX(capBusBEmp1Utiliz,xxIndexTeam)&lt;10%,TRUE,FALSE)),1/40,1/20)</f>
        <v>0.05</v>
      </c>
    </row>
    <row r="113" spans="2:18" ht="11.25">
      <c r="B113" s="12">
        <f>1/6</f>
        <v>0.16666666666666666</v>
      </c>
      <c r="E113" s="1252" t="s">
        <v>4651</v>
      </c>
      <c r="F113" s="1252">
        <f>IF(AND(IF(INDEX(capBusBEmp2Utiliz,xxIndexTeam)&gt;0%,TRUE,FALSE),IF(INDEX(capBusBEmp2Utiliz,xxIndexTeam)&lt;=10%,TRUE,FALSE)),1/200,0)</f>
        <v>0</v>
      </c>
      <c r="I113" s="1252" t="s">
        <v>4651</v>
      </c>
      <c r="J113" s="1252">
        <f>IF(AND(IF(INDEX(capBusBEmp3Utiliz,xxIndexTeam)&gt;0%,TRUE,FALSE),IF(INDEX(capBusBEmp3Utiliz,xxIndexTeam)&lt;=10%,TRUE,FALSE)),1/200,0)</f>
        <v>0</v>
      </c>
      <c r="M113" s="1252" t="s">
        <v>4651</v>
      </c>
      <c r="N113" s="1252">
        <f>IF(AND(IF(INDEX(capBusBEmp4Utiliz,xxIndexTeam)&gt;0%,TRUE,FALSE),IF(INDEX(capBusBEmp4Utiliz,xxIndexTeam)&lt;=10%,TRUE,FALSE)),1/200,0)</f>
        <v>0</v>
      </c>
      <c r="Q113" s="1252" t="s">
        <v>4651</v>
      </c>
      <c r="R113" s="1252">
        <f>IF(AND(IF(INDEX(capBusBEmp1Utiliz,xxIndexTeam)&gt;0%,TRUE,FALSE),IF(INDEX(capBusBEmp1Utiliz,xxIndexTeam)&lt;=10%,TRUE,FALSE)),1/200,0)</f>
        <v>0</v>
      </c>
    </row>
    <row r="114" spans="2:18" ht="11.25">
      <c r="B114" s="12">
        <f>2/3</f>
        <v>0.66666666666666663</v>
      </c>
      <c r="E114" s="1253" t="s">
        <v>4653</v>
      </c>
      <c r="F114" s="1252">
        <f>IF(AND(IF(INDEX(capBusBEmp2Utiliz,xxIndexTeam)&gt;0%,TRUE,FALSE),IF(INDEX(capBusBEmp2Utiliz,xxIndexTeam)&lt;=10%,TRUE,FALSE)),1/40,0)</f>
        <v>0</v>
      </c>
      <c r="I114" s="1253" t="s">
        <v>4653</v>
      </c>
      <c r="J114" s="1252">
        <f>IF(AND(IF(INDEX(capBusBEmp3Utiliz,xxIndexTeam)&gt;0%,TRUE,FALSE),IF(INDEX(capBusBEmp3Utiliz,xxIndexTeam)&lt;=10%,TRUE,FALSE)),1/40,0)</f>
        <v>0</v>
      </c>
      <c r="M114" s="1253" t="s">
        <v>4653</v>
      </c>
      <c r="N114" s="1252">
        <f>IF(AND(IF(INDEX(capBusBEmp4Utiliz,xxIndexTeam)&gt;0%,TRUE,FALSE),IF(INDEX(capBusBEmp4Utiliz,xxIndexTeam)&lt;=10%,TRUE,FALSE)),1/40,0)</f>
        <v>0</v>
      </c>
      <c r="Q114" s="1253" t="s">
        <v>4653</v>
      </c>
      <c r="R114" s="1252">
        <f>IF(AND(IF(INDEX(capBusBEmp1Utiliz,xxIndexTeam)&gt;0%,TRUE,FALSE),IF(INDEX(capBusBEmp1Utiliz,xxIndexTeam)&lt;=10%,TRUE,FALSE)),1/40,0)</f>
        <v>0</v>
      </c>
    </row>
    <row r="115" spans="2:18" ht="11.25">
      <c r="B115" s="12">
        <f>1/6</f>
        <v>0.16666666666666666</v>
      </c>
      <c r="E115" s="1254" t="s">
        <v>4654</v>
      </c>
      <c r="F115" s="1252">
        <f>IF(AND(IF(INDEX(capBusBEmp2Utiliz,xxIndexTeam)&gt;10%,TRUE,FALSE),IF(INDEX(capBusBEmp2Utiliz,xxIndexTeam)&lt;20,TRUE,FALSE)),1/40,1/20)</f>
        <v>2.5000000000000001E-2</v>
      </c>
      <c r="I115" s="1254" t="s">
        <v>4654</v>
      </c>
      <c r="J115" s="1252">
        <f>IF(AND(IF(INDEX(capBusBEmp3Utiliz,xxIndexTeam)&gt;10%,TRUE,FALSE),IF(INDEX(capBusBEmp3Utiliz,xxIndexTeam)&lt;20,TRUE,FALSE)),1/40,1/20)</f>
        <v>2.5000000000000001E-2</v>
      </c>
      <c r="M115" s="1254" t="s">
        <v>4654</v>
      </c>
      <c r="N115" s="1252">
        <f>IF(AND(IF(INDEX(capBusBEmp4Utiliz,xxIndexTeam)&gt;10%,TRUE,FALSE),IF(INDEX(capBusBEmp4Utiliz,xxIndexTeam)&lt;20,TRUE,FALSE)),1/40,1/20)</f>
        <v>2.5000000000000001E-2</v>
      </c>
      <c r="Q115" s="1254" t="s">
        <v>4654</v>
      </c>
      <c r="R115" s="1252">
        <f>IF(AND(IF(INDEX(capBusBEmp1Utiliz,xxIndexTeam)&gt;10%,TRUE,FALSE),IF(INDEX(capBusBEmp1Utiliz,xxIndexTeam)&lt;20,TRUE,FALSE)),1/40,1/20)</f>
        <v>2.5000000000000001E-2</v>
      </c>
    </row>
    <row r="116" spans="2:18" ht="11.25">
      <c r="B116" s="12">
        <f>1/6</f>
        <v>0.16666666666666666</v>
      </c>
      <c r="E116" s="1252" t="s">
        <v>4651</v>
      </c>
      <c r="F116" s="1252">
        <f>IF(AND(IF(INDEX(capBusBEmp2Utiliz,xxIndexTeam)&gt;10%,TRUE,FALSE),IF(INDEX(capBusBEmp2Utiliz,xxIndexTeam)&lt;=20%,TRUE,FALSE)),1/200,0)</f>
        <v>0</v>
      </c>
      <c r="I116" s="1252" t="s">
        <v>4651</v>
      </c>
      <c r="J116" s="1252">
        <f>IF(AND(IF(INDEX(capBusBEmp3Utiliz,xxIndexTeam)&gt;10%,TRUE,FALSE),IF(INDEX(capBusBEmp3Utiliz,xxIndexTeam)&lt;=20%,TRUE,FALSE)),1/200,0)</f>
        <v>0</v>
      </c>
      <c r="M116" s="1252" t="s">
        <v>4651</v>
      </c>
      <c r="N116" s="1252">
        <f>IF(AND(IF(INDEX(capBusBEmp4Utiliz,xxIndexTeam)&gt;10%,TRUE,FALSE),IF(INDEX(capBusBEmp4Utiliz,xxIndexTeam)&lt;=20%,TRUE,FALSE)),1/200,0)</f>
        <v>0</v>
      </c>
      <c r="Q116" s="1252" t="s">
        <v>4651</v>
      </c>
      <c r="R116" s="1252">
        <f>IF(AND(IF(INDEX(capBusBEmp1Utiliz,xxIndexTeam)&gt;10%,TRUE,FALSE),IF(INDEX(capBusBEmp1Utiliz,xxIndexTeam)&lt;=20%,TRUE,FALSE)),1/200,0)</f>
        <v>0</v>
      </c>
    </row>
    <row r="117" spans="2:18" ht="11.25">
      <c r="E117" s="1254" t="s">
        <v>4654</v>
      </c>
      <c r="F117" s="1252">
        <f>IF(AND(IF(INDEX(capBusBEmp2Utiliz,xxIndexTeam)&gt;10%,TRUE,FALSE),IF(INDEX(capBusBEmp2Utiliz,xxIndexTeam)&lt;=20%,TRUE,FALSE)),1/40,0)</f>
        <v>0</v>
      </c>
      <c r="I117" s="1254" t="s">
        <v>4654</v>
      </c>
      <c r="J117" s="1252">
        <f>IF(AND(IF(INDEX(capBusBEmp3Utiliz,xxIndexTeam)&gt;10%,TRUE,FALSE),IF(INDEX(capBusBEmp3Utiliz,xxIndexTeam)&lt;=20%,TRUE,FALSE)),1/40,0)</f>
        <v>0</v>
      </c>
      <c r="M117" s="1254" t="s">
        <v>4654</v>
      </c>
      <c r="N117" s="1252">
        <f>IF(AND(IF(INDEX(capBusBEmp4Utiliz,xxIndexTeam)&gt;10%,TRUE,FALSE),IF(INDEX(capBusBEmp4Utiliz,xxIndexTeam)&lt;=20%,TRUE,FALSE)),1/40,0)</f>
        <v>0</v>
      </c>
      <c r="Q117" s="1254" t="s">
        <v>4654</v>
      </c>
      <c r="R117" s="1252">
        <f>IF(AND(IF(INDEX(capBusBEmp1Utiliz,xxIndexTeam)&gt;10%,TRUE,FALSE),IF(INDEX(capBusBEmp1Utiliz,xxIndexTeam)&lt;=20%,TRUE,FALSE)),1/40,0)</f>
        <v>0</v>
      </c>
    </row>
    <row r="118" spans="2:18" ht="11.25">
      <c r="B118" s="12"/>
      <c r="E118" s="1252" t="s">
        <v>4655</v>
      </c>
      <c r="F118" s="1252">
        <f>IF(AND(IF(INDEX(capBusBEmp2Utiliz,xxIndexTeam)&gt;20%,TRUE,FALSE),IF(INDEX(capBusBEmp2Utiliz,xxIndexTeam)&lt;30%,TRUE,FALSE)),1/40,1/20)</f>
        <v>0.05</v>
      </c>
      <c r="I118" s="1252" t="s">
        <v>4655</v>
      </c>
      <c r="J118" s="1252">
        <f>IF(AND(IF(INDEX(capBusBEmp3Utiliz,xxIndexTeam)&gt;20%,TRUE,FALSE),IF(INDEX(capBusBEmp3Utiliz,xxIndexTeam)&lt;30%,TRUE,FALSE)),1/40,1/20)</f>
        <v>2.5000000000000001E-2</v>
      </c>
      <c r="M118" s="1252" t="s">
        <v>4655</v>
      </c>
      <c r="N118" s="1252">
        <f>IF(AND(IF(INDEX(capBusBEmp4Utiliz,xxIndexTeam)&gt;20%,TRUE,FALSE),IF(INDEX(capBusBEmp4Utiliz,xxIndexTeam)&lt;30%,TRUE,FALSE)),1/40,1/20)</f>
        <v>2.5000000000000001E-2</v>
      </c>
      <c r="Q118" s="1252" t="s">
        <v>4655</v>
      </c>
      <c r="R118" s="1252">
        <f>IF(AND(IF(INDEX(capBusBEmp1Utiliz,xxIndexTeam)&gt;20%,TRUE,FALSE),IF(INDEX(capBusBEmp1Utiliz,xxIndexTeam)&lt;30%,TRUE,FALSE)),1/40,1/20)</f>
        <v>0.05</v>
      </c>
    </row>
    <row r="119" spans="2:18" ht="11.25">
      <c r="B119" s="12"/>
      <c r="E119" s="1252" t="s">
        <v>4651</v>
      </c>
      <c r="F119" s="1252">
        <f>IF(AND(IF(INDEX(capBusBEmp2Utiliz,xxIndexTeam)&gt;20%,TRUE,FALSE),IF(INDEX(capBusBEmp2Utiliz,xxIndexTeam)&lt;=30%,TRUE,FALSE)),1/200,0)</f>
        <v>0</v>
      </c>
      <c r="I119" s="1252" t="s">
        <v>4651</v>
      </c>
      <c r="J119" s="1252">
        <f>IF(AND(IF(INDEX(capBusBEmp3Utiliz,xxIndexTeam)&gt;20%,TRUE,FALSE),IF(INDEX(capBusBEmp3Utiliz,xxIndexTeam)&lt;=30%,TRUE,FALSE)),1/200,0)</f>
        <v>5.0000000000000001E-3</v>
      </c>
      <c r="M119" s="1252" t="s">
        <v>4651</v>
      </c>
      <c r="N119" s="1252">
        <f>IF(AND(IF(INDEX(capBusBEmp4Utiliz,xxIndexTeam)&gt;20%,TRUE,FALSE),IF(INDEX(capBusBEmp4Utiliz,xxIndexTeam)&lt;=30%,TRUE,FALSE)),1/200,0)</f>
        <v>5.0000000000000001E-3</v>
      </c>
      <c r="Q119" s="1252" t="s">
        <v>4651</v>
      </c>
      <c r="R119" s="1252">
        <f>IF(AND(IF(INDEX(capBusBEmp1Utiliz,xxIndexTeam)&gt;20%,TRUE,FALSE),IF(INDEX(capBusBEmp1Utiliz,xxIndexTeam)&lt;=30%,TRUE,FALSE)),1/200,0)</f>
        <v>0</v>
      </c>
    </row>
    <row r="120" spans="2:18" ht="11.25">
      <c r="E120" s="1252" t="s">
        <v>4655</v>
      </c>
      <c r="F120" s="1252">
        <f>IF(AND(IF(INDEX(capBusBEmp2Utiliz,xxIndexTeam)&gt;20%,TRUE,FALSE),IF(INDEX(capBusBEmp2Utiliz,xxIndexTeam)&lt;=30%,TRUE,FALSE)),1/40,0)</f>
        <v>0</v>
      </c>
      <c r="I120" s="1252" t="s">
        <v>4655</v>
      </c>
      <c r="J120" s="1252">
        <f>IF(AND(IF(INDEX(capBusBEmp3Utiliz,xxIndexTeam)&gt;20%,TRUE,FALSE),IF(INDEX(capBusBEmp3Utiliz,xxIndexTeam)&lt;=30%,TRUE,FALSE)),1/40,0)</f>
        <v>2.5000000000000001E-2</v>
      </c>
      <c r="M120" s="1252" t="s">
        <v>4655</v>
      </c>
      <c r="N120" s="1252">
        <f>IF(AND(IF(INDEX(capBusBEmp4Utiliz,xxIndexTeam)&gt;20%,TRUE,FALSE),IF(INDEX(capBusBEmp4Utiliz,xxIndexTeam)&lt;=30%,TRUE,FALSE)),1/40,0)</f>
        <v>2.5000000000000001E-2</v>
      </c>
      <c r="Q120" s="1252" t="s">
        <v>4655</v>
      </c>
      <c r="R120" s="1252">
        <f>IF(AND(IF(INDEX(capBusBEmp1Utiliz,xxIndexTeam)&gt;20%,TRUE,FALSE),IF(INDEX(capBusBEmp1Utiliz,xxIndexTeam)&lt;=30%,TRUE,FALSE)),1/40,0)</f>
        <v>0</v>
      </c>
    </row>
    <row r="121" spans="2:18" ht="11.25">
      <c r="B121" s="12"/>
      <c r="E121" s="1252" t="s">
        <v>4656</v>
      </c>
      <c r="F121" s="1252">
        <f>IF(AND(IF(INDEX(capBusBEmp2Utiliz,xxIndexTeam)&gt;30%,TRUE,FALSE),IF(INDEX(capBusBEmp2Utiliz,xxIndexTeam)&lt;40%,TRUE,FALSE)),1/40,1/20)</f>
        <v>2.5000000000000001E-2</v>
      </c>
      <c r="I121" s="1252" t="s">
        <v>4656</v>
      </c>
      <c r="J121" s="1252">
        <f>IF(AND(IF(INDEX(capBusBEmp3Utiliz,xxIndexTeam)&gt;30%,TRUE,FALSE),IF(INDEX(capBusBEmp3Utiliz,xxIndexTeam)&lt;40%,TRUE,FALSE)),1/40,1/20)</f>
        <v>0.05</v>
      </c>
      <c r="M121" s="1252" t="s">
        <v>4656</v>
      </c>
      <c r="N121" s="1252">
        <f>IF(AND(IF(INDEX(capBusBEmp4Utiliz,xxIndexTeam)&gt;30%,TRUE,FALSE),IF(INDEX(capBusBEmp4Utiliz,xxIndexTeam)&lt;40%,TRUE,FALSE)),1/40,1/20)</f>
        <v>0.05</v>
      </c>
      <c r="Q121" s="1252" t="s">
        <v>4656</v>
      </c>
      <c r="R121" s="1252">
        <f>IF(AND(IF(INDEX(capBusBEmp1Utiliz,xxIndexTeam)&gt;30%,TRUE,FALSE),IF(INDEX(capBusBEmp1Utiliz,xxIndexTeam)&lt;40%,TRUE,FALSE)),1/40,1/20)</f>
        <v>2.5000000000000001E-2</v>
      </c>
    </row>
    <row r="122" spans="2:18" ht="11.25">
      <c r="B122" s="12"/>
      <c r="E122" s="1252" t="s">
        <v>4651</v>
      </c>
      <c r="F122" s="1252">
        <f>IF(AND(IF(INDEX(capBusBEmp2Utiliz,xxIndexTeam)&gt;30%,TRUE,FALSE),IF(INDEX(capBusBEmp2Utiliz,xxIndexTeam)&lt;=40%,TRUE,FALSE)),1/200,0)</f>
        <v>5.0000000000000001E-3</v>
      </c>
      <c r="I122" s="1252" t="s">
        <v>4651</v>
      </c>
      <c r="J122" s="1252">
        <f>IF(AND(IF(INDEX(capBusBEmp3Utiliz,xxIndexTeam)&gt;30%,TRUE,FALSE),IF(INDEX(capBusBEmp3Utiliz,xxIndexTeam)&lt;=40%,TRUE,FALSE)),1/200,0)</f>
        <v>0</v>
      </c>
      <c r="M122" s="1252" t="s">
        <v>4651</v>
      </c>
      <c r="N122" s="1252">
        <f>IF(AND(IF(INDEX(capBusBEmp4Utiliz,xxIndexTeam)&gt;30%,TRUE,FALSE),IF(INDEX(capBusBEmp4Utiliz,xxIndexTeam)&lt;=40%,TRUE,FALSE)),1/200,0)</f>
        <v>0</v>
      </c>
      <c r="Q122" s="1252" t="s">
        <v>4651</v>
      </c>
      <c r="R122" s="1252">
        <f>IF(AND(IF(INDEX(capBusBEmp1Utiliz,xxIndexTeam)&gt;30%,TRUE,FALSE),IF(INDEX(capBusBEmp1Utiliz,xxIndexTeam)&lt;=40%,TRUE,FALSE)),1/200,0)</f>
        <v>5.0000000000000001E-3</v>
      </c>
    </row>
    <row r="123" spans="2:18" ht="11.25">
      <c r="E123" s="1252" t="s">
        <v>4656</v>
      </c>
      <c r="F123" s="1252">
        <f>IF(AND(IF(INDEX(capBusBEmp2Utiliz,xxIndexTeam)&gt;30%,TRUE,FALSE),IF(INDEX(capBusBEmp2Utiliz,xxIndexTeam)&lt;=40%,TRUE,FALSE)),1/40,0)</f>
        <v>2.5000000000000001E-2</v>
      </c>
      <c r="I123" s="1252" t="s">
        <v>4656</v>
      </c>
      <c r="J123" s="1252">
        <f>IF(AND(IF(INDEX(capBusBEmp3Utiliz,xxIndexTeam)&gt;30%,TRUE,FALSE),IF(INDEX(capBusBEmp3Utiliz,xxIndexTeam)&lt;=40%,TRUE,FALSE)),1/40,0)</f>
        <v>0</v>
      </c>
      <c r="M123" s="1252" t="s">
        <v>4656</v>
      </c>
      <c r="N123" s="1252">
        <f>IF(AND(IF(INDEX(capBusBEmp4Utiliz,xxIndexTeam)&gt;30%,TRUE,FALSE),IF(INDEX(capBusBEmp4Utiliz,xxIndexTeam)&lt;=40%,TRUE,FALSE)),1/40,0)</f>
        <v>0</v>
      </c>
      <c r="Q123" s="1252" t="s">
        <v>4656</v>
      </c>
      <c r="R123" s="1252">
        <f>IF(AND(IF(INDEX(capBusBEmp1Utiliz,xxIndexTeam)&gt;30%,TRUE,FALSE),IF(INDEX(capBusBEmp1Utiliz,xxIndexTeam)&lt;=40%,TRUE,FALSE)),1/40,0)</f>
        <v>2.5000000000000001E-2</v>
      </c>
    </row>
    <row r="124" spans="2:18" ht="11.25">
      <c r="B124" s="12"/>
      <c r="E124" s="1252" t="s">
        <v>4657</v>
      </c>
      <c r="F124" s="1252">
        <f>IF(AND(IF(INDEX(capBusBEmp2Utiliz,xxIndexTeam)&gt;40%,TRUE,FALSE),IF(INDEX(capBusBEmp2Utiliz,xxIndexTeam)&lt;50%,TRUE,FALSE)),1/40,1/20)</f>
        <v>0.05</v>
      </c>
      <c r="I124" s="1252" t="s">
        <v>4657</v>
      </c>
      <c r="J124" s="1252">
        <f>IF(AND(IF(INDEX(capBusBEmp3Utiliz,xxIndexTeam)&gt;40%,TRUE,FALSE),IF(INDEX(capBusBEmp3Utiliz,xxIndexTeam)&lt;50%,TRUE,FALSE)),1/40,1/20)</f>
        <v>0.05</v>
      </c>
      <c r="M124" s="1252" t="s">
        <v>4657</v>
      </c>
      <c r="N124" s="1252">
        <f>IF(AND(IF(INDEX(capBusBEmp4Utiliz,xxIndexTeam)&gt;40%,TRUE,FALSE),IF(INDEX(capBusBEmp4Utiliz,xxIndexTeam)&lt;50%,TRUE,FALSE)),1/40,1/20)</f>
        <v>0.05</v>
      </c>
      <c r="Q124" s="1252" t="s">
        <v>4657</v>
      </c>
      <c r="R124" s="1252">
        <f>IF(AND(IF(INDEX(capBusBEmp1Utiliz,xxIndexTeam)&gt;40%,TRUE,FALSE),IF(INDEX(capBusBEmp1Utiliz,xxIndexTeam)&lt;50%,TRUE,FALSE)),1/40,1/20)</f>
        <v>0.05</v>
      </c>
    </row>
    <row r="125" spans="2:18" ht="11.25">
      <c r="B125" s="12"/>
      <c r="E125" s="1252" t="s">
        <v>4651</v>
      </c>
      <c r="F125" s="1252">
        <f>IF(AND(IF(INDEX(capBusBEmp2Utiliz,xxIndexTeam)&gt;40%,TRUE,FALSE),IF(INDEX(capBusBEmp2Utiliz,xxIndexTeam)&lt;=50%,TRUE,FALSE)),1/200,0)</f>
        <v>0</v>
      </c>
      <c r="I125" s="1252" t="s">
        <v>4651</v>
      </c>
      <c r="J125" s="1252">
        <f>IF(AND(IF(INDEX(capBusBEmp3Utiliz,xxIndexTeam)&gt;40%,TRUE,FALSE),IF(INDEX(capBusBEmp3Utiliz,xxIndexTeam)&lt;=50%,TRUE,FALSE)),1/200,0)</f>
        <v>0</v>
      </c>
      <c r="M125" s="1252" t="s">
        <v>4651</v>
      </c>
      <c r="N125" s="1252">
        <f>IF(AND(IF(INDEX(capBusBEmp4Utiliz,xxIndexTeam)&gt;40%,TRUE,FALSE),IF(INDEX(capBusBEmp4Utiliz,xxIndexTeam)&lt;=50%,TRUE,FALSE)),1/200,0)</f>
        <v>0</v>
      </c>
      <c r="Q125" s="1252" t="s">
        <v>4651</v>
      </c>
      <c r="R125" s="1252">
        <f>IF(AND(IF(INDEX(capBusBEmp1Utiliz,xxIndexTeam)&gt;40%,TRUE,FALSE),IF(INDEX(capBusBEmp1Utiliz,xxIndexTeam)&lt;=50%,TRUE,FALSE)),1/200,0)</f>
        <v>0</v>
      </c>
    </row>
    <row r="126" spans="2:18" ht="11.25">
      <c r="E126" s="1252" t="s">
        <v>4657</v>
      </c>
      <c r="F126" s="1252">
        <f>IF(AND(IF(INDEX(capBusBEmp2Utiliz,xxIndexTeam)&gt;40%,TRUE,FALSE),IF(INDEX(capBusBEmp2Utiliz,xxIndexTeam)&lt;=50%,TRUE,FALSE)),1/40,0)</f>
        <v>0</v>
      </c>
      <c r="I126" s="1252" t="s">
        <v>4657</v>
      </c>
      <c r="J126" s="1252">
        <f>IF(AND(IF(INDEX(capBusBEmp3Utiliz,xxIndexTeam)&gt;40%,TRUE,FALSE),IF(INDEX(capBusBEmp3Utiliz,xxIndexTeam)&lt;=50%,TRUE,FALSE)),1/40,0)</f>
        <v>0</v>
      </c>
      <c r="M126" s="1252" t="s">
        <v>4657</v>
      </c>
      <c r="N126" s="1252">
        <f>IF(AND(IF(INDEX(capBusBEmp4Utiliz,xxIndexTeam)&gt;40%,TRUE,FALSE),IF(INDEX(capBusBEmp4Utiliz,xxIndexTeam)&lt;=50%,TRUE,FALSE)),1/40,0)</f>
        <v>0</v>
      </c>
      <c r="Q126" s="1252" t="s">
        <v>4657</v>
      </c>
      <c r="R126" s="1252">
        <f>IF(AND(IF(INDEX(capBusBEmp1Utiliz,xxIndexTeam)&gt;40%,TRUE,FALSE),IF(INDEX(capBusBEmp1Utiliz,xxIndexTeam)&lt;=50%,TRUE,FALSE)),1/40,0)</f>
        <v>0</v>
      </c>
    </row>
    <row r="127" spans="2:18" ht="11.25">
      <c r="B127" s="12"/>
      <c r="E127" s="1252" t="s">
        <v>4658</v>
      </c>
      <c r="F127" s="1252">
        <f>IF(AND(IF(INDEX(capBusBEmp2Utiliz,xxIndexTeam)&gt;50%,TRUE,FALSE),IF(INDEX(capBusBEmp2Utiliz,xxIndexTeam)&lt;60%,TRUE,FALSE)),1/40,1/20)</f>
        <v>0.05</v>
      </c>
      <c r="I127" s="1252" t="s">
        <v>4658</v>
      </c>
      <c r="J127" s="1252">
        <f>IF(AND(IF(INDEX(capBusBEmp3Utiliz,xxIndexTeam)&gt;50%,TRUE,FALSE),IF(INDEX(capBusBEmp3Utiliz,xxIndexTeam)&lt;60%,TRUE,FALSE)),1/40,1/20)</f>
        <v>0.05</v>
      </c>
      <c r="M127" s="1252" t="s">
        <v>4658</v>
      </c>
      <c r="N127" s="1252">
        <f>IF(AND(IF(INDEX(capBusBEmp4Utiliz,xxIndexTeam)&gt;50%,TRUE,FALSE),IF(INDEX(capBusBEmp4Utiliz,xxIndexTeam)&lt;60%,TRUE,FALSE)),1/40,1/20)</f>
        <v>0.05</v>
      </c>
      <c r="Q127" s="1252" t="s">
        <v>4658</v>
      </c>
      <c r="R127" s="1252">
        <f>IF(AND(IF(INDEX(capBusBEmp1Utiliz,xxIndexTeam)&gt;50%,TRUE,FALSE),IF(INDEX(capBusBEmp1Utiliz,xxIndexTeam)&lt;60%,TRUE,FALSE)),1/40,1/20)</f>
        <v>0.05</v>
      </c>
    </row>
    <row r="128" spans="2:18" ht="11.25">
      <c r="B128" s="12"/>
      <c r="E128" s="1252" t="s">
        <v>4651</v>
      </c>
      <c r="F128" s="1252">
        <f>IF(AND(IF(INDEX(capBusBEmp2Utiliz,xxIndexTeam)&gt;50%,TRUE,FALSE),IF(INDEX(capBusBEmp2Utiliz,xxIndexTeam)&lt;=60%,TRUE,FALSE)),1/200,0)</f>
        <v>0</v>
      </c>
      <c r="I128" s="1252" t="s">
        <v>4651</v>
      </c>
      <c r="J128" s="1252">
        <f>IF(AND(IF(INDEX(capBusBEmp3Utiliz,xxIndexTeam)&gt;50%,TRUE,FALSE),IF(INDEX(capBusBEmp3Utiliz,xxIndexTeam)&lt;=60%,TRUE,FALSE)),1/200,0)</f>
        <v>0</v>
      </c>
      <c r="M128" s="1252" t="s">
        <v>4651</v>
      </c>
      <c r="N128" s="1252">
        <f>IF(AND(IF(INDEX(capBusBEmp4Utiliz,xxIndexTeam)&gt;50%,TRUE,FALSE),IF(INDEX(capBusBEmp4Utiliz,xxIndexTeam)&lt;=60%,TRUE,FALSE)),1/200,0)</f>
        <v>0</v>
      </c>
      <c r="Q128" s="1252" t="s">
        <v>4651</v>
      </c>
      <c r="R128" s="1252">
        <f>IF(AND(IF(INDEX(capBusBEmp1Utiliz,xxIndexTeam)&gt;50%,TRUE,FALSE),IF(INDEX(capBusBEmp1Utiliz,xxIndexTeam)&lt;=60%,TRUE,FALSE)),1/200,0)</f>
        <v>0</v>
      </c>
    </row>
    <row r="129" spans="2:18" ht="11.25">
      <c r="E129" s="1252" t="s">
        <v>4658</v>
      </c>
      <c r="F129" s="1252">
        <f>IF(AND(IF(INDEX(capBusBEmp2Utiliz,xxIndexTeam)&gt;50%,TRUE,FALSE),IF(INDEX(capBusBEmp2Utiliz,xxIndexTeam)&lt;=60%,TRUE,FALSE)),1/40,0)</f>
        <v>0</v>
      </c>
      <c r="I129" s="1252" t="s">
        <v>4658</v>
      </c>
      <c r="J129" s="1252">
        <f>IF(AND(IF(INDEX(capBusBEmp3Utiliz,xxIndexTeam)&gt;50%,TRUE,FALSE),IF(INDEX(capBusBEmp3Utiliz,xxIndexTeam)&lt;=60%,TRUE,FALSE)),1/40,0)</f>
        <v>0</v>
      </c>
      <c r="M129" s="1252" t="s">
        <v>4658</v>
      </c>
      <c r="N129" s="1252">
        <f>IF(AND(IF(INDEX(capBusBEmp4Utiliz,xxIndexTeam)&gt;50%,TRUE,FALSE),IF(INDEX(capBusBEmp4Utiliz,xxIndexTeam)&lt;=60%,TRUE,FALSE)),1/40,0)</f>
        <v>0</v>
      </c>
      <c r="Q129" s="1252" t="s">
        <v>4658</v>
      </c>
      <c r="R129" s="1252">
        <f>IF(AND(IF(INDEX(capBusBEmp1Utiliz,xxIndexTeam)&gt;50%,TRUE,FALSE),IF(INDEX(capBusBEmp1Utiliz,xxIndexTeam)&lt;=60%,TRUE,FALSE)),1/40,0)</f>
        <v>0</v>
      </c>
    </row>
    <row r="130" spans="2:18" ht="11.25">
      <c r="B130" s="12"/>
      <c r="E130" s="1252" t="s">
        <v>4659</v>
      </c>
      <c r="F130" s="1252">
        <f>IF(AND(IF(INDEX(capBusBEmp2Utiliz,xxIndexTeam)&gt;60%,TRUE,FALSE),IF(INDEX(capBusBEmp2Utiliz,xxIndexTeam)&lt;70%,TRUE,FALSE)),1/40,1/20)</f>
        <v>0.05</v>
      </c>
      <c r="I130" s="1252" t="s">
        <v>4659</v>
      </c>
      <c r="J130" s="1252">
        <f>IF(AND(IF(INDEX(capBusBEmp3Utiliz,xxIndexTeam)&gt;60%,TRUE,FALSE),IF(INDEX(capBusBEmp3Utiliz,xxIndexTeam)&lt;70%,TRUE,FALSE)),1/40,1/20)</f>
        <v>0.05</v>
      </c>
      <c r="M130" s="1252" t="s">
        <v>4659</v>
      </c>
      <c r="N130" s="1252">
        <f>IF(AND(IF(INDEX(capBusBEmp4Utiliz,xxIndexTeam)&gt;60%,TRUE,FALSE),IF(INDEX(capBusBEmp4Utiliz,xxIndexTeam)&lt;70%,TRUE,FALSE)),1/40,1/20)</f>
        <v>0.05</v>
      </c>
      <c r="Q130" s="1252" t="s">
        <v>4659</v>
      </c>
      <c r="R130" s="1252">
        <f>IF(AND(IF(INDEX(capBusBEmp1Utiliz,xxIndexTeam)&gt;60%,TRUE,FALSE),IF(INDEX(capBusBEmp1Utiliz,xxIndexTeam)&lt;70%,TRUE,FALSE)),1/40,1/20)</f>
        <v>0.05</v>
      </c>
    </row>
    <row r="131" spans="2:18" ht="11.25">
      <c r="B131" s="12"/>
      <c r="E131" s="1252" t="s">
        <v>4651</v>
      </c>
      <c r="F131" s="1252">
        <f>IF(AND(IF(INDEX(capBusBEmp2Utiliz,xxIndexTeam)&gt;60%,TRUE,FALSE),IF(INDEX(capBusBEmp2Utiliz,xxIndexTeam)&lt;=70%,TRUE,FALSE)),1/200,0)</f>
        <v>0</v>
      </c>
      <c r="I131" s="1252" t="s">
        <v>4651</v>
      </c>
      <c r="J131" s="1252">
        <f>IF(AND(IF(INDEX(capBusBEmp3Utiliz,xxIndexTeam)&gt;60%,TRUE,FALSE),IF(INDEX(capBusBEmp3Utiliz,xxIndexTeam)&lt;=70%,TRUE,FALSE)),1/200,0)</f>
        <v>0</v>
      </c>
      <c r="M131" s="1252" t="s">
        <v>4651</v>
      </c>
      <c r="N131" s="1252">
        <f>IF(AND(IF(INDEX(capBusBEmp4Utiliz,xxIndexTeam)&gt;60%,TRUE,FALSE),IF(INDEX(capBusBEmp4Utiliz,xxIndexTeam)&lt;=70%,TRUE,FALSE)),1/200,0)</f>
        <v>0</v>
      </c>
      <c r="Q131" s="1252" t="s">
        <v>4651</v>
      </c>
      <c r="R131" s="1252">
        <f>IF(AND(IF(INDEX(capBusBEmp1Utiliz,xxIndexTeam)&gt;60%,TRUE,FALSE),IF(INDEX(capBusBEmp1Utiliz,xxIndexTeam)&lt;=70%,TRUE,FALSE)),1/200,0)</f>
        <v>0</v>
      </c>
    </row>
    <row r="132" spans="2:18" ht="11.25">
      <c r="E132" s="1252" t="s">
        <v>4659</v>
      </c>
      <c r="F132" s="1252">
        <f>IF(AND(IF(INDEX(capBusBEmp2Utiliz,xxIndexTeam)&gt;60%,TRUE,FALSE),IF(INDEX(capBusBEmp2Utiliz,xxIndexTeam)&lt;=70%,TRUE,FALSE)),1/40,0)</f>
        <v>0</v>
      </c>
      <c r="I132" s="1252" t="s">
        <v>4659</v>
      </c>
      <c r="J132" s="1252">
        <f>IF(AND(IF(INDEX(capBusBEmp3Utiliz,xxIndexTeam)&gt;60%,TRUE,FALSE),IF(INDEX(capBusBEmp3Utiliz,xxIndexTeam)&lt;=70%,TRUE,FALSE)),1/40,0)</f>
        <v>0</v>
      </c>
      <c r="M132" s="1252" t="s">
        <v>4659</v>
      </c>
      <c r="N132" s="1252">
        <f>IF(AND(IF(INDEX(capBusBEmp4Utiliz,xxIndexTeam)&gt;60%,TRUE,FALSE),IF(INDEX(capBusBEmp4Utiliz,xxIndexTeam)&lt;=70%,TRUE,FALSE)),1/40,0)</f>
        <v>0</v>
      </c>
      <c r="Q132" s="1252" t="s">
        <v>4659</v>
      </c>
      <c r="R132" s="1252">
        <f>IF(AND(IF(INDEX(capBusBEmp1Utiliz,xxIndexTeam)&gt;60%,TRUE,FALSE),IF(INDEX(capBusBEmp1Utiliz,xxIndexTeam)&lt;=70%,TRUE,FALSE)),1/40,0)</f>
        <v>0</v>
      </c>
    </row>
    <row r="133" spans="2:18" ht="11.25">
      <c r="B133" s="12"/>
      <c r="E133" s="1252" t="s">
        <v>4660</v>
      </c>
      <c r="F133" s="1252">
        <f>IF(AND(IF(INDEX(capBusBEmp2Utiliz,xxIndexTeam)&gt;70%,TRUE,FALSE),IF(INDEX(capBusBEmp2Utiliz,xxIndexTeam)&lt;80%,TRUE,FALSE)),1/40,1/20)</f>
        <v>0.05</v>
      </c>
      <c r="I133" s="1252" t="s">
        <v>4660</v>
      </c>
      <c r="J133" s="1252">
        <f>IF(AND(IF(INDEX(capBusBEmp3Utiliz,xxIndexTeam)&gt;70%,TRUE,FALSE),IF(INDEX(capBusBEmp3Utiliz,xxIndexTeam)&lt;80%,TRUE,FALSE)),1/40,1/20)</f>
        <v>0.05</v>
      </c>
      <c r="M133" s="1252" t="s">
        <v>4660</v>
      </c>
      <c r="N133" s="1252">
        <f>IF(AND(IF(INDEX(capBusBEmp4Utiliz,xxIndexTeam)&gt;70%,TRUE,FALSE),IF(INDEX(capBusBEmp4Utiliz,xxIndexTeam)&lt;80%,TRUE,FALSE)),1/40,1/20)</f>
        <v>0.05</v>
      </c>
      <c r="Q133" s="1252" t="s">
        <v>4660</v>
      </c>
      <c r="R133" s="1252">
        <f>IF(AND(IF(INDEX(capBusBEmp1Utiliz,xxIndexTeam)&gt;70%,TRUE,FALSE),IF(INDEX(capBusBEmp1Utiliz,xxIndexTeam)&lt;80%,TRUE,FALSE)),1/40,1/20)</f>
        <v>0.05</v>
      </c>
    </row>
    <row r="134" spans="2:18" ht="11.25">
      <c r="B134" s="12"/>
      <c r="E134" s="1252" t="s">
        <v>4651</v>
      </c>
      <c r="F134" s="1252">
        <f>IF(AND(IF(INDEX(capBusBEmp2Utiliz,xxIndexTeam)&gt;70%,TRUE,FALSE),IF(INDEX(capBusBEmp2Utiliz,xxIndexTeam)&lt;=80%,TRUE,FALSE)),1/200,0)</f>
        <v>0</v>
      </c>
      <c r="I134" s="1252" t="s">
        <v>4651</v>
      </c>
      <c r="J134" s="1252">
        <f>IF(AND(IF(INDEX(capBusBEmp3Utiliz,xxIndexTeam)&gt;70%,TRUE,FALSE),IF(INDEX(capBusBEmp3Utiliz,xxIndexTeam)&lt;=80%,TRUE,FALSE)),1/200,0)</f>
        <v>0</v>
      </c>
      <c r="M134" s="1252" t="s">
        <v>4651</v>
      </c>
      <c r="N134" s="1252">
        <f>IF(AND(IF(INDEX(capBusBEmp4Utiliz,xxIndexTeam)&gt;70%,TRUE,FALSE),IF(INDEX(capBusBEmp4Utiliz,xxIndexTeam)&lt;=80%,TRUE,FALSE)),1/200,0)</f>
        <v>0</v>
      </c>
      <c r="Q134" s="1252" t="s">
        <v>4651</v>
      </c>
      <c r="R134" s="1252">
        <f>IF(AND(IF(INDEX(capBusBEmp1Utiliz,xxIndexTeam)&gt;70%,TRUE,FALSE),IF(INDEX(capBusBEmp1Utiliz,xxIndexTeam)&lt;=80%,TRUE,FALSE)),1/200,0)</f>
        <v>0</v>
      </c>
    </row>
    <row r="135" spans="2:18" ht="11.25">
      <c r="E135" s="1252" t="s">
        <v>4660</v>
      </c>
      <c r="F135" s="1252">
        <f>IF(AND(IF(INDEX(capBusBEmp2Utiliz,xxIndexTeam)&gt;70%,TRUE,FALSE),IF(INDEX(capBusBEmp2Utiliz,xxIndexTeam)&lt;=80%,TRUE,FALSE)),1/40,0)</f>
        <v>0</v>
      </c>
      <c r="I135" s="1252" t="s">
        <v>4660</v>
      </c>
      <c r="J135" s="1252">
        <f>IF(AND(IF(INDEX(capBusBEmp3Utiliz,xxIndexTeam)&gt;70%,TRUE,FALSE),IF(INDEX(capBusBEmp3Utiliz,xxIndexTeam)&lt;=80%,TRUE,FALSE)),1/40,0)</f>
        <v>0</v>
      </c>
      <c r="M135" s="1252" t="s">
        <v>4660</v>
      </c>
      <c r="N135" s="1252">
        <f>IF(AND(IF(INDEX(capBusBEmp4Utiliz,xxIndexTeam)&gt;70%,TRUE,FALSE),IF(INDEX(capBusBEmp4Utiliz,xxIndexTeam)&lt;=80%,TRUE,FALSE)),1/40,0)</f>
        <v>0</v>
      </c>
      <c r="Q135" s="1252" t="s">
        <v>4660</v>
      </c>
      <c r="R135" s="1252">
        <f>IF(AND(IF(INDEX(capBusBEmp1Utiliz,xxIndexTeam)&gt;70%,TRUE,FALSE),IF(INDEX(capBusBEmp1Utiliz,xxIndexTeam)&lt;=80%,TRUE,FALSE)),1/40,0)</f>
        <v>0</v>
      </c>
    </row>
    <row r="136" spans="2:18" ht="11.25">
      <c r="B136" s="12"/>
      <c r="E136" s="1252" t="s">
        <v>4661</v>
      </c>
      <c r="F136" s="1252">
        <f>IF(AND(IF(INDEX(capBusBEmp2Utiliz,xxIndexTeam)&gt;80%,TRUE,FALSE),IF(INDEX(capBusBEmp2Utiliz,xxIndexTeam)&lt;90%,TRUE,FALSE)),1/40,1/20)</f>
        <v>0.05</v>
      </c>
      <c r="I136" s="1252" t="s">
        <v>4661</v>
      </c>
      <c r="J136" s="1252">
        <f>IF(AND(IF(INDEX(capBusBEmp3Utiliz,xxIndexTeam)&gt;80%,TRUE,FALSE),IF(INDEX(capBusBEmp3Utiliz,xxIndexTeam)&lt;90%,TRUE,FALSE)),1/40,1/20)</f>
        <v>0.05</v>
      </c>
      <c r="M136" s="1252" t="s">
        <v>4661</v>
      </c>
      <c r="N136" s="1252">
        <f>IF(AND(IF(INDEX(capBusBEmp4Utiliz,xxIndexTeam)&gt;80%,TRUE,FALSE),IF(INDEX(capBusBEmp4Utiliz,xxIndexTeam)&lt;90%,TRUE,FALSE)),1/40,1/20)</f>
        <v>0.05</v>
      </c>
      <c r="Q136" s="1252" t="s">
        <v>4661</v>
      </c>
      <c r="R136" s="1252">
        <f>IF(AND(IF(INDEX(capBusBEmp1Utiliz,xxIndexTeam)&gt;80%,TRUE,FALSE),IF(INDEX(capBusBEmp1Utiliz,xxIndexTeam)&lt;90%,TRUE,FALSE)),1/40,1/20)</f>
        <v>0.05</v>
      </c>
    </row>
    <row r="137" spans="2:18" ht="11.25">
      <c r="B137" s="12"/>
      <c r="E137" s="1252" t="s">
        <v>4651</v>
      </c>
      <c r="F137" s="1252">
        <f>IF(AND(IF(INDEX(capBusBEmp2Utiliz,xxIndexTeam)&gt;80%,TRUE,FALSE),IF(INDEX(capBusBEmp2Utiliz,xxIndexTeam)&lt;=90%,TRUE,FALSE)),1/200,0)</f>
        <v>0</v>
      </c>
      <c r="I137" s="1252" t="s">
        <v>4651</v>
      </c>
      <c r="J137" s="1252">
        <f>IF(AND(IF(INDEX(capBusBEmp3Utiliz,xxIndexTeam)&gt;80%,TRUE,FALSE),IF(INDEX(capBusBEmp3Utiliz,xxIndexTeam)&lt;=90%,TRUE,FALSE)),1/200,0)</f>
        <v>0</v>
      </c>
      <c r="M137" s="1252" t="s">
        <v>4651</v>
      </c>
      <c r="N137" s="1252">
        <f>IF(AND(IF(INDEX(capBusBEmp4Utiliz,xxIndexTeam)&gt;80%,TRUE,FALSE),IF(INDEX(capBusBEmp4Utiliz,xxIndexTeam)&lt;=90%,TRUE,FALSE)),1/200,0)</f>
        <v>0</v>
      </c>
      <c r="Q137" s="1252" t="s">
        <v>4651</v>
      </c>
      <c r="R137" s="1252">
        <f>IF(AND(IF(INDEX(capBusBEmp1Utiliz,xxIndexTeam)&gt;80%,TRUE,FALSE),IF(INDEX(capBusBEmp1Utiliz,xxIndexTeam)&lt;=90%,TRUE,FALSE)),1/200,0)</f>
        <v>0</v>
      </c>
    </row>
    <row r="138" spans="2:18" ht="11.25">
      <c r="E138" s="1252" t="s">
        <v>4661</v>
      </c>
      <c r="F138" s="1252">
        <f>IF(AND(IF(INDEX(capBusBEmp2Utiliz,xxIndexTeam)&gt;80%,TRUE,FALSE),IF(INDEX(capBusBEmp2Utiliz,xxIndexTeam)&lt;=90%,TRUE,FALSE)),1/40,0)</f>
        <v>0</v>
      </c>
      <c r="I138" s="1252" t="s">
        <v>4661</v>
      </c>
      <c r="J138" s="1252">
        <f>IF(AND(IF(INDEX(capBusBEmp3Utiliz,xxIndexTeam)&gt;80%,TRUE,FALSE),IF(INDEX(capBusBEmp3Utiliz,xxIndexTeam)&lt;=90%,TRUE,FALSE)),1/40,0)</f>
        <v>0</v>
      </c>
      <c r="M138" s="1252" t="s">
        <v>4661</v>
      </c>
      <c r="N138" s="1252">
        <f>IF(AND(IF(INDEX(capBusBEmp4Utiliz,xxIndexTeam)&gt;80%,TRUE,FALSE),IF(INDEX(capBusBEmp4Utiliz,xxIndexTeam)&lt;=90%,TRUE,FALSE)),1/40,0)</f>
        <v>0</v>
      </c>
      <c r="Q138" s="1252" t="s">
        <v>4661</v>
      </c>
      <c r="R138" s="1252">
        <f>IF(AND(IF(INDEX(capBusBEmp1Utiliz,xxIndexTeam)&gt;80%,TRUE,FALSE),IF(INDEX(capBusBEmp1Utiliz,xxIndexTeam)&lt;=90%,TRUE,FALSE)),1/40,0)</f>
        <v>0</v>
      </c>
    </row>
    <row r="139" spans="2:18" ht="11.25">
      <c r="B139" s="12"/>
      <c r="E139" s="1252" t="s">
        <v>4662</v>
      </c>
      <c r="F139" s="1252">
        <f>IF(AND(IF(INDEX(capBusBEmp2Utiliz,xxIndexTeam)&gt;90%,TRUE,FALSE),IF(INDEX(capBusBEmp2Utiliz,xxIndexTeam)&lt;100%,TRUE,FALSE)),1/40,1/20)</f>
        <v>0.05</v>
      </c>
      <c r="I139" s="1252" t="s">
        <v>4662</v>
      </c>
      <c r="J139" s="1252">
        <f>IF(AND(IF(INDEX(capBusBEmp3Utiliz,xxIndexTeam)&gt;90%,TRUE,FALSE),IF(INDEX(capBusBEmp3Utiliz,xxIndexTeam)&lt;100%,TRUE,FALSE)),1/40,1/20)</f>
        <v>0.05</v>
      </c>
      <c r="M139" s="1252" t="s">
        <v>4662</v>
      </c>
      <c r="N139" s="1252">
        <f>IF(AND(IF(INDEX(capBusBEmp4Utiliz,xxIndexTeam)&gt;90%,TRUE,FALSE),IF(INDEX(capBusBEmp4Utiliz,xxIndexTeam)&lt;100%,TRUE,FALSE)),1/40,1/20)</f>
        <v>0.05</v>
      </c>
      <c r="Q139" s="1252" t="s">
        <v>4662</v>
      </c>
      <c r="R139" s="1252">
        <f>IF(AND(IF(INDEX(capBusBEmp1Utiliz,xxIndexTeam)&gt;90%,TRUE,FALSE),IF(INDEX(capBusBEmp1Utiliz,xxIndexTeam)&lt;100%,TRUE,FALSE)),1/40,1/20)</f>
        <v>0.05</v>
      </c>
    </row>
    <row r="140" spans="2:18" ht="11.25">
      <c r="B140" s="12"/>
      <c r="E140" s="1252" t="s">
        <v>4651</v>
      </c>
      <c r="F140" s="1252">
        <f>IF(AND(IF(INDEX(capBusBEmp2Utiliz,xxIndexTeam)&gt;90%,TRUE,FALSE),IF(INDEX(capBusBEmp2Utiliz,xxIndexTeam)&lt;=100%,TRUE,FALSE)),1/200,0)</f>
        <v>0</v>
      </c>
      <c r="I140" s="1252" t="s">
        <v>4651</v>
      </c>
      <c r="J140" s="1252">
        <f>IF(AND(IF(INDEX(capBusBEmp3Utiliz,xxIndexTeam)&gt;90%,TRUE,FALSE),IF(INDEX(capBusBEmp3Utiliz,xxIndexTeam)&lt;=100%,TRUE,FALSE)),1/200,0)</f>
        <v>0</v>
      </c>
      <c r="M140" s="1252" t="s">
        <v>4651</v>
      </c>
      <c r="N140" s="1252">
        <f>IF(AND(IF(INDEX(capBusBEmp4Utiliz,xxIndexTeam)&gt;90%,TRUE,FALSE),IF(INDEX(capBusBEmp4Utiliz,xxIndexTeam)&lt;=100%,TRUE,FALSE)),1/200,0)</f>
        <v>0</v>
      </c>
      <c r="Q140" s="1252" t="s">
        <v>4651</v>
      </c>
      <c r="R140" s="1252">
        <f>IF(AND(IF(INDEX(capBusBEmp1Utiliz,xxIndexTeam)&gt;90%,TRUE,FALSE),IF(INDEX(capBusBEmp1Utiliz,xxIndexTeam)&lt;=100%,TRUE,FALSE)),1/200,0)</f>
        <v>0</v>
      </c>
    </row>
    <row r="141" spans="2:18" ht="11.25">
      <c r="E141" s="1252" t="s">
        <v>4662</v>
      </c>
      <c r="F141" s="1252">
        <f>IF(AND(IF(INDEX(capBusBEmp2Utiliz,xxIndexTeam)&gt;90%,TRUE,FALSE),IF(INDEX(capBusBEmp2Utiliz,xxIndexTeam)&lt;=100%,TRUE,FALSE)),1/40,0)</f>
        <v>0</v>
      </c>
      <c r="I141" s="1252" t="s">
        <v>4662</v>
      </c>
      <c r="J141" s="1252">
        <f>IF(AND(IF(INDEX(capBusBEmp3Utiliz,xxIndexTeam)&gt;90%,TRUE,FALSE),IF(INDEX(capBusBEmp3Utiliz,xxIndexTeam)&lt;=100%,TRUE,FALSE)),1/40,0)</f>
        <v>0</v>
      </c>
      <c r="M141" s="1252" t="s">
        <v>4662</v>
      </c>
      <c r="N141" s="1252">
        <f>IF(AND(IF(INDEX(capBusBEmp4Utiliz,xxIndexTeam)&gt;90%,TRUE,FALSE),IF(INDEX(capBusBEmp4Utiliz,xxIndexTeam)&lt;=100%,TRUE,FALSE)),1/40,0)</f>
        <v>0</v>
      </c>
      <c r="Q141" s="1252" t="s">
        <v>4662</v>
      </c>
      <c r="R141" s="1252">
        <f>IF(AND(IF(INDEX(capBusBEmp1Utiliz,xxIndexTeam)&gt;90%,TRUE,FALSE),IF(INDEX(capBusBEmp1Utiliz,xxIndexTeam)&lt;=100%,TRUE,FALSE)),1/40,0)</f>
        <v>0</v>
      </c>
    </row>
    <row r="142" spans="2:18" ht="11.25">
      <c r="B142" s="12"/>
      <c r="E142" s="1252" t="s">
        <v>4663</v>
      </c>
      <c r="F142" s="1252">
        <f>IF(AND(IF(INDEX(capBusBEmp2Utiliz,xxIndexTeam)&gt;100%,TRUE,FALSE),IF(INDEX(capBusBEmp2Utiliz,xxIndexTeam)&lt;110%,TRUE,FALSE)),1/40,1/20)</f>
        <v>0.05</v>
      </c>
      <c r="I142" s="1252" t="s">
        <v>4663</v>
      </c>
      <c r="J142" s="1252">
        <f>IF(AND(IF(INDEX(capBusBEmp3Utiliz,xxIndexTeam)&gt;100%,TRUE,FALSE),IF(INDEX(capBusBEmp3Utiliz,xxIndexTeam)&lt;110%,TRUE,FALSE)),1/40,1/20)</f>
        <v>0.05</v>
      </c>
      <c r="M142" s="1252" t="s">
        <v>4663</v>
      </c>
      <c r="N142" s="1252">
        <f>IF(AND(IF(INDEX(capBusBEmp4Utiliz,xxIndexTeam)&gt;100%,TRUE,FALSE),IF(INDEX(capBusBEmp4Utiliz,xxIndexTeam)&lt;110%,TRUE,FALSE)),1/40,1/20)</f>
        <v>0.05</v>
      </c>
      <c r="Q142" s="1252" t="s">
        <v>4663</v>
      </c>
      <c r="R142" s="1252">
        <f>IF(AND(IF(INDEX(capBusBEmp1Utiliz,xxIndexTeam)&gt;100%,TRUE,FALSE),IF(INDEX(capBusBEmp1Utiliz,xxIndexTeam)&lt;110%,TRUE,FALSE)),1/40,1/20)</f>
        <v>0.05</v>
      </c>
    </row>
    <row r="143" spans="2:18" ht="11.25">
      <c r="B143" s="12"/>
      <c r="E143" s="1252" t="s">
        <v>4651</v>
      </c>
      <c r="F143" s="1252">
        <f>IF(AND(IF(INDEX(capBusBEmp2Utiliz,xxIndexTeam)&gt;100%,TRUE,FALSE),IF(INDEX(capBusBEmp2Utiliz,xxIndexTeam)&lt;=110%,TRUE,FALSE)),1/200,0)</f>
        <v>0</v>
      </c>
      <c r="I143" s="1252" t="s">
        <v>4651</v>
      </c>
      <c r="J143" s="1252">
        <f>IF(AND(IF(INDEX(capBusBEmp3Utiliz,xxIndexTeam)&gt;100%,TRUE,FALSE),IF(INDEX(capBusBEmp3Utiliz,xxIndexTeam)&lt;=110%,TRUE,FALSE)),1/200,0)</f>
        <v>0</v>
      </c>
      <c r="M143" s="1252" t="s">
        <v>4651</v>
      </c>
      <c r="N143" s="1252">
        <f>IF(AND(IF(INDEX(capBusBEmp4Utiliz,xxIndexTeam)&gt;100%,TRUE,FALSE),IF(INDEX(capBusBEmp4Utiliz,xxIndexTeam)&lt;=110%,TRUE,FALSE)),1/200,0)</f>
        <v>0</v>
      </c>
      <c r="Q143" s="1252" t="s">
        <v>4651</v>
      </c>
      <c r="R143" s="1252">
        <f>IF(AND(IF(INDEX(capBusBEmp1Utiliz,xxIndexTeam)&gt;100%,TRUE,FALSE),IF(INDEX(capBusBEmp1Utiliz,xxIndexTeam)&lt;=110%,TRUE,FALSE)),1/200,0)</f>
        <v>0</v>
      </c>
    </row>
    <row r="144" spans="2:18" ht="11.25">
      <c r="E144" s="1252" t="s">
        <v>4663</v>
      </c>
      <c r="F144" s="1252">
        <f>IF(AND(IF(INDEX(capBusBEmp2Utiliz,xxIndexTeam)&gt;100%,TRUE,FALSE),IF(INDEX(capBusBEmp2Utiliz,xxIndexTeam)&lt;=110%,TRUE,FALSE)),1/40,0)</f>
        <v>0</v>
      </c>
      <c r="I144" s="1252" t="s">
        <v>4663</v>
      </c>
      <c r="J144" s="1252">
        <f>IF(AND(IF(INDEX(capBusBEmp3Utiliz,xxIndexTeam)&gt;100%,TRUE,FALSE),IF(INDEX(capBusBEmp3Utiliz,xxIndexTeam)&lt;=110%,TRUE,FALSE)),1/40,0)</f>
        <v>0</v>
      </c>
      <c r="M144" s="1252" t="s">
        <v>4663</v>
      </c>
      <c r="N144" s="1252">
        <f>IF(AND(IF(INDEX(capBusBEmp4Utiliz,xxIndexTeam)&gt;100%,TRUE,FALSE),IF(INDEX(capBusBEmp4Utiliz,xxIndexTeam)&lt;=110%,TRUE,FALSE)),1/40,0)</f>
        <v>0</v>
      </c>
      <c r="Q144" s="1252" t="s">
        <v>4663</v>
      </c>
      <c r="R144" s="1252">
        <f>IF(AND(IF(INDEX(capBusBEmp1Utiliz,xxIndexTeam)&gt;100%,TRUE,FALSE),IF(INDEX(capBusBEmp1Utiliz,xxIndexTeam)&lt;=110%,TRUE,FALSE)),1/40,0)</f>
        <v>0</v>
      </c>
    </row>
    <row r="145" spans="1:18" ht="11.25">
      <c r="E145" s="1252" t="s">
        <v>4652</v>
      </c>
      <c r="F145" s="1252">
        <v>0.5</v>
      </c>
      <c r="I145" s="1252" t="s">
        <v>4652</v>
      </c>
      <c r="J145" s="1252">
        <v>0.5</v>
      </c>
      <c r="M145" s="1252" t="s">
        <v>4652</v>
      </c>
      <c r="N145" s="1252">
        <v>0.5</v>
      </c>
      <c r="Q145" s="1252" t="s">
        <v>4652</v>
      </c>
      <c r="R145" s="1252">
        <v>0.5</v>
      </c>
    </row>
    <row r="146" spans="1:18" ht="11.25"/>
    <row r="147" spans="1:18" s="872" customFormat="1" ht="15">
      <c r="A147" s="872" t="s">
        <v>4689</v>
      </c>
    </row>
    <row r="148" spans="1:18" ht="11.25"/>
    <row r="149" spans="1:18" ht="11.25"/>
    <row r="150" spans="1:18" ht="11.25"/>
    <row r="151" spans="1:18" ht="11.25"/>
    <row r="152" spans="1:18" ht="11.25"/>
    <row r="153" spans="1:18" ht="11.25"/>
    <row r="154" spans="1:18" ht="11.25"/>
    <row r="155" spans="1:18" ht="11.25"/>
    <row r="156" spans="1:18" ht="11.25"/>
    <row r="157" spans="1:18" ht="11.25"/>
    <row r="158" spans="1:18">
      <c r="B158" s="1527" t="s">
        <v>4650</v>
      </c>
      <c r="C158" s="1527"/>
      <c r="E158" s="1255" t="s">
        <v>4267</v>
      </c>
      <c r="F158" s="1256"/>
    </row>
    <row r="159" spans="1:18" ht="11.25">
      <c r="B159" s="12">
        <f>1/6</f>
        <v>0.16666666666666666</v>
      </c>
      <c r="E159" s="1252" t="s">
        <v>4653</v>
      </c>
      <c r="F159" s="1252">
        <f>IF(AND(IF(INDEX(capEmp6Utiliz,xxIndexTeam)&gt;0%,TRUE,FALSE),IF(INDEX(capEmp6Utiliz,xxIndexTeam)&lt;10%,TRUE,FALSE)),1/40,1/20)</f>
        <v>0.05</v>
      </c>
    </row>
    <row r="160" spans="1:18" ht="11.25">
      <c r="B160" s="12">
        <f>1/6</f>
        <v>0.16666666666666666</v>
      </c>
      <c r="E160" s="1252" t="s">
        <v>4651</v>
      </c>
      <c r="F160" s="1252">
        <f>IF(AND(IF(INDEX(capEmp6Utiliz,xxIndexTeam)&gt;0%,TRUE,FALSE),IF(INDEX(capEmp6Utiliz,xxIndexTeam)&lt;=10%,TRUE,FALSE)),1/200,0)</f>
        <v>0</v>
      </c>
    </row>
    <row r="161" spans="2:17" ht="11.25">
      <c r="B161" s="12">
        <f>2/3</f>
        <v>0.66666666666666663</v>
      </c>
      <c r="E161" s="1253" t="s">
        <v>4653</v>
      </c>
      <c r="F161" s="1252">
        <f>IF(AND(IF(INDEX(capEmp6Utiliz,xxIndexTeam)&gt;0%,TRUE,FALSE),IF(INDEX(capEmp6Utiliz,xxIndexTeam)&lt;=10%,TRUE,FALSE)),1/40,0)</f>
        <v>0</v>
      </c>
      <c r="I161" s="869"/>
      <c r="M161" s="869"/>
      <c r="Q161" s="869"/>
    </row>
    <row r="162" spans="2:17" ht="11.25">
      <c r="B162" s="12">
        <f>1/6</f>
        <v>0.16666666666666666</v>
      </c>
      <c r="E162" s="1254" t="s">
        <v>4654</v>
      </c>
      <c r="F162" s="1252">
        <f>IF(AND(IF(INDEX(capEmp6Utiliz,xxIndexTeam)&gt;10%,TRUE,FALSE),IF(INDEX(capEmp6Utiliz,xxIndexTeam)&lt;20,TRUE,FALSE)),1/40,1/20)</f>
        <v>2.5000000000000001E-2</v>
      </c>
      <c r="I162" s="104"/>
      <c r="M162" s="104"/>
      <c r="Q162" s="104"/>
    </row>
    <row r="163" spans="2:17" ht="11.25">
      <c r="B163" s="12">
        <f>1/6</f>
        <v>0.16666666666666666</v>
      </c>
      <c r="E163" s="1252" t="s">
        <v>4651</v>
      </c>
      <c r="F163" s="1252">
        <f>IF(AND(IF(INDEX(capEmp6Utiliz,xxIndexTeam)&gt;10%,TRUE,FALSE),IF(INDEX(capEmp6Utiliz,xxIndexTeam)&lt;=20%,TRUE,FALSE)),1/200,0)</f>
        <v>0</v>
      </c>
    </row>
    <row r="164" spans="2:17" ht="11.25">
      <c r="E164" s="1254" t="s">
        <v>4654</v>
      </c>
      <c r="F164" s="1252">
        <f>IF(AND(IF(INDEX(capEmp6Utiliz,xxIndexTeam)&gt;10%,TRUE,FALSE),IF(INDEX(capEmp6Utiliz,xxIndexTeam)&lt;=20%,TRUE,FALSE)),1/40,0)</f>
        <v>0</v>
      </c>
      <c r="I164" s="104"/>
      <c r="M164" s="104"/>
      <c r="Q164" s="104"/>
    </row>
    <row r="165" spans="2:17" ht="11.25">
      <c r="B165" s="12"/>
      <c r="E165" s="1252" t="s">
        <v>4655</v>
      </c>
      <c r="F165" s="1252">
        <f>IF(AND(IF(INDEX(capEmp6Utiliz,xxIndexTeam)&gt;20%,TRUE,FALSE),IF(INDEX(capEmp6Utiliz,xxIndexTeam)&lt;30%,TRUE,FALSE)),1/40,1/20)</f>
        <v>0.05</v>
      </c>
    </row>
    <row r="166" spans="2:17" ht="11.25">
      <c r="B166" s="12"/>
      <c r="E166" s="1252" t="s">
        <v>4651</v>
      </c>
      <c r="F166" s="1252">
        <f>IF(AND(IF(INDEX(capEmp6Utiliz,xxIndexTeam)&gt;20%,TRUE,FALSE),IF(INDEX(capEmp6Utiliz,xxIndexTeam)&lt;=30%,TRUE,FALSE)),1/200,0)</f>
        <v>0</v>
      </c>
    </row>
    <row r="167" spans="2:17" ht="11.25">
      <c r="E167" s="1252" t="s">
        <v>4655</v>
      </c>
      <c r="F167" s="1252">
        <f>IF(AND(IF(INDEX(capEmp6Utiliz,xxIndexTeam)&gt;20%,TRUE,FALSE),IF(INDEX(capEmp6Utiliz,xxIndexTeam)&lt;=30%,TRUE,FALSE)),1/40,0)</f>
        <v>0</v>
      </c>
    </row>
    <row r="168" spans="2:17" ht="11.25">
      <c r="B168" s="12"/>
      <c r="E168" s="1252" t="s">
        <v>4656</v>
      </c>
      <c r="F168" s="1252">
        <f>IF(AND(IF(INDEX(capEmp6Utiliz,xxIndexTeam)&gt;30%,TRUE,FALSE),IF(INDEX(capEmp6Utiliz,xxIndexTeam)&lt;40%,TRUE,FALSE)),1/40,1/20)</f>
        <v>0.05</v>
      </c>
    </row>
    <row r="169" spans="2:17" ht="11.25">
      <c r="B169" s="12"/>
      <c r="E169" s="1252" t="s">
        <v>4651</v>
      </c>
      <c r="F169" s="1252">
        <f>IF(AND(IF(INDEX(capEmp6Utiliz,xxIndexTeam)&gt;30%,TRUE,FALSE),IF(INDEX(capEmp6Utiliz,xxIndexTeam)&lt;=40%,TRUE,FALSE)),1/200,0)</f>
        <v>0</v>
      </c>
    </row>
    <row r="170" spans="2:17" ht="11.25">
      <c r="E170" s="1252" t="s">
        <v>4656</v>
      </c>
      <c r="F170" s="1252">
        <f>IF(AND(IF(INDEX(capEmp6Utiliz,xxIndexTeam)&gt;30%,TRUE,FALSE),IF(INDEX(capEmp6Utiliz,xxIndexTeam)&lt;=40%,TRUE,FALSE)),1/40,0)</f>
        <v>0</v>
      </c>
    </row>
    <row r="171" spans="2:17" ht="11.25">
      <c r="B171" s="12"/>
      <c r="E171" s="1252" t="s">
        <v>4657</v>
      </c>
      <c r="F171" s="1252">
        <f>IF(AND(IF(INDEX(capEmp6Utiliz,xxIndexTeam)&gt;40%,TRUE,FALSE),IF(INDEX(capEmp6Utiliz,xxIndexTeam)&lt;50%,TRUE,FALSE)),1/40,1/20)</f>
        <v>0.05</v>
      </c>
    </row>
    <row r="172" spans="2:17" ht="11.25">
      <c r="B172" s="12"/>
      <c r="E172" s="1252" t="s">
        <v>4651</v>
      </c>
      <c r="F172" s="1252">
        <f>IF(AND(IF(INDEX(capEmp6Utiliz,xxIndexTeam)&gt;40%,TRUE,FALSE),IF(INDEX(capEmp6Utiliz,xxIndexTeam)&lt;=50%,TRUE,FALSE)),1/200,0)</f>
        <v>0</v>
      </c>
    </row>
    <row r="173" spans="2:17" ht="11.25">
      <c r="E173" s="1252" t="s">
        <v>4657</v>
      </c>
      <c r="F173" s="1252">
        <f>IF(AND(IF(INDEX(capEmp6Utiliz,xxIndexTeam)&gt;40%,TRUE,FALSE),IF(INDEX(capEmp6Utiliz,xxIndexTeam)&lt;=50%,TRUE,FALSE)),1/40,0)</f>
        <v>0</v>
      </c>
    </row>
    <row r="174" spans="2:17" ht="11.25">
      <c r="B174" s="12"/>
      <c r="E174" s="1252" t="s">
        <v>4658</v>
      </c>
      <c r="F174" s="1252">
        <f>IF(AND(IF(INDEX(capEmp6Utiliz,xxIndexTeam)&gt;50%,TRUE,FALSE),IF(INDEX(capEmp6Utiliz,xxIndexTeam)&lt;60%,TRUE,FALSE)),1/40,1/20)</f>
        <v>2.5000000000000001E-2</v>
      </c>
    </row>
    <row r="175" spans="2:17" ht="11.25">
      <c r="B175" s="12"/>
      <c r="E175" s="1252" t="s">
        <v>4651</v>
      </c>
      <c r="F175" s="1252">
        <f>IF(AND(IF(INDEX(capEmp6Utiliz,xxIndexTeam)&gt;50%,TRUE,FALSE),IF(INDEX(capEmp6Utiliz,xxIndexTeam)&lt;=60%,TRUE,FALSE)),1/200,0)</f>
        <v>5.0000000000000001E-3</v>
      </c>
    </row>
    <row r="176" spans="2:17" ht="11.25">
      <c r="E176" s="1252" t="s">
        <v>4658</v>
      </c>
      <c r="F176" s="1252">
        <f>IF(AND(IF(INDEX(capEmp6Utiliz,xxIndexTeam)&gt;50%,TRUE,FALSE),IF(INDEX(capEmp6Utiliz,xxIndexTeam)&lt;=60%,TRUE,FALSE)),1/40,0)</f>
        <v>2.5000000000000001E-2</v>
      </c>
    </row>
    <row r="177" spans="2:6" ht="11.25">
      <c r="B177" s="12"/>
      <c r="E177" s="1252" t="s">
        <v>4659</v>
      </c>
      <c r="F177" s="1252">
        <f>IF(AND(IF(INDEX(capEmp6Utiliz,xxIndexTeam)&gt;60%,TRUE,FALSE),IF(INDEX(capEmp6Utiliz,xxIndexTeam)&lt;70%,TRUE,FALSE)),1/40,1/20)</f>
        <v>0.05</v>
      </c>
    </row>
    <row r="178" spans="2:6" ht="11.25">
      <c r="B178" s="12"/>
      <c r="E178" s="1252" t="s">
        <v>4651</v>
      </c>
      <c r="F178" s="1252">
        <f>IF(AND(IF(INDEX(capEmp6Utiliz,xxIndexTeam)&gt;60%,TRUE,FALSE),IF(INDEX(capEmp6Utiliz,xxIndexTeam)&lt;=70%,TRUE,FALSE)),1/200,0)</f>
        <v>0</v>
      </c>
    </row>
    <row r="179" spans="2:6" ht="11.25">
      <c r="E179" s="1252" t="s">
        <v>4659</v>
      </c>
      <c r="F179" s="1252">
        <f>IF(AND(IF(INDEX(capEmp6Utiliz,xxIndexTeam)&gt;60%,TRUE,FALSE),IF(INDEX(capEmp6Utiliz,xxIndexTeam)&lt;=70%,TRUE,FALSE)),1/40,0)</f>
        <v>0</v>
      </c>
    </row>
    <row r="180" spans="2:6" ht="11.25">
      <c r="B180" s="12"/>
      <c r="E180" s="1252" t="s">
        <v>4660</v>
      </c>
      <c r="F180" s="1252">
        <f>IF(AND(IF(INDEX(capEmp6Utiliz,xxIndexTeam)&gt;70%,TRUE,FALSE),IF(INDEX(capEmp6Utiliz,xxIndexTeam)&lt;80%,TRUE,FALSE)),1/40,1/20)</f>
        <v>0.05</v>
      </c>
    </row>
    <row r="181" spans="2:6" ht="11.25">
      <c r="B181" s="12"/>
      <c r="E181" s="1252" t="s">
        <v>4651</v>
      </c>
      <c r="F181" s="1252">
        <f>IF(AND(IF(INDEX(capEmp6Utiliz,xxIndexTeam)&gt;70%,TRUE,FALSE),IF(INDEX(capEmp6Utiliz,xxIndexTeam)&lt;=80%,TRUE,FALSE)),1/200,0)</f>
        <v>0</v>
      </c>
    </row>
    <row r="182" spans="2:6" ht="11.25">
      <c r="E182" s="1252" t="s">
        <v>4660</v>
      </c>
      <c r="F182" s="1252">
        <f>IF(AND(IF(INDEX(capEmp6Utiliz,xxIndexTeam)&gt;70%,TRUE,FALSE),IF(INDEX(capEmp6Utiliz,xxIndexTeam)&lt;=80%,TRUE,FALSE)),1/40,0)</f>
        <v>0</v>
      </c>
    </row>
    <row r="183" spans="2:6" ht="11.25">
      <c r="B183" s="12"/>
      <c r="E183" s="1252" t="s">
        <v>4661</v>
      </c>
      <c r="F183" s="1252">
        <f>IF(AND(IF(INDEX(capEmp6Utiliz,xxIndexTeam)&gt;80%,TRUE,FALSE),IF(INDEX(capEmp6Utiliz,xxIndexTeam)&lt;90%,TRUE,FALSE)),1/40,1/20)</f>
        <v>0.05</v>
      </c>
    </row>
    <row r="184" spans="2:6" ht="11.25">
      <c r="B184" s="12"/>
      <c r="E184" s="1252" t="s">
        <v>4651</v>
      </c>
      <c r="F184" s="1252">
        <f>IF(AND(IF(INDEX(capEmp6Utiliz,xxIndexTeam)&gt;80%,TRUE,FALSE),IF(INDEX(capEmp6Utiliz,xxIndexTeam)&lt;=90%,TRUE,FALSE)),1/200,0)</f>
        <v>0</v>
      </c>
    </row>
    <row r="185" spans="2:6" ht="11.25">
      <c r="E185" s="1252" t="s">
        <v>4661</v>
      </c>
      <c r="F185" s="1252">
        <f>IF(AND(IF(INDEX(capEmp6Utiliz,xxIndexTeam)&gt;80%,TRUE,FALSE),IF(INDEX(capEmp6Utiliz,xxIndexTeam)&lt;=90%,TRUE,FALSE)),1/40,0)</f>
        <v>0</v>
      </c>
    </row>
    <row r="186" spans="2:6" ht="11.25">
      <c r="B186" s="12"/>
      <c r="E186" s="1252" t="s">
        <v>4662</v>
      </c>
      <c r="F186" s="1252">
        <f>IF(AND(IF(INDEX(capEmp6Utiliz,xxIndexTeam)&gt;90%,TRUE,FALSE),IF(INDEX(capEmp6Utiliz,xxIndexTeam)&lt;100%,TRUE,FALSE)),1/40,1/20)</f>
        <v>0.05</v>
      </c>
    </row>
    <row r="187" spans="2:6" ht="11.25">
      <c r="B187" s="12"/>
      <c r="E187" s="1252" t="s">
        <v>4651</v>
      </c>
      <c r="F187" s="1252">
        <f>IF(AND(IF(INDEX(capEmp6Utiliz,xxIndexTeam)&gt;90%,TRUE,FALSE),IF(INDEX(capEmp6Utiliz,xxIndexTeam)&lt;=100%,TRUE,FALSE)),1/200,0)</f>
        <v>0</v>
      </c>
    </row>
    <row r="188" spans="2:6" ht="11.25">
      <c r="E188" s="1252" t="s">
        <v>4662</v>
      </c>
      <c r="F188" s="1252">
        <f>IF(AND(IF(INDEX(capEmp6Utiliz,xxIndexTeam)&gt;90%,TRUE,FALSE),IF(INDEX(capEmp6Utiliz,xxIndexTeam)&lt;=100%,TRUE,FALSE)),1/40,0)</f>
        <v>0</v>
      </c>
    </row>
    <row r="189" spans="2:6" ht="11.25">
      <c r="B189" s="12"/>
      <c r="E189" s="1252" t="s">
        <v>4663</v>
      </c>
      <c r="F189" s="1252">
        <f>IF(AND(IF(INDEX(capEmp6Utiliz,xxIndexTeam)&gt;100%,TRUE,FALSE),IF(INDEX(capEmp6Utiliz,xxIndexTeam)&lt;110%,TRUE,FALSE)),1/40,1/20)</f>
        <v>0.05</v>
      </c>
    </row>
    <row r="190" spans="2:6" ht="11.25">
      <c r="B190" s="12"/>
      <c r="E190" s="1252" t="s">
        <v>4651</v>
      </c>
      <c r="F190" s="1252">
        <f>IF(AND(IF(INDEX(capEmp6Utiliz,xxIndexTeam)&gt;100%,TRUE,FALSE),IF(INDEX(capEmp6Utiliz,xxIndexTeam)&lt;=110%,TRUE,FALSE)),1/200,0)</f>
        <v>0</v>
      </c>
    </row>
    <row r="191" spans="2:6" ht="11.25">
      <c r="E191" s="1252" t="s">
        <v>4663</v>
      </c>
      <c r="F191" s="1252">
        <f>IF(AND(IF(INDEX(capEmp6Utiliz,xxIndexTeam)&gt;100%,TRUE,FALSE),IF(INDEX(capEmp6Utiliz,xxIndexTeam)&lt;=110%,TRUE,FALSE)),1/40,0)</f>
        <v>0</v>
      </c>
    </row>
    <row r="192" spans="2:6" ht="11.25">
      <c r="E192" s="1252" t="s">
        <v>4652</v>
      </c>
      <c r="F192" s="1252">
        <v>0.5</v>
      </c>
    </row>
    <row r="193" spans="1:4" ht="11.25"/>
    <row r="194" spans="1:4" s="868" customFormat="1" ht="20.25">
      <c r="A194" s="868" t="s">
        <v>4672</v>
      </c>
    </row>
    <row r="195" spans="1:4" ht="11.25"/>
    <row r="196" spans="1:4" s="872" customFormat="1" ht="15">
      <c r="A196" s="872" t="s">
        <v>4712</v>
      </c>
    </row>
    <row r="197" spans="1:4" ht="11.25"/>
    <row r="198" spans="1:4" ht="11.25"/>
    <row r="199" spans="1:4" ht="11.25">
      <c r="C199" s="1252" t="s">
        <v>4792</v>
      </c>
      <c r="D199" s="1252" t="s">
        <v>2734</v>
      </c>
    </row>
    <row r="200" spans="1:4" ht="11.25">
      <c r="B200" s="1252" t="s">
        <v>4697</v>
      </c>
      <c r="C200" s="1258">
        <f>(INDEX(capProd1V1HrsForecast,xxIndexTeam)*tlInputProd1Price)/1000000</f>
        <v>217.32328155856598</v>
      </c>
      <c r="D200" s="1259">
        <f>((C200*1000000)-INDEX(finPNLProd1V1Bookings,xxIndexTeam))/INDEX(finPNLProd1V1Bookings,xxIndexTeam)</f>
        <v>-6.4007818007482302E-3</v>
      </c>
    </row>
    <row r="201" spans="1:4" ht="11.25">
      <c r="B201" s="1252" t="s">
        <v>4698</v>
      </c>
      <c r="C201" s="1258">
        <f>(INDEX(capProd1V2HrsForecast,xxIndexTeam)*tlInputProd1V2Price)/1000000</f>
        <v>148.31115492392948</v>
      </c>
      <c r="D201" s="1259">
        <f>((C201*1000000)-INDEX(finPNLProd1V2Bookings,xxIndexTeam))/INDEX(finPNLProd1V2Bookings,xxIndexTeam)</f>
        <v>0</v>
      </c>
    </row>
    <row r="202" spans="1:4" ht="11.25">
      <c r="B202" s="1252" t="s">
        <v>5159</v>
      </c>
      <c r="C202" s="1258">
        <f>(INDEX(capProd1V3HrsForecast,xxIndexTeam)*tlInputProd1V3Price)/1000000</f>
        <v>74.226756670516764</v>
      </c>
      <c r="D202" s="1259">
        <f>((C202*1000000)-INDEX(finPNLProd1V3Bookings,xxIndexTeam))/INDEX(finPNLProd1V3Bookings,xxIndexTeam)</f>
        <v>0</v>
      </c>
    </row>
    <row r="203" spans="1:4" ht="11.25"/>
    <row r="204" spans="1:4" ht="11.25"/>
    <row r="205" spans="1:4" ht="11.25"/>
    <row r="206" spans="1:4" ht="11.25">
      <c r="D206" s="420">
        <v>24186044.153700002</v>
      </c>
    </row>
    <row r="207" spans="1:4" ht="11.25">
      <c r="D207" s="420">
        <v>38048470.677688502</v>
      </c>
    </row>
    <row r="208" spans="1:4" ht="11.25"/>
    <row r="209" spans="2:10" ht="11.25"/>
    <row r="210" spans="2:10" ht="11.25"/>
    <row r="211" spans="2:10" ht="11.25"/>
    <row r="212" spans="2:10" ht="11.25"/>
    <row r="213" spans="2:10" ht="11.25"/>
    <row r="214" spans="2:10" ht="11.25"/>
    <row r="215" spans="2:10" ht="11.25"/>
    <row r="216" spans="2:10" ht="11.25"/>
    <row r="217" spans="2:10" ht="11.25"/>
    <row r="218" spans="2:10" ht="11.25"/>
    <row r="219" spans="2:10" ht="11.25">
      <c r="E219" t="s">
        <v>2012</v>
      </c>
    </row>
    <row r="220" spans="2:10" ht="11.25">
      <c r="C220" s="324"/>
      <c r="D220" s="324"/>
      <c r="E220" s="324"/>
      <c r="H220" s="324"/>
    </row>
    <row r="221" spans="2:10" ht="11.25">
      <c r="B221" s="1252"/>
      <c r="C221" s="1258" t="s">
        <v>4703</v>
      </c>
      <c r="D221" s="1258" t="s">
        <v>4704</v>
      </c>
      <c r="E221" s="1258" t="s">
        <v>4705</v>
      </c>
      <c r="F221" s="1258" t="s">
        <v>5169</v>
      </c>
      <c r="H221" t="s">
        <v>407</v>
      </c>
    </row>
    <row r="222" spans="2:10" ht="11.25">
      <c r="B222" s="1252" t="s">
        <v>5168</v>
      </c>
      <c r="C222" s="1260">
        <f>INDEX(capBusAEmp4CompDevTtlHrReq,xxIndexTeam)</f>
        <v>880.00000000000011</v>
      </c>
      <c r="D222" s="1260">
        <f>INDEX(capBusAEmp3CompDevTtlHrReq,xxIndexTeam)</f>
        <v>1320.0000000000002</v>
      </c>
      <c r="E222" s="1260">
        <f>INDEX(capBusAEmp2CompDevTtlHrReq,xxIndexTeam)</f>
        <v>0</v>
      </c>
      <c r="F222" s="1260">
        <f>INDEX(capBusAEmp1CompDevTtlHrReq,xxIndexTeam)</f>
        <v>0</v>
      </c>
      <c r="H222" s="324" t="s">
        <v>4479</v>
      </c>
    </row>
    <row r="223" spans="2:10" ht="11.25">
      <c r="B223" s="1252" t="s">
        <v>5178</v>
      </c>
      <c r="C223" s="1260">
        <f>INDEX(capBusAEmp7CompDevTtlHrReq,xxIndexTeam)</f>
        <v>0</v>
      </c>
      <c r="D223" s="1260">
        <f>INDEX(capBusAEmp8CompDevTtlHrReq,xxIndexTeam)</f>
        <v>0</v>
      </c>
      <c r="E223" s="1260">
        <f>INDEX(capBusAEmp9CompDevTtlHrReq,xxIndexTeam)</f>
        <v>0</v>
      </c>
      <c r="F223" s="1260">
        <v>0</v>
      </c>
      <c r="H223" s="324">
        <f>(INDEX(finPNLBusAV1CompDevTimeExp,xxIndexTeam)+INDEX(finPNLBusAV2CompDevTimeExp,xxIndexTeam)+INDEX(finPNLBusAV3CompDevTimeExp,xxIndexTeam))/1000</f>
        <v>924</v>
      </c>
      <c r="J223" s="324"/>
    </row>
    <row r="224" spans="2:10" ht="11.25"/>
    <row r="225" spans="2:6" ht="11.25">
      <c r="B225" t="s">
        <v>1340</v>
      </c>
      <c r="C225" s="564">
        <f>SUM(C222:C223)</f>
        <v>880.00000000000011</v>
      </c>
      <c r="D225" s="564">
        <f>SUM(D222:D223)</f>
        <v>1320.0000000000002</v>
      </c>
      <c r="E225" s="564">
        <f>SUM(E222:E223)</f>
        <v>0</v>
      </c>
      <c r="F225" s="564">
        <f>SUM(F222:F223)</f>
        <v>0</v>
      </c>
    </row>
    <row r="226" spans="2:6" ht="11.25"/>
    <row r="227" spans="2:6" ht="11.25"/>
    <row r="228" spans="2:6" ht="11.25"/>
    <row r="229" spans="2:6" ht="11.25"/>
    <row r="230" spans="2:6" ht="11.25">
      <c r="B230" s="1252" t="s">
        <v>4713</v>
      </c>
    </row>
    <row r="231" spans="2:6" ht="11.25">
      <c r="C231" s="1252" t="s">
        <v>4697</v>
      </c>
      <c r="D231" s="1252" t="s">
        <v>4698</v>
      </c>
      <c r="E231" s="1252" t="s">
        <v>5159</v>
      </c>
    </row>
    <row r="232" spans="2:6" ht="11.25">
      <c r="C232" s="1259">
        <f>C235/$F$235</f>
        <v>0.62068965517241381</v>
      </c>
      <c r="D232" s="1259">
        <f>D235/$F$235</f>
        <v>0.27586206896551724</v>
      </c>
      <c r="E232" s="1259">
        <f>E235/$F$235</f>
        <v>0.10344827586206896</v>
      </c>
    </row>
    <row r="233" spans="2:6" ht="11.25"/>
    <row r="234" spans="2:6" ht="11.25">
      <c r="F234" t="s">
        <v>1340</v>
      </c>
    </row>
    <row r="235" spans="2:6" ht="11.25">
      <c r="C235">
        <f>tlInputEntSvcsSalesSupportLevelPrac1</f>
        <v>90000</v>
      </c>
      <c r="D235">
        <f>tlInputEntSvcsSalesSupportLevelPrac2</f>
        <v>40000</v>
      </c>
      <c r="E235">
        <f>tlInputEntSvcsSalesSupportLevelPrac3</f>
        <v>15000</v>
      </c>
      <c r="F235">
        <f>SUM(C235:E235)</f>
        <v>145000</v>
      </c>
    </row>
    <row r="236" spans="2:6" ht="11.25"/>
    <row r="237" spans="2:6" ht="11.25"/>
    <row r="238" spans="2:6" ht="11.25"/>
    <row r="239" spans="2:6" ht="11.25"/>
    <row r="240" spans="2:6" ht="11.25"/>
    <row r="241" spans="1:8" s="872" customFormat="1" ht="15">
      <c r="A241" s="872" t="s">
        <v>4673</v>
      </c>
    </row>
    <row r="242" spans="1:8" ht="11.25"/>
    <row r="243" spans="1:8" ht="11.25">
      <c r="B243" s="2" t="s">
        <v>1426</v>
      </c>
    </row>
    <row r="244" spans="1:8" ht="11.25">
      <c r="C244" t="s">
        <v>940</v>
      </c>
      <c r="D244" t="s">
        <v>939</v>
      </c>
      <c r="E244" t="s">
        <v>4645</v>
      </c>
    </row>
    <row r="245" spans="1:8" ht="11.25">
      <c r="B245" t="s">
        <v>10</v>
      </c>
      <c r="C245" s="420">
        <f>(tlInputBusAEmp2HrsCurrProj+tlInputBusAEmp9HrsCurrProj+tlInputBusAEmp1HrsCurrProj)*0.5</f>
        <v>235002.5</v>
      </c>
      <c r="D245" s="420">
        <f>(tlInputBusAEmp3HrsCurrProj+tlInputBusAEmp8HrsCurrProj)*0.5</f>
        <v>120000</v>
      </c>
      <c r="E245" s="420">
        <f>(tlInputBusAEmp4HrsCurrProj+tlInputBusAEmp7HrsCurrProj)*0.5</f>
        <v>40000</v>
      </c>
    </row>
    <row r="246" spans="1:8" ht="11.25">
      <c r="B246" t="s">
        <v>10</v>
      </c>
      <c r="C246" s="420">
        <f>-(tlInputBusAEmp2HrsCurrProj+tlInputBusAEmp9HrsCurrProj+tlInputBusAEmp1HrsCurrProj)*0.5</f>
        <v>-235002.5</v>
      </c>
      <c r="D246" s="420">
        <f>-(tlInputBusAEmp3HrsCurrProj+tlInputBusAEmp8HrsCurrProj)*0.5</f>
        <v>-120000</v>
      </c>
      <c r="E246" s="420">
        <f>-(tlInputBusAEmp4HrsCurrProj+tlInputBusAEmp7HrsCurrProj)*0.5</f>
        <v>-40000</v>
      </c>
    </row>
    <row r="247" spans="1:8" ht="11.25">
      <c r="B247" t="s">
        <v>10</v>
      </c>
      <c r="C247" s="15">
        <f>C245/SUM($C$245:$E$245)</f>
        <v>0.59493927253624979</v>
      </c>
      <c r="D247" s="15">
        <f>D245/SUM($C$245:$E$245)</f>
        <v>0.30379554559781269</v>
      </c>
      <c r="E247" s="15">
        <f>E245/SUM($C$245:$E$245)</f>
        <v>0.10126518186593755</v>
      </c>
    </row>
    <row r="248" spans="1:8" ht="11.25"/>
    <row r="249" spans="1:8" ht="11.25">
      <c r="B249" s="1252"/>
      <c r="C249" s="1252" t="s">
        <v>5169</v>
      </c>
      <c r="D249" s="1252" t="s">
        <v>5178</v>
      </c>
      <c r="E249" s="1252" t="s">
        <v>4705</v>
      </c>
      <c r="F249" s="1252" t="s">
        <v>4704</v>
      </c>
      <c r="G249" s="1252" t="s">
        <v>4703</v>
      </c>
      <c r="H249" s="1554" t="s">
        <v>6578</v>
      </c>
    </row>
    <row r="250" spans="1:8" ht="11.25">
      <c r="B250" s="1252" t="s">
        <v>10</v>
      </c>
      <c r="C250" s="1259">
        <f>INDEX(capBusACurrProjV1Emp1Output,xxIndexTeam)/INDEX(capBusACurrProjV1HrsReq,xxIndexTeam)</f>
        <v>4.9737250268451799E-2</v>
      </c>
      <c r="D250" s="1259">
        <f>INDEX(capBusACurrProjV1Emp9Output,xxIndexTeam)/INDEX(capBusACurrProjV1HrsReq,xxIndexTeam)</f>
        <v>0.24717501438965478</v>
      </c>
      <c r="E250" s="1259">
        <f>INDEX(capBusACurrProjV1Emp2Output,xxIndexTeam)/INDEX(capBusACurrProjV1HrsReq,xxIndexTeam)</f>
        <v>0.1448898591855296</v>
      </c>
      <c r="F250" s="1259">
        <f>INDEX(capBusACurrProjV1Emp3Output,xxIndexTeam)/INDEX(capBusACurrProjV1HrsReq,xxIndexTeam)</f>
        <v>0.12866040727696945</v>
      </c>
      <c r="G250" s="1259">
        <f>INDEX(capBusACurrProjV1Emp4Output,xxIndexTeam)/INDEX(capBusACurrProjV1HrsReq,xxIndexTeam)</f>
        <v>6.0223821654648846E-2</v>
      </c>
      <c r="H250" s="1259">
        <f>1-SUM(C250:G250)</f>
        <v>0.36931364722474558</v>
      </c>
    </row>
    <row r="251" spans="1:8" ht="11.25"/>
    <row r="252" spans="1:8" ht="11.25"/>
    <row r="253" spans="1:8" ht="11.25">
      <c r="E253" s="12">
        <f>SUM(C250:G250)</f>
        <v>0.63068635277525442</v>
      </c>
    </row>
    <row r="254" spans="1:8" ht="11.25"/>
    <row r="255" spans="1:8" ht="11.25"/>
    <row r="256" spans="1:8" ht="11.25"/>
    <row r="257" spans="2:5" ht="11.25"/>
    <row r="258" spans="2:5" ht="11.25"/>
    <row r="259" spans="2:5" ht="11.25"/>
    <row r="260" spans="2:5" ht="11.25">
      <c r="B260" s="2" t="s">
        <v>2354</v>
      </c>
    </row>
    <row r="261" spans="2:5" ht="11.25">
      <c r="C261" t="s">
        <v>1736</v>
      </c>
      <c r="D261" t="s">
        <v>996</v>
      </c>
      <c r="E261" t="s">
        <v>4643</v>
      </c>
    </row>
    <row r="262" spans="2:5" ht="11.25">
      <c r="B262" t="s">
        <v>10</v>
      </c>
      <c r="C262" s="420">
        <f>(tlInputBusAEmp2HrsSales+tlInputBusAemp9HrsSales+tlInputBusAEmp1HrsSales)*0.5</f>
        <v>14250</v>
      </c>
      <c r="D262" s="420">
        <f>(tlInputBusAEmp3HrsSales+tlInputBusAemp8HrsSales)*0.5</f>
        <v>6150</v>
      </c>
      <c r="E262" s="420">
        <f>(tlInputBusAEmp4HrsSales+tlInputBusAemp7HrsSales)*0.5</f>
        <v>6000</v>
      </c>
    </row>
    <row r="263" spans="2:5" ht="11.25">
      <c r="B263" t="s">
        <v>10</v>
      </c>
      <c r="C263" s="420">
        <f>-(tlInputBusAEmp2HrsSales+tlInputBusAemp9HrsSales+tlInputBusAEmp1HrsSales)*0.5</f>
        <v>-14250</v>
      </c>
      <c r="D263" s="420">
        <f>-(tlInputBusAEmp3HrsSales+tlInputBusAemp8HrsSales)*0.5</f>
        <v>-6150</v>
      </c>
      <c r="E263" s="420">
        <f>-(tlInputBusAEmp4HrsSales+tlInputBusAemp7HrsSales)*0.5</f>
        <v>-6000</v>
      </c>
    </row>
    <row r="264" spans="2:5" ht="11.25">
      <c r="B264" t="s">
        <v>10</v>
      </c>
      <c r="C264" s="15">
        <f>C262/SUM($C$262:$E$262)</f>
        <v>0.53977272727272729</v>
      </c>
      <c r="D264" s="15">
        <f>D262/SUM($C$262:$E$262)</f>
        <v>0.23295454545454544</v>
      </c>
      <c r="E264" s="15">
        <f>E262/SUM($C$262:$E$262)</f>
        <v>0.22727272727272727</v>
      </c>
    </row>
    <row r="265" spans="2:5">
      <c r="B265" s="285"/>
    </row>
    <row r="266" spans="2:5" ht="11.25">
      <c r="C266" t="s">
        <v>940</v>
      </c>
      <c r="D266" t="s">
        <v>939</v>
      </c>
      <c r="E266" t="s">
        <v>4645</v>
      </c>
    </row>
    <row r="267" spans="2:5" ht="11.25">
      <c r="B267" t="s">
        <v>10</v>
      </c>
      <c r="C267" s="15">
        <f>C264</f>
        <v>0.53977272727272729</v>
      </c>
      <c r="D267" s="15">
        <f>D264</f>
        <v>0.23295454545454544</v>
      </c>
      <c r="E267" s="15">
        <f>E264</f>
        <v>0.22727272727272727</v>
      </c>
    </row>
    <row r="268" spans="2:5" ht="11.25"/>
    <row r="269" spans="2:5" ht="11.25"/>
    <row r="270" spans="2:5" ht="11.25">
      <c r="B270">
        <f>INDEX(capBusACurrProjV1Emp4Output,xxIndexTeam)/INDEX(capBusACurrProjV1HrsReq,xxIndexTeam)</f>
        <v>6.0223821654648846E-2</v>
      </c>
    </row>
    <row r="271" spans="2:5" ht="11.25"/>
    <row r="272" spans="2:5" ht="11.25"/>
    <row r="273" spans="1:8" ht="11.25"/>
    <row r="274" spans="1:8" s="872" customFormat="1" ht="15">
      <c r="A274" s="872" t="s">
        <v>4674</v>
      </c>
    </row>
    <row r="275" spans="1:8" ht="11.25"/>
    <row r="276" spans="1:8" ht="11.25">
      <c r="B276" s="2" t="s">
        <v>1426</v>
      </c>
    </row>
    <row r="277" spans="1:8" ht="11.25">
      <c r="C277" t="s">
        <v>995</v>
      </c>
      <c r="D277" t="s">
        <v>996</v>
      </c>
      <c r="E277" t="s">
        <v>4643</v>
      </c>
    </row>
    <row r="278" spans="1:8" ht="11.25">
      <c r="B278" t="s">
        <v>11</v>
      </c>
      <c r="C278" s="420">
        <f>(tlInputBusAEmp2HrsCurrProjV2+tlInputBusAEmp9HrsCurrProjV2+tlInputBusAEmp1HrsCurrProjV2)*0.5</f>
        <v>92502.5</v>
      </c>
      <c r="D278" s="420">
        <f>(tlInputBusAEmp3HrsCurrProjV2+tlInputBusAEmp8HrsCurrProjV2)*0.5</f>
        <v>82500</v>
      </c>
      <c r="E278" s="420">
        <f>(tlInputBusAEmp4HrsCurrProjV2+tlInputBusAEmp7HrsCurrProjV2)*0.5</f>
        <v>27500</v>
      </c>
    </row>
    <row r="279" spans="1:8" ht="11.25">
      <c r="B279" t="s">
        <v>11</v>
      </c>
      <c r="C279" s="420">
        <f>-(tlInputBusAEmp2HrsCurrProjV2+tlInputBusAEmp9HrsCurrProjV2+tlInputBusAEmp1HrsCurrProjV2)*0.5</f>
        <v>-92502.5</v>
      </c>
      <c r="D279" s="420">
        <f>-(tlInputBusAEmp3HrsCurrProjV2+tlInputBusAEmp8HrsCurrProjV2)*0.5</f>
        <v>-82500</v>
      </c>
      <c r="E279" s="420">
        <f>-(tlInputBusAEmp4HrsCurrProjV2+tlInputBusAEmp7HrsCurrProjV2)*0.5</f>
        <v>-27500</v>
      </c>
    </row>
    <row r="280" spans="1:8" ht="11.25">
      <c r="B280" t="s">
        <v>11</v>
      </c>
      <c r="C280" s="15">
        <f>C278/SUM($C$278:$E$278)</f>
        <v>0.4567968296687695</v>
      </c>
      <c r="D280" s="15">
        <f>D278/SUM($C$278:$E$278)</f>
        <v>0.40740237774842286</v>
      </c>
      <c r="E280" s="15">
        <f>E278/SUM($C$278:$E$278)</f>
        <v>0.13580079258280761</v>
      </c>
    </row>
    <row r="281" spans="1:8" ht="11.25"/>
    <row r="282" spans="1:8" ht="11.25">
      <c r="C282" s="1252" t="s">
        <v>5169</v>
      </c>
      <c r="D282" s="1252" t="s">
        <v>5178</v>
      </c>
      <c r="E282" s="1252" t="s">
        <v>4705</v>
      </c>
      <c r="F282" s="1252" t="s">
        <v>4704</v>
      </c>
      <c r="G282" s="1252" t="s">
        <v>4703</v>
      </c>
      <c r="H282" s="1554" t="s">
        <v>6578</v>
      </c>
    </row>
    <row r="283" spans="1:8" ht="11.25">
      <c r="B283" s="1252" t="s">
        <v>10</v>
      </c>
      <c r="C283" s="1259">
        <f>INDEX(capBusACurrProjV2Emp1Output,xxIndexTeam)/INDEX(capBusACurrProjV2HrsReq,xxIndexTeam)</f>
        <v>4.9737250268451792E-2</v>
      </c>
      <c r="D283" s="1259">
        <f>INDEX(capBusACurrProjV2Emp9Output,xxIndexTeam)/INDEX(capBusACurrProjV2HrsReq,xxIndexTeam)</f>
        <v>3.0021510412210347E-2</v>
      </c>
      <c r="E283" s="1259">
        <f>INDEX(capBusACurrProjV2Emp2Output,xxIndexTeam)/INDEX(capBusACurrProjV2HrsReq,xxIndexTeam)</f>
        <v>0.24473939173308085</v>
      </c>
      <c r="F283" s="1259">
        <f>INDEX(capBusACurrProjV2Emp3Output,xxIndexTeam)/INDEX(capBusACurrProjV2HrsReq,xxIndexTeam)</f>
        <v>0.17811116849648997</v>
      </c>
      <c r="G283" s="1259">
        <f>INDEX(capBusACurrProjV2Emp4Output,xxIndexTeam)/INDEX(capBusACurrProjV2HrsReq,xxIndexTeam)</f>
        <v>6.7432353742995318E-2</v>
      </c>
      <c r="H283" s="1259">
        <f>1-SUM(C283:G283)</f>
        <v>0.42995832534677181</v>
      </c>
    </row>
    <row r="284" spans="1:8" ht="11.25"/>
    <row r="285" spans="1:8" ht="11.25"/>
    <row r="286" spans="1:8" ht="11.25"/>
    <row r="287" spans="1:8" ht="11.25"/>
    <row r="288" spans="1:8" ht="11.25"/>
    <row r="289" spans="1:5" ht="11.25"/>
    <row r="290" spans="1:5" ht="11.25"/>
    <row r="291" spans="1:5" ht="11.25">
      <c r="B291" s="2" t="s">
        <v>2354</v>
      </c>
    </row>
    <row r="292" spans="1:5" ht="11.25">
      <c r="C292" t="s">
        <v>1736</v>
      </c>
      <c r="D292" t="s">
        <v>996</v>
      </c>
      <c r="E292" t="s">
        <v>4643</v>
      </c>
    </row>
    <row r="293" spans="1:5" ht="11.25">
      <c r="B293" t="s">
        <v>11</v>
      </c>
      <c r="C293" s="420">
        <f>(tlInputBusAEmp2HrsSalesV2+tlInputBusAemp9HrsSalesV2+tlInputBusAEmp1HrsSalesV2)*0.5</f>
        <v>16100</v>
      </c>
      <c r="D293" s="420">
        <f>(tlInputBusAEmp3HrsSalesV2+tlInputBusAemp8HrsSalesV2)*0.5</f>
        <v>5500</v>
      </c>
      <c r="E293" s="420">
        <f>(tlInputBusAEmp4HrsSalesV2+tlInputBusAemp7HrsSalesV2)*0.5</f>
        <v>1400</v>
      </c>
    </row>
    <row r="294" spans="1:5" ht="11.25">
      <c r="B294" t="s">
        <v>11</v>
      </c>
      <c r="C294" s="420">
        <f>-(tlInputBusAEmp2HrsSalesV2+tlInputBusAemp9HrsSalesV2+tlInputBusAEmp1HrsSalesV2)*0.5</f>
        <v>-16100</v>
      </c>
      <c r="D294" s="420">
        <f>-(tlInputBusAEmp3HrsSalesV2+tlInputBusAemp8HrsSalesV2)*0.5</f>
        <v>-5500</v>
      </c>
      <c r="E294" s="420">
        <f>-(tlInputBusAEmp4HrsSalesV2+tlInputBusAemp7HrsSalesV2)*0.5</f>
        <v>-1400</v>
      </c>
    </row>
    <row r="295" spans="1:5" ht="11.25">
      <c r="B295" t="s">
        <v>11</v>
      </c>
      <c r="C295" s="15">
        <f>C293/SUM($C$293:$E$293)</f>
        <v>0.7</v>
      </c>
      <c r="D295" s="15">
        <f>D293/SUM($C$293:$E$293)</f>
        <v>0.2391304347826087</v>
      </c>
      <c r="E295" s="15">
        <f>E293/SUM($C$293:$E$293)</f>
        <v>6.0869565217391307E-2</v>
      </c>
    </row>
    <row r="296" spans="1:5" ht="11.25"/>
    <row r="297" spans="1:5" ht="11.25">
      <c r="C297" s="1252" t="s">
        <v>4705</v>
      </c>
      <c r="D297" s="1252" t="s">
        <v>4704</v>
      </c>
      <c r="E297" s="1252" t="s">
        <v>4703</v>
      </c>
    </row>
    <row r="298" spans="1:5" ht="11.25">
      <c r="B298" s="1252" t="s">
        <v>10</v>
      </c>
      <c r="C298" s="1259">
        <f>C295</f>
        <v>0.7</v>
      </c>
      <c r="D298" s="1259">
        <f>D295</f>
        <v>0.2391304347826087</v>
      </c>
      <c r="E298" s="1259">
        <f>E295</f>
        <v>6.0869565217391307E-2</v>
      </c>
    </row>
    <row r="299" spans="1:5" ht="11.25"/>
    <row r="300" spans="1:5" ht="11.25"/>
    <row r="301" spans="1:5" ht="11.25"/>
    <row r="302" spans="1:5" ht="11.25"/>
    <row r="303" spans="1:5" s="872" customFormat="1" ht="15">
      <c r="A303" s="872" t="s">
        <v>4675</v>
      </c>
    </row>
    <row r="304" spans="1:5" ht="11.25"/>
    <row r="305" spans="2:8" ht="11.25">
      <c r="B305" s="2" t="s">
        <v>1426</v>
      </c>
    </row>
    <row r="306" spans="2:8" ht="11.25">
      <c r="C306" t="s">
        <v>995</v>
      </c>
      <c r="D306" t="s">
        <v>996</v>
      </c>
      <c r="E306" t="s">
        <v>4643</v>
      </c>
    </row>
    <row r="307" spans="2:8" ht="11.25">
      <c r="B307" t="s">
        <v>12</v>
      </c>
      <c r="C307" s="420">
        <f>(tlInputBusAEmp2HrsCurrProjV3+tlInputBusAEmp9HrsCurrProjV3+tlInputBusAEmp1HrsCurrProjV3)*0.5</f>
        <v>35002.5</v>
      </c>
      <c r="D307" s="420">
        <f>(tlInputBusAEmp3HrsCurrProjV3+tlInputBusAEmp8HrsCurrProjV3)*0.5</f>
        <v>28500</v>
      </c>
      <c r="E307" s="420">
        <f>(tlInputBusAEmp4HrsCurrProjV3+tlInputBusAEmp7HrsCurrProjV3)*0.5</f>
        <v>7500</v>
      </c>
    </row>
    <row r="308" spans="2:8" ht="11.25">
      <c r="B308" t="s">
        <v>12</v>
      </c>
      <c r="C308" s="420">
        <f>-(tlInputBusAEmp2HrsCurrProjV3+tlInputBusAEmp9HrsCurrProjV3+tlInputBusAEmp1HrsCurrProjV3)*0.5</f>
        <v>-35002.5</v>
      </c>
      <c r="D308" s="420">
        <f>-(tlInputBusAEmp3HrsCurrProjV3+tlInputBusAEmp8HrsCurrProjV3)*0.5</f>
        <v>-28500</v>
      </c>
      <c r="E308" s="420">
        <f>-(tlInputBusAEmp4HrsCurrProjV3+tlInputBusAEmp7HrsCurrProjV3)*0.5</f>
        <v>-7500</v>
      </c>
    </row>
    <row r="309" spans="2:8" ht="11.25">
      <c r="B309" t="s">
        <v>12</v>
      </c>
      <c r="C309" s="15">
        <f>C307/SUM($C$307:$E$307)</f>
        <v>0.49297559945072356</v>
      </c>
      <c r="D309" s="15">
        <f>D307/SUM($C$307:$E$307)</f>
        <v>0.40139431710151052</v>
      </c>
      <c r="E309" s="15">
        <f>E307/SUM($C$307:$E$307)</f>
        <v>0.10563008344776592</v>
      </c>
    </row>
    <row r="310" spans="2:8" ht="11.25">
      <c r="F310" s="700"/>
      <c r="G310" s="700"/>
    </row>
    <row r="311" spans="2:8" ht="11.25">
      <c r="C311" s="1252" t="s">
        <v>5169</v>
      </c>
      <c r="D311" s="1252" t="s">
        <v>5178</v>
      </c>
      <c r="E311" s="1252" t="s">
        <v>4705</v>
      </c>
      <c r="F311" t="s">
        <v>4704</v>
      </c>
      <c r="G311" t="s">
        <v>4703</v>
      </c>
      <c r="H311" s="1554" t="s">
        <v>6578</v>
      </c>
    </row>
    <row r="312" spans="2:8" ht="11.25">
      <c r="B312" t="s">
        <v>10</v>
      </c>
      <c r="C312" s="1259">
        <f>INDEX(capBusACurrProjV3Emp1Output,xxIndexTeam)/INDEX(capBusACurrProjV3HrsReq,xxIndexTeam)</f>
        <v>4.9737250268451792E-2</v>
      </c>
      <c r="D312" s="1259">
        <f>INDEX(capBusACurrProjV3Emp9Output,xxIndexTeam)/INDEX(capBusACurrProjV3HrsReq,xxIndexTeam)</f>
        <v>7.5991691575054462E-2</v>
      </c>
      <c r="E312" s="1259">
        <f>INDEX(capBusACurrProjV3Emp2Output,xxIndexTeam)/INDEX(capBusACurrProjV3HrsReq,xxIndexTeam)</f>
        <v>0.18772560394888452</v>
      </c>
      <c r="F312" s="15">
        <f>INDEX(capBusACurrProjV3Emp3Output,xxIndexTeam)/INDEX(capBusACurrProjV3HrsReq,xxIndexTeam)</f>
        <v>0.13260069781550876</v>
      </c>
      <c r="G312" s="15">
        <f>INDEX(capBusACurrProjV3Emp4Output,xxIndexTeam)/INDEX(capBusACurrProjV3HrsReq,xxIndexTeam)</f>
        <v>4.0965016542806709E-2</v>
      </c>
      <c r="H312" s="15">
        <f>1-SUM(C312:G312)</f>
        <v>0.51297973984929379</v>
      </c>
    </row>
    <row r="313" spans="2:8" ht="11.25">
      <c r="F313" s="700"/>
      <c r="G313" s="700"/>
    </row>
    <row r="314" spans="2:8" ht="11.25"/>
    <row r="315" spans="2:8" ht="11.25"/>
    <row r="316" spans="2:8" ht="11.25"/>
    <row r="317" spans="2:8" ht="11.25"/>
    <row r="318" spans="2:8" ht="11.25"/>
    <row r="319" spans="2:8" ht="11.25">
      <c r="B319" s="2" t="s">
        <v>2354</v>
      </c>
    </row>
    <row r="320" spans="2:8" ht="11.25">
      <c r="C320" t="s">
        <v>1736</v>
      </c>
      <c r="D320" t="s">
        <v>996</v>
      </c>
      <c r="E320" t="s">
        <v>4643</v>
      </c>
    </row>
    <row r="321" spans="1:5" ht="11.25">
      <c r="B321" t="s">
        <v>12</v>
      </c>
      <c r="C321" s="420">
        <f>(tlInputBusAEmp2HrsSalesV3+tlInputBusAemp9HrsSalesV3+tlInputBusAEmp1HrsSalesV3)*0.5</f>
        <v>23750</v>
      </c>
      <c r="D321" s="420">
        <f>(tlInputBusAEmp3HrsSalesV3+tlInputBusAemp8HrsSalesV3)*0.5</f>
        <v>12600</v>
      </c>
      <c r="E321" s="420">
        <f>(tlInputBusAEmp4HrsSalesV3+tlInputBusAemp7HrsSalesV3)*0.5</f>
        <v>3450</v>
      </c>
    </row>
    <row r="322" spans="1:5" ht="11.25">
      <c r="B322" t="s">
        <v>12</v>
      </c>
      <c r="C322" s="420">
        <f>-(tlInputBusAEmp2HrsSalesV3+tlInputBusAemp9HrsSalesV3+tlInputBusAEmp1HrsSalesV3)*0.5</f>
        <v>-23750</v>
      </c>
      <c r="D322" s="420">
        <f>-(tlInputBusAEmp3HrsSalesV3+tlInputBusAemp8HrsSalesV3)*0.5</f>
        <v>-12600</v>
      </c>
      <c r="E322" s="420">
        <f>-(tlInputBusAEmp4HrsSalesV3+tlInputBusAemp7HrsSalesV3)*0.5</f>
        <v>-3450</v>
      </c>
    </row>
    <row r="323" spans="1:5" ht="11.25">
      <c r="B323" t="s">
        <v>12</v>
      </c>
      <c r="C323" s="15">
        <f>C321/SUM($C$321:$E$321)</f>
        <v>0.59673366834170849</v>
      </c>
      <c r="D323" s="15">
        <f>D321/SUM($C$321:$E$321)</f>
        <v>0.3165829145728643</v>
      </c>
      <c r="E323" s="15">
        <f>E321/SUM($C$321:$E$321)</f>
        <v>8.6683417085427136E-2</v>
      </c>
    </row>
    <row r="324" spans="1:5" ht="11.25"/>
    <row r="325" spans="1:5" ht="11.25">
      <c r="C325" s="1252" t="s">
        <v>4705</v>
      </c>
      <c r="D325" s="1252" t="s">
        <v>4704</v>
      </c>
      <c r="E325" s="1252" t="s">
        <v>4703</v>
      </c>
    </row>
    <row r="326" spans="1:5" ht="11.25">
      <c r="B326" t="s">
        <v>10</v>
      </c>
      <c r="C326" s="1259">
        <f>C323</f>
        <v>0.59673366834170849</v>
      </c>
      <c r="D326" s="1259">
        <f>D323</f>
        <v>0.3165829145728643</v>
      </c>
      <c r="E326" s="1259">
        <f>E323</f>
        <v>8.6683417085427136E-2</v>
      </c>
    </row>
    <row r="327" spans="1:5" ht="11.25"/>
    <row r="328" spans="1:5" ht="11.25"/>
    <row r="329" spans="1:5" ht="11.25"/>
    <row r="330" spans="1:5" ht="11.25"/>
    <row r="331" spans="1:5" ht="11.25"/>
    <row r="332" spans="1:5" ht="11.25"/>
    <row r="333" spans="1:5" ht="11.25"/>
    <row r="334" spans="1:5" s="872" customFormat="1" ht="15">
      <c r="A334" s="872" t="s">
        <v>4688</v>
      </c>
    </row>
    <row r="335" spans="1:5" ht="11.25"/>
    <row r="336" spans="1:5" ht="11.25"/>
    <row r="337" spans="2:6" ht="11.25">
      <c r="C337" s="1252" t="s">
        <v>4196</v>
      </c>
      <c r="D337" s="1252" t="s">
        <v>13</v>
      </c>
    </row>
    <row r="338" spans="2:6" ht="11.25">
      <c r="B338" s="1252" t="s">
        <v>3407</v>
      </c>
      <c r="C338" s="1261">
        <f>INDEX(finPNLProd1Rev,xxIndexTeam)/1000000</f>
        <v>200.51250505278992</v>
      </c>
      <c r="D338" s="1261">
        <f>(INDEX(capProd1V1HrsForecast,xxIndexTeam)*tlInputProd1Price)/1000000+(INDEX(capProd1V2HrsForecast,xxIndexTeam)*tlInputProd1Price)/1000000+(INDEX(capProd1V3HrsForecast,xxIndexTeam)*tlInputProd1Price)/1000000</f>
        <v>419.01028236808935</v>
      </c>
      <c r="F338">
        <f>D338/C338-1</f>
        <v>1.0896965117351383</v>
      </c>
    </row>
    <row r="339" spans="2:6" ht="11.25">
      <c r="B339" s="1252" t="s">
        <v>4500</v>
      </c>
      <c r="C339" s="1262">
        <f>(INDEX(finPNLBusAV1TotalSalaryExp,xxIndexTeam)+INDEX(finPNLBusAV2TotalSalaryExp,xxIndexTeam)+INDEX(finPNLBusAV3TotalSalaryExp,xxIndexTeam)+INDEX(finPNLBusAtotalLoadExp,xxIndexTeam)+INDEX(finPNLBusATotalGlobalSalaryExp,xxIndexTeam))/1000000</f>
        <v>68.294386126361658</v>
      </c>
      <c r="D339" s="1262">
        <f>(INDEX(capBusAEmp4End,xxIndexTeam)*INDEX(capEmp4Salary,xxIndexTeam)+INDEX(capBusAEmp3End,xxIndexTeam)*INDEX(capEmp3Salary,xxIndexTeam)+INDEX(capBusAEmp2End,xxIndexTeam)*INDEX(capEmp2Salary,xxIndexTeam)+INDEX(capBusAEmp1End,xxIndexTeam)*INDEX(capEmp1Salary,xxIndexTeam)+INDEX(capBusAEmp9End,xxIndexTeam)*INDEX(capEmp2Salary,xxIndexTeam)*0.5)/1000000</f>
        <v>116.28700000000001</v>
      </c>
      <c r="F339">
        <f>D339/C339-1</f>
        <v>0.70273146294689637</v>
      </c>
    </row>
    <row r="340" spans="2:6" ht="11.25"/>
    <row r="341" spans="2:6" ht="11.25">
      <c r="C341" s="700" t="s">
        <v>2861</v>
      </c>
    </row>
    <row r="342" spans="2:6" ht="11.25">
      <c r="C342" s="700">
        <f>INDEX(finPNLBusATotalGlobalSalaryExp,xxIndexTeam)</f>
        <v>0</v>
      </c>
    </row>
    <row r="343" spans="2:6" ht="11.25"/>
    <row r="344" spans="2:6" ht="11.25"/>
    <row r="345" spans="2:6" ht="11.25"/>
    <row r="346" spans="2:6" ht="11.25"/>
    <row r="347" spans="2:6" ht="11.25"/>
    <row r="348" spans="2:6" ht="11.25"/>
    <row r="349" spans="2:6" ht="11.25"/>
    <row r="350" spans="2:6" ht="11.25"/>
    <row r="351" spans="2:6" ht="11.25"/>
    <row r="352" spans="2:6" ht="11.25"/>
    <row r="353" spans="1:2" ht="11.25"/>
    <row r="354" spans="1:2" ht="11.25"/>
    <row r="355" spans="1:2" ht="11.25"/>
    <row r="356" spans="1:2" ht="11.25"/>
    <row r="357" spans="1:2" ht="11.25"/>
    <row r="358" spans="1:2" ht="11.25"/>
    <row r="359" spans="1:2" ht="11.25"/>
    <row r="360" spans="1:2" ht="11.25">
      <c r="B360" s="1252" t="s">
        <v>1181</v>
      </c>
    </row>
    <row r="361" spans="1:2" ht="11.25">
      <c r="A361" s="1252" t="s">
        <v>4703</v>
      </c>
      <c r="B361" s="1263">
        <f>tlInputEmp4BusAHire+tlInputEmp7BusAHire</f>
        <v>20</v>
      </c>
    </row>
    <row r="362" spans="1:2" ht="11.25">
      <c r="A362" s="1252" t="s">
        <v>4704</v>
      </c>
      <c r="B362" s="1263">
        <f>tlInputEmp3BusAHire+tlInputEmp8BusAHire</f>
        <v>136</v>
      </c>
    </row>
    <row r="363" spans="1:2" ht="11.25">
      <c r="A363" s="1252" t="s">
        <v>4705</v>
      </c>
      <c r="B363" s="1263">
        <f>tlInputEmp2BusAHire+tlInputEmp9BusAHire</f>
        <v>230</v>
      </c>
    </row>
    <row r="364" spans="1:2" ht="11.25">
      <c r="A364" s="1252" t="s">
        <v>4696</v>
      </c>
      <c r="B364" s="1263">
        <f>tlInputEntWFHire</f>
        <v>194</v>
      </c>
    </row>
    <row r="365" spans="1:2" ht="11.25">
      <c r="B365" s="915"/>
    </row>
    <row r="366" spans="1:2" ht="11.25"/>
    <row r="367" spans="1:2" ht="11.25"/>
    <row r="368" spans="1:2" ht="11.25"/>
    <row r="369" ht="11.25"/>
    <row r="370" ht="11.25"/>
    <row r="371" ht="11.25"/>
    <row r="372" ht="11.25"/>
    <row r="373" ht="11.25"/>
    <row r="374" ht="11.25"/>
    <row r="375" ht="11.25"/>
  </sheetData>
  <mergeCells count="3">
    <mergeCell ref="B158:C158"/>
    <mergeCell ref="B15:C15"/>
    <mergeCell ref="B111:C111"/>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Page">
    <tabColor theme="9" tint="0.39997558519241921"/>
  </sheetPr>
  <dimension ref="A1:Z753"/>
  <sheetViews>
    <sheetView topLeftCell="A277" workbookViewId="0">
      <selection activeCell="F283" sqref="F283"/>
    </sheetView>
  </sheetViews>
  <sheetFormatPr defaultColWidth="18.83203125" defaultRowHeight="12.75" customHeight="1"/>
  <cols>
    <col min="1" max="1" width="15" bestFit="1" customWidth="1"/>
    <col min="2" max="2" width="32.1640625" customWidth="1"/>
    <col min="3" max="3" width="23.6640625" customWidth="1"/>
    <col min="4" max="4" width="13.5" customWidth="1"/>
    <col min="5" max="5" width="13.1640625" customWidth="1"/>
    <col min="6" max="6" width="13" customWidth="1"/>
    <col min="7" max="7" width="13.6640625" customWidth="1"/>
    <col min="8" max="10" width="13" customWidth="1"/>
    <col min="11" max="11" width="9.33203125" customWidth="1"/>
    <col min="12" max="12" width="11.5" customWidth="1"/>
    <col min="13" max="13" width="13" customWidth="1"/>
    <col min="14" max="14" width="9.33203125" customWidth="1"/>
    <col min="15" max="15" width="13" bestFit="1" customWidth="1"/>
    <col min="16" max="16" width="9.33203125" customWidth="1"/>
    <col min="17" max="17" width="14.33203125" customWidth="1"/>
    <col min="18" max="18" width="9.33203125" customWidth="1"/>
    <col min="19" max="19" width="19.1640625" customWidth="1"/>
    <col min="20" max="26" width="9.33203125" customWidth="1"/>
  </cols>
  <sheetData>
    <row r="1" spans="1:20" s="93" customFormat="1" ht="15.75">
      <c r="A1" s="91" t="s">
        <v>52</v>
      </c>
      <c r="E1" s="91"/>
      <c r="F1" s="91"/>
      <c r="G1" s="91"/>
      <c r="H1" s="91"/>
      <c r="I1" s="91"/>
    </row>
    <row r="2" spans="1:20" ht="11.25">
      <c r="A2" s="2" t="s">
        <v>311</v>
      </c>
      <c r="B2" s="4"/>
      <c r="C2" s="18"/>
      <c r="S2" s="75"/>
      <c r="T2" s="75"/>
    </row>
    <row r="3" spans="1:20" ht="11.25">
      <c r="S3" s="75"/>
      <c r="T3" s="75"/>
    </row>
    <row r="4" spans="1:20" ht="11.25">
      <c r="B4" s="2" t="s">
        <v>3210</v>
      </c>
      <c r="C4" s="2" t="s">
        <v>3935</v>
      </c>
      <c r="D4" t="s">
        <v>312</v>
      </c>
      <c r="E4" t="s">
        <v>313</v>
      </c>
      <c r="F4" t="s">
        <v>3937</v>
      </c>
      <c r="S4" s="75"/>
      <c r="T4" s="75"/>
    </row>
    <row r="5" spans="1:20" ht="11.25">
      <c r="B5" s="65" t="s">
        <v>3894</v>
      </c>
      <c r="C5" s="137" t="str">
        <f>INDEX(D5:I5,xxContLangCode)</f>
        <v>Consulting</v>
      </c>
      <c r="D5" s="52" t="s">
        <v>3293</v>
      </c>
      <c r="E5" s="52" t="str">
        <f>D5&amp;" Swedish"</f>
        <v>Consulting Swedish</v>
      </c>
      <c r="F5" s="52" t="s">
        <v>3938</v>
      </c>
      <c r="G5" s="52"/>
      <c r="H5" s="52"/>
      <c r="I5" s="53"/>
      <c r="S5" s="75"/>
      <c r="T5" s="75"/>
    </row>
    <row r="6" spans="1:20" ht="11.25">
      <c r="B6" s="54" t="s">
        <v>3895</v>
      </c>
      <c r="C6" s="120" t="str">
        <f t="shared" ref="C6:C21" si="0">INDEX(D6:G6,xxContLangCode)</f>
        <v>Industry 1</v>
      </c>
      <c r="D6" s="18" t="s">
        <v>837</v>
      </c>
      <c r="E6" s="18" t="str">
        <f t="shared" ref="E6:E24" si="1">D6&amp;" Swedish"</f>
        <v>Industry 1 Swedish</v>
      </c>
      <c r="F6" s="18"/>
      <c r="G6" s="18"/>
      <c r="H6" s="18"/>
      <c r="I6" s="60"/>
      <c r="S6" s="75"/>
      <c r="T6" s="75"/>
    </row>
    <row r="7" spans="1:20" ht="11.25">
      <c r="B7" s="54" t="s">
        <v>3896</v>
      </c>
      <c r="C7" s="120" t="str">
        <f t="shared" si="0"/>
        <v>Industry 2</v>
      </c>
      <c r="D7" s="18" t="s">
        <v>838</v>
      </c>
      <c r="E7" s="18" t="str">
        <f t="shared" si="1"/>
        <v>Industry 2 Swedish</v>
      </c>
      <c r="F7" s="18"/>
      <c r="G7" s="18"/>
      <c r="H7" s="18"/>
      <c r="I7" s="60"/>
      <c r="S7" s="75"/>
      <c r="T7" s="75"/>
    </row>
    <row r="8" spans="1:20" ht="11.25">
      <c r="B8" s="54" t="s">
        <v>3897</v>
      </c>
      <c r="C8" s="120" t="str">
        <f t="shared" si="0"/>
        <v>Industry 3</v>
      </c>
      <c r="D8" s="18" t="s">
        <v>839</v>
      </c>
      <c r="E8" s="18" t="str">
        <f t="shared" si="1"/>
        <v>Industry 3 Swedish</v>
      </c>
      <c r="F8" s="18"/>
      <c r="G8" s="18"/>
      <c r="H8" s="18"/>
      <c r="I8" s="60"/>
      <c r="S8" s="75"/>
      <c r="T8" s="75"/>
    </row>
    <row r="9" spans="1:20" ht="11.25">
      <c r="B9" s="54" t="s">
        <v>3898</v>
      </c>
      <c r="C9" s="120" t="str">
        <f t="shared" si="0"/>
        <v>Employees</v>
      </c>
      <c r="D9" s="18" t="s">
        <v>2319</v>
      </c>
      <c r="E9" s="18" t="str">
        <f t="shared" si="1"/>
        <v>Employees Swedish</v>
      </c>
      <c r="F9" s="18"/>
      <c r="G9" s="18"/>
      <c r="H9" s="18"/>
      <c r="I9" s="60"/>
      <c r="S9" s="75"/>
      <c r="T9" s="75"/>
    </row>
    <row r="10" spans="1:20" ht="11.25">
      <c r="B10" s="54" t="s">
        <v>3899</v>
      </c>
      <c r="C10" s="120" t="str">
        <f t="shared" si="0"/>
        <v>Prod6</v>
      </c>
      <c r="D10" s="18" t="s">
        <v>3899</v>
      </c>
      <c r="E10" s="18" t="str">
        <f t="shared" si="1"/>
        <v>Prod6 Swedish</v>
      </c>
      <c r="F10" s="18"/>
      <c r="G10" s="18"/>
      <c r="H10" s="18"/>
      <c r="I10" s="60"/>
      <c r="S10" s="75"/>
      <c r="T10" s="75"/>
    </row>
    <row r="11" spans="1:20" ht="11.25">
      <c r="B11" s="54" t="s">
        <v>392</v>
      </c>
      <c r="C11" s="120" t="str">
        <f t="shared" si="0"/>
        <v>Prod7</v>
      </c>
      <c r="D11" s="18" t="s">
        <v>392</v>
      </c>
      <c r="E11" s="18" t="str">
        <f t="shared" si="1"/>
        <v>Prod7 Swedish</v>
      </c>
      <c r="F11" s="18"/>
      <c r="G11" s="18"/>
      <c r="H11" s="18"/>
      <c r="I11" s="60"/>
      <c r="S11" s="75"/>
      <c r="T11" s="75"/>
    </row>
    <row r="12" spans="1:20" ht="11.25">
      <c r="B12" s="54" t="s">
        <v>393</v>
      </c>
      <c r="C12" s="120" t="str">
        <f t="shared" si="0"/>
        <v>Prod8</v>
      </c>
      <c r="D12" s="18" t="s">
        <v>393</v>
      </c>
      <c r="E12" s="18" t="str">
        <f t="shared" si="1"/>
        <v>Prod8 Swedish</v>
      </c>
      <c r="F12" s="18"/>
      <c r="G12" s="18"/>
      <c r="H12" s="18"/>
      <c r="I12" s="60"/>
      <c r="S12" s="75"/>
      <c r="T12" s="75"/>
    </row>
    <row r="13" spans="1:20" ht="11.25">
      <c r="B13" s="54" t="s">
        <v>394</v>
      </c>
      <c r="C13" s="120" t="str">
        <f t="shared" si="0"/>
        <v>Prod9</v>
      </c>
      <c r="D13" s="18" t="s">
        <v>394</v>
      </c>
      <c r="E13" s="18" t="str">
        <f t="shared" si="1"/>
        <v>Prod9 Swedish</v>
      </c>
      <c r="F13" s="18"/>
      <c r="G13" s="18"/>
      <c r="H13" s="18"/>
      <c r="I13" s="60"/>
      <c r="S13" s="75"/>
      <c r="T13" s="75"/>
    </row>
    <row r="14" spans="1:20" ht="11.25">
      <c r="B14" s="54" t="s">
        <v>395</v>
      </c>
      <c r="C14" s="120" t="str">
        <f t="shared" si="0"/>
        <v>Prod10</v>
      </c>
      <c r="D14" s="18" t="s">
        <v>395</v>
      </c>
      <c r="E14" s="18" t="str">
        <f t="shared" si="1"/>
        <v>Prod10 Swedish</v>
      </c>
      <c r="F14" s="18"/>
      <c r="G14" s="18"/>
      <c r="H14" s="18"/>
      <c r="I14" s="60"/>
      <c r="S14" s="75"/>
      <c r="T14" s="75"/>
    </row>
    <row r="15" spans="1:20" ht="11.25">
      <c r="B15" s="54" t="s">
        <v>3760</v>
      </c>
      <c r="C15" s="120" t="str">
        <f t="shared" si="0"/>
        <v>Offshore</v>
      </c>
      <c r="D15" s="18" t="s">
        <v>5169</v>
      </c>
      <c r="E15" s="18" t="str">
        <f t="shared" si="1"/>
        <v>Offshore Swedish</v>
      </c>
      <c r="F15" s="18"/>
      <c r="G15" s="18"/>
      <c r="H15" s="18"/>
      <c r="I15" s="60"/>
      <c r="S15" s="75"/>
      <c r="T15" s="75"/>
    </row>
    <row r="16" spans="1:20" ht="11.25">
      <c r="B16" s="54" t="s">
        <v>1325</v>
      </c>
      <c r="C16" s="120" t="str">
        <f t="shared" si="0"/>
        <v>Technical</v>
      </c>
      <c r="D16" s="18" t="s">
        <v>4705</v>
      </c>
      <c r="E16" s="18" t="str">
        <f t="shared" si="1"/>
        <v>Technical Swedish</v>
      </c>
      <c r="F16" s="18"/>
      <c r="G16" s="18"/>
      <c r="H16" s="18"/>
      <c r="I16" s="60"/>
      <c r="S16" s="75"/>
      <c r="T16" s="75"/>
    </row>
    <row r="17" spans="1:20" ht="11.25">
      <c r="A17" s="2"/>
      <c r="B17" s="54" t="s">
        <v>4197</v>
      </c>
      <c r="C17" s="120" t="str">
        <f t="shared" si="0"/>
        <v>PM / Analyst</v>
      </c>
      <c r="D17" s="18" t="s">
        <v>4704</v>
      </c>
      <c r="E17" s="18" t="str">
        <f t="shared" si="1"/>
        <v>PM / Analyst Swedish</v>
      </c>
      <c r="F17" s="18"/>
      <c r="G17" s="18"/>
      <c r="H17" s="18"/>
      <c r="I17" s="60"/>
      <c r="S17" s="75"/>
      <c r="T17" s="75"/>
    </row>
    <row r="18" spans="1:20" ht="11.25">
      <c r="B18" s="54" t="s">
        <v>4198</v>
      </c>
      <c r="C18" s="120" t="str">
        <f t="shared" si="0"/>
        <v>Director / EM</v>
      </c>
      <c r="D18" s="849" t="s">
        <v>4703</v>
      </c>
      <c r="E18" s="18" t="str">
        <f t="shared" si="1"/>
        <v>Director / EM Swedish</v>
      </c>
      <c r="F18" s="18"/>
      <c r="G18" s="18"/>
      <c r="H18" s="18"/>
      <c r="I18" s="60"/>
      <c r="S18" s="75"/>
      <c r="T18" s="75"/>
    </row>
    <row r="19" spans="1:20" ht="11.25">
      <c r="B19" s="54" t="s">
        <v>4199</v>
      </c>
      <c r="C19" s="120" t="str">
        <f t="shared" si="0"/>
        <v>Global Resources</v>
      </c>
      <c r="D19" s="18" t="s">
        <v>1306</v>
      </c>
      <c r="E19" s="18" t="str">
        <f t="shared" si="1"/>
        <v>Global Resources Swedish</v>
      </c>
      <c r="F19" s="18"/>
      <c r="G19" s="18"/>
      <c r="H19" s="18"/>
      <c r="I19" s="60"/>
      <c r="S19" s="75"/>
      <c r="T19" s="75"/>
    </row>
    <row r="20" spans="1:20" ht="11.25">
      <c r="B20" s="54" t="s">
        <v>3889</v>
      </c>
      <c r="C20" s="120" t="str">
        <f t="shared" si="0"/>
        <v>Sales</v>
      </c>
      <c r="D20" s="18" t="s">
        <v>4696</v>
      </c>
      <c r="E20" s="18" t="str">
        <f t="shared" si="1"/>
        <v>Sales Swedish</v>
      </c>
      <c r="F20" s="18"/>
      <c r="G20" s="18"/>
      <c r="H20" s="18"/>
      <c r="I20" s="60"/>
      <c r="S20" s="75"/>
      <c r="T20" s="75"/>
    </row>
    <row r="21" spans="1:20" ht="11.25">
      <c r="B21" s="54" t="s">
        <v>3890</v>
      </c>
      <c r="C21" s="120" t="str">
        <f t="shared" si="0"/>
        <v>SI &amp; T Sr. Exec.</v>
      </c>
      <c r="D21" s="18" t="s">
        <v>3576</v>
      </c>
      <c r="E21" s="18" t="str">
        <f t="shared" si="1"/>
        <v>SI &amp; T Sr. Exec. Swedish</v>
      </c>
      <c r="F21" s="18"/>
      <c r="G21" s="18"/>
      <c r="H21" s="18"/>
      <c r="I21" s="60"/>
      <c r="S21" s="75"/>
      <c r="T21" s="75"/>
    </row>
    <row r="22" spans="1:20" ht="11.25">
      <c r="B22" s="54" t="s">
        <v>3891</v>
      </c>
      <c r="C22" s="120" t="str">
        <f t="shared" ref="C22:C61" si="2">INDEX(D22:G22,xxContLangCode)</f>
        <v>SI &amp; T Sr. Mgr</v>
      </c>
      <c r="D22" s="18" t="s">
        <v>1337</v>
      </c>
      <c r="E22" s="18" t="str">
        <f t="shared" si="1"/>
        <v>SI &amp; T Sr. Mgr Swedish</v>
      </c>
      <c r="F22" s="18"/>
      <c r="G22" s="18"/>
      <c r="H22" s="18"/>
      <c r="I22" s="60"/>
      <c r="S22" s="75"/>
      <c r="T22" s="75"/>
    </row>
    <row r="23" spans="1:20" ht="11.25">
      <c r="B23" s="54" t="s">
        <v>3892</v>
      </c>
      <c r="C23" s="120" t="str">
        <f t="shared" si="2"/>
        <v>Global Delivery Centers</v>
      </c>
      <c r="D23" s="18" t="s">
        <v>5178</v>
      </c>
      <c r="E23" s="18" t="str">
        <f t="shared" si="1"/>
        <v>Global Delivery Centers Swedish</v>
      </c>
      <c r="F23" s="18"/>
      <c r="G23" s="18"/>
      <c r="H23" s="18"/>
      <c r="I23" s="60"/>
      <c r="S23" s="75"/>
      <c r="T23" s="75"/>
    </row>
    <row r="24" spans="1:20" ht="11.25">
      <c r="B24" s="54" t="s">
        <v>3893</v>
      </c>
      <c r="C24" s="120" t="str">
        <f t="shared" si="2"/>
        <v>Employee 10</v>
      </c>
      <c r="D24" s="18" t="s">
        <v>3900</v>
      </c>
      <c r="E24" s="18" t="str">
        <f t="shared" si="1"/>
        <v>Employee 10 Swedish</v>
      </c>
      <c r="F24" s="18"/>
      <c r="G24" s="18"/>
      <c r="H24" s="18"/>
      <c r="I24" s="60"/>
      <c r="S24" s="75"/>
      <c r="T24" s="75"/>
    </row>
    <row r="25" spans="1:20" ht="11.25">
      <c r="B25" s="54" t="s">
        <v>4442</v>
      </c>
      <c r="C25" s="120" t="str">
        <f t="shared" si="2"/>
        <v>Equipment</v>
      </c>
      <c r="D25" s="18" t="s">
        <v>628</v>
      </c>
      <c r="E25" s="18" t="s">
        <v>4445</v>
      </c>
      <c r="F25" s="18"/>
      <c r="G25" s="18"/>
      <c r="H25" s="18"/>
      <c r="I25" s="60"/>
      <c r="S25" s="75"/>
      <c r="T25" s="75"/>
    </row>
    <row r="26" spans="1:20" ht="11.25">
      <c r="B26" s="54" t="s">
        <v>4443</v>
      </c>
      <c r="C26" s="120" t="str">
        <f t="shared" si="2"/>
        <v>International Plant</v>
      </c>
      <c r="D26" s="18" t="s">
        <v>153</v>
      </c>
      <c r="E26" s="18" t="s">
        <v>4446</v>
      </c>
      <c r="F26" s="18"/>
      <c r="G26" s="18"/>
      <c r="H26" s="18"/>
      <c r="I26" s="60"/>
      <c r="S26" s="75"/>
      <c r="T26" s="75"/>
    </row>
    <row r="27" spans="1:20" ht="11.25">
      <c r="B27" s="54" t="s">
        <v>4444</v>
      </c>
      <c r="C27" s="120" t="str">
        <f t="shared" si="2"/>
        <v>Bid Plant</v>
      </c>
      <c r="D27" s="18" t="s">
        <v>154</v>
      </c>
      <c r="E27" s="18" t="s">
        <v>4447</v>
      </c>
      <c r="F27" s="18"/>
      <c r="G27" s="18"/>
      <c r="H27" s="18"/>
      <c r="I27" s="60"/>
      <c r="S27" s="75"/>
      <c r="T27" s="75"/>
    </row>
    <row r="28" spans="1:20" ht="11.25">
      <c r="B28" s="54" t="s">
        <v>2139</v>
      </c>
      <c r="C28" s="120" t="str">
        <f t="shared" si="2"/>
        <v>CRM</v>
      </c>
      <c r="D28" s="849" t="s">
        <v>4697</v>
      </c>
      <c r="E28" s="18" t="s">
        <v>902</v>
      </c>
      <c r="F28" s="18"/>
      <c r="G28" s="18"/>
      <c r="H28" s="18"/>
      <c r="I28" s="60"/>
      <c r="S28" s="75"/>
      <c r="T28" s="75"/>
    </row>
    <row r="29" spans="1:20" ht="11.25">
      <c r="B29" s="54" t="s">
        <v>2140</v>
      </c>
      <c r="C29" s="120" t="str">
        <f t="shared" si="2"/>
        <v>HCM</v>
      </c>
      <c r="D29" s="849" t="s">
        <v>4698</v>
      </c>
      <c r="E29" s="18" t="s">
        <v>2097</v>
      </c>
      <c r="F29" s="18"/>
      <c r="G29" s="18"/>
      <c r="H29" s="18"/>
      <c r="I29" s="60"/>
      <c r="S29" s="75"/>
      <c r="T29" s="75"/>
    </row>
    <row r="30" spans="1:20" ht="11.25">
      <c r="B30" s="54" t="s">
        <v>2141</v>
      </c>
      <c r="C30" s="120" t="str">
        <f t="shared" si="2"/>
        <v>Futuria</v>
      </c>
      <c r="D30" s="849" t="s">
        <v>5159</v>
      </c>
      <c r="E30" s="18" t="s">
        <v>764</v>
      </c>
      <c r="F30" s="18"/>
      <c r="G30" s="18"/>
      <c r="H30" s="18"/>
      <c r="I30" s="60"/>
      <c r="S30" s="75"/>
      <c r="T30" s="75"/>
    </row>
    <row r="31" spans="1:20" ht="11.25">
      <c r="B31" s="54" t="s">
        <v>2142</v>
      </c>
      <c r="C31" s="120">
        <f t="shared" si="2"/>
        <v>0</v>
      </c>
      <c r="D31" s="18"/>
      <c r="E31" s="18" t="s">
        <v>765</v>
      </c>
      <c r="F31" s="18"/>
      <c r="G31" s="18"/>
      <c r="H31" s="18"/>
      <c r="I31" s="60"/>
      <c r="S31" s="75"/>
      <c r="T31" s="75"/>
    </row>
    <row r="32" spans="1:20" ht="11.25">
      <c r="B32" s="54" t="s">
        <v>3338</v>
      </c>
      <c r="C32" s="120">
        <f t="shared" si="2"/>
        <v>0</v>
      </c>
      <c r="D32" s="18"/>
      <c r="E32" s="18" t="s">
        <v>766</v>
      </c>
      <c r="F32" s="18"/>
      <c r="G32" s="18"/>
      <c r="H32" s="18"/>
      <c r="I32" s="60"/>
      <c r="S32" s="75"/>
      <c r="T32" s="75"/>
    </row>
    <row r="33" spans="2:20" ht="11.25">
      <c r="B33" s="54" t="s">
        <v>1125</v>
      </c>
      <c r="C33" s="120" t="str">
        <f t="shared" si="2"/>
        <v>Horizontal 1</v>
      </c>
      <c r="D33" s="18" t="s">
        <v>1049</v>
      </c>
      <c r="E33" s="18" t="str">
        <f>DataNameProd2 &amp; " Consumers"</f>
        <v>Industry 1 Consumers</v>
      </c>
      <c r="F33" s="18"/>
      <c r="G33" s="18"/>
      <c r="H33" s="18"/>
      <c r="I33" s="60"/>
      <c r="S33" s="75"/>
      <c r="T33" s="75"/>
    </row>
    <row r="34" spans="2:20" ht="11.25">
      <c r="B34" s="54" t="s">
        <v>3339</v>
      </c>
      <c r="C34" s="120" t="str">
        <f t="shared" si="2"/>
        <v>Horizontal 2</v>
      </c>
      <c r="D34" s="18" t="s">
        <v>1050</v>
      </c>
      <c r="E34" s="18" t="s">
        <v>350</v>
      </c>
      <c r="F34" s="18"/>
      <c r="G34" s="18"/>
      <c r="H34" s="18"/>
      <c r="I34" s="60"/>
      <c r="S34" s="75"/>
      <c r="T34" s="75"/>
    </row>
    <row r="35" spans="2:20" ht="11.25">
      <c r="B35" s="54" t="s">
        <v>3340</v>
      </c>
      <c r="C35" s="120" t="str">
        <f t="shared" si="2"/>
        <v>Horizontal 3</v>
      </c>
      <c r="D35" s="18" t="s">
        <v>1051</v>
      </c>
      <c r="E35" s="18" t="s">
        <v>350</v>
      </c>
      <c r="F35" s="18"/>
      <c r="G35" s="18"/>
      <c r="H35" s="18"/>
      <c r="I35" s="60"/>
      <c r="S35" s="75"/>
      <c r="T35" s="75"/>
    </row>
    <row r="36" spans="2:20" ht="11.25">
      <c r="B36" s="54" t="s">
        <v>3341</v>
      </c>
      <c r="C36" s="120">
        <f t="shared" si="2"/>
        <v>0</v>
      </c>
      <c r="D36" s="18"/>
      <c r="E36" s="18" t="s">
        <v>350</v>
      </c>
      <c r="F36" s="18"/>
      <c r="G36" s="18"/>
      <c r="H36" s="18"/>
      <c r="I36" s="60"/>
      <c r="S36" s="75"/>
      <c r="T36" s="75"/>
    </row>
    <row r="37" spans="2:20" ht="11.25">
      <c r="B37" s="54" t="s">
        <v>1124</v>
      </c>
      <c r="C37" s="120">
        <f t="shared" si="2"/>
        <v>0</v>
      </c>
      <c r="D37" s="18"/>
      <c r="E37" s="18" t="s">
        <v>350</v>
      </c>
      <c r="F37" s="18"/>
      <c r="G37" s="18"/>
      <c r="H37" s="18"/>
      <c r="I37" s="60"/>
      <c r="S37" s="75"/>
      <c r="T37" s="75"/>
    </row>
    <row r="38" spans="2:20" ht="11.25">
      <c r="B38" s="54" t="s">
        <v>3810</v>
      </c>
      <c r="C38" s="120" t="str">
        <f t="shared" si="2"/>
        <v>Horizontal 1</v>
      </c>
      <c r="D38" s="18" t="s">
        <v>1049</v>
      </c>
      <c r="E38" s="18" t="s">
        <v>351</v>
      </c>
      <c r="F38" s="18"/>
      <c r="G38" s="18"/>
      <c r="H38" s="18"/>
      <c r="I38" s="60"/>
      <c r="S38" s="75"/>
      <c r="T38" s="75"/>
    </row>
    <row r="39" spans="2:20" ht="11.25">
      <c r="B39" s="54" t="s">
        <v>1126</v>
      </c>
      <c r="C39" s="120" t="str">
        <f t="shared" si="2"/>
        <v>Horizontal 2</v>
      </c>
      <c r="D39" s="18" t="s">
        <v>1050</v>
      </c>
      <c r="E39" s="18" t="s">
        <v>352</v>
      </c>
      <c r="F39" s="18"/>
      <c r="G39" s="18"/>
      <c r="H39" s="18"/>
      <c r="I39" s="60"/>
      <c r="S39" s="75"/>
      <c r="T39" s="75"/>
    </row>
    <row r="40" spans="2:20" ht="11.25">
      <c r="B40" s="54" t="s">
        <v>1127</v>
      </c>
      <c r="C40" s="120" t="str">
        <f t="shared" si="2"/>
        <v>Horizontal 3</v>
      </c>
      <c r="D40" s="18" t="s">
        <v>1051</v>
      </c>
      <c r="E40" s="18" t="s">
        <v>353</v>
      </c>
      <c r="F40" s="18"/>
      <c r="G40" s="18"/>
      <c r="H40" s="18"/>
      <c r="I40" s="60"/>
      <c r="S40" s="75"/>
      <c r="T40" s="75"/>
    </row>
    <row r="41" spans="2:20" ht="11.25">
      <c r="B41" s="54" t="s">
        <v>1128</v>
      </c>
      <c r="C41" s="120">
        <f t="shared" si="2"/>
        <v>0</v>
      </c>
      <c r="D41" s="18"/>
      <c r="E41" s="18" t="s">
        <v>2835</v>
      </c>
      <c r="F41" s="18"/>
      <c r="G41" s="18"/>
      <c r="H41" s="18"/>
      <c r="I41" s="60"/>
      <c r="S41" s="75"/>
      <c r="T41" s="75"/>
    </row>
    <row r="42" spans="2:20" ht="11.25">
      <c r="B42" s="54" t="s">
        <v>3809</v>
      </c>
      <c r="C42" s="120">
        <f t="shared" si="2"/>
        <v>0</v>
      </c>
      <c r="D42" s="18"/>
      <c r="E42" s="18" t="s">
        <v>2836</v>
      </c>
      <c r="F42" s="18"/>
      <c r="G42" s="18"/>
      <c r="H42" s="18"/>
      <c r="I42" s="60"/>
      <c r="S42" s="75"/>
      <c r="T42" s="75"/>
    </row>
    <row r="43" spans="2:20" ht="11.25">
      <c r="B43" s="54" t="s">
        <v>2705</v>
      </c>
      <c r="C43" s="120" t="str">
        <f t="shared" ref="C43:C60" si="3">INDEX(D43:G43,xxContLangCode)</f>
        <v>Horizontal 1</v>
      </c>
      <c r="D43" s="18" t="s">
        <v>1049</v>
      </c>
      <c r="E43" s="18" t="s">
        <v>2837</v>
      </c>
      <c r="F43" s="18"/>
      <c r="G43" s="18"/>
      <c r="H43" s="18"/>
      <c r="I43" s="60"/>
      <c r="S43" s="75"/>
      <c r="T43" s="75"/>
    </row>
    <row r="44" spans="2:20" ht="11.25">
      <c r="B44" s="54" t="s">
        <v>1796</v>
      </c>
      <c r="C44" s="120" t="str">
        <f t="shared" si="3"/>
        <v>Horizontal 2</v>
      </c>
      <c r="D44" s="18" t="s">
        <v>1050</v>
      </c>
      <c r="E44" s="18" t="s">
        <v>2838</v>
      </c>
      <c r="F44" s="18"/>
      <c r="G44" s="18"/>
      <c r="H44" s="18"/>
      <c r="I44" s="60"/>
      <c r="S44" s="75"/>
      <c r="T44" s="75"/>
    </row>
    <row r="45" spans="2:20" ht="11.25">
      <c r="B45" s="54" t="s">
        <v>610</v>
      </c>
      <c r="C45" s="120" t="str">
        <f t="shared" si="3"/>
        <v>Horizontal 3</v>
      </c>
      <c r="D45" s="18" t="s">
        <v>1051</v>
      </c>
      <c r="E45" s="18" t="s">
        <v>2839</v>
      </c>
      <c r="F45" s="18"/>
      <c r="G45" s="18"/>
      <c r="H45" s="18"/>
      <c r="I45" s="60"/>
      <c r="S45" s="75"/>
      <c r="T45" s="75"/>
    </row>
    <row r="46" spans="2:20" ht="11.25">
      <c r="B46" s="54" t="s">
        <v>2703</v>
      </c>
      <c r="C46" s="120">
        <f t="shared" si="3"/>
        <v>0</v>
      </c>
      <c r="D46" s="18"/>
      <c r="E46" s="18" t="s">
        <v>2840</v>
      </c>
      <c r="F46" s="18"/>
      <c r="G46" s="18"/>
      <c r="H46" s="18"/>
      <c r="I46" s="60"/>
      <c r="S46" s="75"/>
      <c r="T46" s="75"/>
    </row>
    <row r="47" spans="2:20" ht="11.25">
      <c r="B47" s="54" t="s">
        <v>2704</v>
      </c>
      <c r="C47" s="120">
        <f t="shared" si="3"/>
        <v>0</v>
      </c>
      <c r="D47" s="18"/>
      <c r="E47" s="18" t="s">
        <v>2110</v>
      </c>
      <c r="F47" s="18"/>
      <c r="G47" s="18"/>
      <c r="H47" s="18"/>
      <c r="I47" s="60"/>
      <c r="S47" s="75"/>
      <c r="T47" s="75"/>
    </row>
    <row r="48" spans="2:20" ht="11.25">
      <c r="B48" s="54" t="s">
        <v>1490</v>
      </c>
      <c r="C48" s="120" t="str">
        <f t="shared" si="3"/>
        <v>Offshore</v>
      </c>
      <c r="D48" s="849" t="s">
        <v>5169</v>
      </c>
      <c r="E48" s="18" t="s">
        <v>2111</v>
      </c>
      <c r="F48" s="18"/>
      <c r="G48" s="18"/>
      <c r="H48" s="18"/>
      <c r="I48" s="60"/>
      <c r="S48" s="75"/>
      <c r="T48" s="75"/>
    </row>
    <row r="49" spans="2:20" ht="11.25">
      <c r="B49" s="54" t="s">
        <v>1797</v>
      </c>
      <c r="C49" s="120" t="str">
        <f t="shared" si="3"/>
        <v>Technical</v>
      </c>
      <c r="D49" s="849" t="s">
        <v>4705</v>
      </c>
      <c r="E49" s="18" t="s">
        <v>2112</v>
      </c>
      <c r="F49" s="18"/>
      <c r="G49" s="18"/>
      <c r="H49" s="18"/>
      <c r="I49" s="60"/>
      <c r="S49" s="75"/>
      <c r="T49" s="75"/>
    </row>
    <row r="50" spans="2:20" ht="11.25">
      <c r="B50" s="54" t="s">
        <v>1798</v>
      </c>
      <c r="C50" s="120" t="str">
        <f t="shared" si="3"/>
        <v>PM / Analyst</v>
      </c>
      <c r="D50" s="849" t="s">
        <v>4704</v>
      </c>
      <c r="E50" s="18" t="s">
        <v>2113</v>
      </c>
      <c r="F50" s="18"/>
      <c r="G50" s="18"/>
      <c r="H50" s="18"/>
      <c r="I50" s="60"/>
      <c r="S50" s="75"/>
      <c r="T50" s="75"/>
    </row>
    <row r="51" spans="2:20" ht="11.25">
      <c r="B51" s="54" t="s">
        <v>1488</v>
      </c>
      <c r="C51" s="120" t="str">
        <f t="shared" si="3"/>
        <v>Director / EM</v>
      </c>
      <c r="D51" s="849" t="s">
        <v>4703</v>
      </c>
      <c r="E51" s="18" t="s">
        <v>2114</v>
      </c>
      <c r="F51" s="18"/>
      <c r="G51" s="18"/>
      <c r="H51" s="18"/>
      <c r="I51" s="60"/>
      <c r="S51" s="75"/>
      <c r="T51" s="75"/>
    </row>
    <row r="52" spans="2:20" ht="11.25">
      <c r="B52" s="54" t="s">
        <v>1489</v>
      </c>
      <c r="C52" s="120" t="str">
        <f t="shared" si="3"/>
        <v>Sales</v>
      </c>
      <c r="D52" s="849" t="s">
        <v>4696</v>
      </c>
      <c r="E52" s="18" t="s">
        <v>2115</v>
      </c>
      <c r="F52" s="18"/>
      <c r="G52" s="18"/>
      <c r="H52" s="18"/>
      <c r="I52" s="60"/>
      <c r="S52" s="75"/>
      <c r="T52" s="75"/>
    </row>
    <row r="53" spans="2:20" ht="11.25">
      <c r="B53" s="54" t="s">
        <v>3395</v>
      </c>
      <c r="C53" s="120" t="str">
        <f t="shared" si="3"/>
        <v>Sr. Exec. SI &amp; T</v>
      </c>
      <c r="D53" s="96" t="s">
        <v>4020</v>
      </c>
      <c r="E53" s="18" t="s">
        <v>4023</v>
      </c>
      <c r="F53" s="18"/>
      <c r="G53" s="18"/>
      <c r="H53" s="18"/>
      <c r="I53" s="60"/>
      <c r="S53" s="75"/>
      <c r="T53" s="75"/>
    </row>
    <row r="54" spans="2:20" ht="11.25">
      <c r="B54" s="54" t="s">
        <v>3396</v>
      </c>
      <c r="C54" s="120" t="str">
        <f t="shared" si="3"/>
        <v>Sr. Mgr/Mgr SI &amp; T</v>
      </c>
      <c r="D54" s="96" t="s">
        <v>4021</v>
      </c>
      <c r="E54" s="18" t="s">
        <v>640</v>
      </c>
      <c r="F54" s="18"/>
      <c r="G54" s="18"/>
      <c r="H54" s="18"/>
      <c r="I54" s="60"/>
      <c r="S54" s="75"/>
      <c r="T54" s="75"/>
    </row>
    <row r="55" spans="2:20" ht="11.25">
      <c r="B55" s="54" t="s">
        <v>3397</v>
      </c>
      <c r="C55" s="120" t="str">
        <f t="shared" si="3"/>
        <v>Consultant/Anlyst SI &amp; T</v>
      </c>
      <c r="D55" s="96" t="s">
        <v>4022</v>
      </c>
      <c r="E55" s="18" t="s">
        <v>3394</v>
      </c>
      <c r="F55" s="18"/>
      <c r="G55" s="18"/>
      <c r="H55" s="18"/>
      <c r="I55" s="60"/>
      <c r="S55" s="75"/>
      <c r="T55" s="75"/>
    </row>
    <row r="56" spans="2:20" ht="11.25">
      <c r="B56" s="54" t="s">
        <v>901</v>
      </c>
      <c r="C56" s="120" t="str">
        <f t="shared" si="3"/>
        <v>Product 6 Segment 1</v>
      </c>
      <c r="D56" s="18" t="s">
        <v>2116</v>
      </c>
      <c r="E56" s="18" t="s">
        <v>2116</v>
      </c>
      <c r="F56" s="18"/>
      <c r="G56" s="18"/>
      <c r="H56" s="18"/>
      <c r="I56" s="60"/>
      <c r="S56" s="75"/>
      <c r="T56" s="75"/>
    </row>
    <row r="57" spans="2:20" ht="11.25">
      <c r="B57" s="54" t="s">
        <v>1491</v>
      </c>
      <c r="C57" s="120" t="str">
        <f t="shared" si="3"/>
        <v>Product 6 Segment 2</v>
      </c>
      <c r="D57" s="18" t="s">
        <v>2117</v>
      </c>
      <c r="E57" s="18" t="s">
        <v>2117</v>
      </c>
      <c r="F57" s="18"/>
      <c r="G57" s="18"/>
      <c r="H57" s="18"/>
      <c r="I57" s="60"/>
      <c r="S57" s="75"/>
      <c r="T57" s="75"/>
    </row>
    <row r="58" spans="2:20" ht="11.25">
      <c r="B58" s="54" t="s">
        <v>1492</v>
      </c>
      <c r="C58" s="120" t="str">
        <f t="shared" si="3"/>
        <v>Product 6 Segment 3</v>
      </c>
      <c r="D58" s="18" t="s">
        <v>254</v>
      </c>
      <c r="E58" s="18" t="s">
        <v>254</v>
      </c>
      <c r="F58" s="18"/>
      <c r="G58" s="18"/>
      <c r="H58" s="18"/>
      <c r="I58" s="60"/>
      <c r="S58" s="75"/>
      <c r="T58" s="75"/>
    </row>
    <row r="59" spans="2:20" ht="11.25">
      <c r="B59" s="54" t="s">
        <v>1493</v>
      </c>
      <c r="C59" s="120" t="str">
        <f t="shared" si="3"/>
        <v>Product 6 Segment 4</v>
      </c>
      <c r="D59" s="18" t="s">
        <v>255</v>
      </c>
      <c r="E59" s="18" t="s">
        <v>255</v>
      </c>
      <c r="F59" s="18"/>
      <c r="G59" s="18"/>
      <c r="H59" s="18"/>
      <c r="I59" s="60"/>
      <c r="S59" s="75"/>
      <c r="T59" s="75"/>
    </row>
    <row r="60" spans="2:20" ht="11.25">
      <c r="B60" s="54" t="s">
        <v>900</v>
      </c>
      <c r="C60" s="120" t="str">
        <f t="shared" si="3"/>
        <v>Product 6 Segment 5</v>
      </c>
      <c r="D60" s="18" t="s">
        <v>256</v>
      </c>
      <c r="E60" s="18" t="s">
        <v>256</v>
      </c>
      <c r="F60" s="18"/>
      <c r="G60" s="18"/>
      <c r="H60" s="18"/>
      <c r="I60" s="60"/>
      <c r="S60" s="75"/>
      <c r="T60" s="75"/>
    </row>
    <row r="61" spans="2:20" ht="11.25">
      <c r="B61" s="54"/>
      <c r="C61" s="120">
        <f t="shared" si="2"/>
        <v>0</v>
      </c>
      <c r="D61" s="18"/>
      <c r="E61" s="18"/>
      <c r="F61" s="18"/>
      <c r="G61" s="18"/>
      <c r="H61" s="18"/>
      <c r="I61" s="60"/>
      <c r="S61" s="75"/>
      <c r="T61" s="75"/>
    </row>
    <row r="62" spans="2:20" ht="11.25">
      <c r="B62" s="117"/>
      <c r="C62" s="118"/>
      <c r="D62" s="118"/>
      <c r="E62" s="118"/>
      <c r="F62" s="118"/>
      <c r="G62" s="118"/>
      <c r="H62" s="118"/>
      <c r="I62" s="119"/>
      <c r="S62" s="75"/>
      <c r="T62" s="75"/>
    </row>
    <row r="63" spans="2:20" ht="11.25"/>
    <row r="64" spans="2:20" ht="11.25">
      <c r="B64" s="18"/>
      <c r="C64" s="18"/>
      <c r="D64" s="18"/>
      <c r="E64" s="18"/>
      <c r="F64" s="18"/>
      <c r="G64" s="18"/>
      <c r="H64" s="18"/>
      <c r="I64" s="18"/>
      <c r="S64" s="75"/>
      <c r="T64" s="75"/>
    </row>
    <row r="65" spans="1:20" ht="11.25">
      <c r="B65" s="2" t="s">
        <v>179</v>
      </c>
      <c r="C65" s="42">
        <v>1.1499999999999999</v>
      </c>
    </row>
    <row r="66" spans="1:20" ht="11.25"/>
    <row r="67" spans="1:20" ht="11.25">
      <c r="B67" t="str">
        <f>DataNameProd1</f>
        <v>Consulting</v>
      </c>
      <c r="C67" s="42">
        <f>4934733.2023275*1.285</f>
        <v>6341132.1649908377</v>
      </c>
      <c r="D67" t="s">
        <v>1170</v>
      </c>
      <c r="S67" s="75"/>
      <c r="T67" s="75"/>
    </row>
    <row r="68" spans="1:20" ht="11.25">
      <c r="B68" t="str">
        <f>DataNameProd2</f>
        <v>Industry 1</v>
      </c>
      <c r="C68" s="42">
        <v>3</v>
      </c>
      <c r="D68" t="s">
        <v>1162</v>
      </c>
      <c r="S68" s="75"/>
      <c r="T68" s="75"/>
    </row>
    <row r="69" spans="1:20" ht="11.25">
      <c r="B69" t="str">
        <f>DataNameProd3</f>
        <v>Industry 2</v>
      </c>
      <c r="C69" s="42">
        <v>3</v>
      </c>
      <c r="D69" t="s">
        <v>1163</v>
      </c>
      <c r="S69" s="75"/>
      <c r="T69" s="75"/>
    </row>
    <row r="70" spans="1:20" ht="11.25">
      <c r="B70" t="str">
        <f>DataNameProd4</f>
        <v>Industry 3</v>
      </c>
      <c r="C70" s="42">
        <v>3</v>
      </c>
      <c r="D70" t="s">
        <v>1164</v>
      </c>
      <c r="S70" s="75"/>
      <c r="T70" s="75"/>
    </row>
    <row r="71" spans="1:20" ht="11.25">
      <c r="B71" t="str">
        <f>DataNameProd5</f>
        <v>Employees</v>
      </c>
      <c r="C71" s="42"/>
      <c r="D71" t="s">
        <v>1165</v>
      </c>
      <c r="S71" s="75"/>
      <c r="T71" s="75"/>
    </row>
    <row r="72" spans="1:20" ht="11.25">
      <c r="B72" t="str">
        <f>DataNameProd6</f>
        <v>Prod6</v>
      </c>
      <c r="C72" s="42"/>
      <c r="D72" t="s">
        <v>1169</v>
      </c>
      <c r="S72" s="75"/>
      <c r="T72" s="75"/>
    </row>
    <row r="73" spans="1:20" ht="11.25">
      <c r="C73" s="101"/>
      <c r="S73" s="75"/>
      <c r="T73" s="75"/>
    </row>
    <row r="74" spans="1:20" ht="11.25">
      <c r="S74" s="75"/>
      <c r="T74" s="75"/>
    </row>
    <row r="75" spans="1:20" ht="11.25">
      <c r="A75" s="2" t="s">
        <v>3418</v>
      </c>
      <c r="S75" s="75"/>
      <c r="T75" s="75"/>
    </row>
    <row r="76" spans="1:20" ht="11.25">
      <c r="A76" s="2" t="s">
        <v>3419</v>
      </c>
      <c r="B76" s="104"/>
      <c r="S76" s="75"/>
      <c r="T76" s="75"/>
    </row>
    <row r="77" spans="1:20" ht="11.25">
      <c r="A77" s="2"/>
      <c r="B77" s="2" t="s">
        <v>3420</v>
      </c>
      <c r="S77" s="75"/>
      <c r="T77" s="75"/>
    </row>
    <row r="78" spans="1:20" ht="12" customHeight="1">
      <c r="B78" s="2" t="s">
        <v>3811</v>
      </c>
      <c r="C78" s="43">
        <v>-2</v>
      </c>
      <c r="D78" s="43">
        <v>-1</v>
      </c>
      <c r="E78" s="43">
        <v>0</v>
      </c>
      <c r="F78" s="43">
        <v>1</v>
      </c>
      <c r="G78" s="43">
        <v>2</v>
      </c>
      <c r="H78" s="43">
        <v>3</v>
      </c>
      <c r="I78" s="43">
        <v>4</v>
      </c>
      <c r="J78" s="43">
        <v>5</v>
      </c>
      <c r="S78" s="75"/>
      <c r="T78" s="75"/>
    </row>
    <row r="79" spans="1:20" ht="11.25">
      <c r="B79" s="3" t="s">
        <v>3812</v>
      </c>
      <c r="C79" s="44"/>
      <c r="D79" s="44"/>
      <c r="E79" s="45"/>
      <c r="F79" s="11">
        <v>101</v>
      </c>
      <c r="G79" s="11">
        <v>101</v>
      </c>
      <c r="H79" s="11">
        <v>101</v>
      </c>
      <c r="I79" s="11">
        <v>101</v>
      </c>
      <c r="J79" s="11">
        <v>101</v>
      </c>
      <c r="S79" s="75"/>
      <c r="T79" s="75"/>
    </row>
    <row r="80" spans="1:20" ht="11.25">
      <c r="B80" s="3" t="s">
        <v>3813</v>
      </c>
      <c r="C80" s="44"/>
      <c r="D80" s="44"/>
      <c r="E80" s="45"/>
      <c r="F80" s="48"/>
      <c r="G80" s="11">
        <v>102</v>
      </c>
      <c r="H80" s="11">
        <v>102</v>
      </c>
      <c r="I80" s="11">
        <v>102</v>
      </c>
      <c r="J80" s="11">
        <v>102</v>
      </c>
      <c r="S80" s="75"/>
      <c r="T80" s="75"/>
    </row>
    <row r="81" spans="1:20" ht="11.25">
      <c r="B81" s="3" t="s">
        <v>3814</v>
      </c>
      <c r="C81" s="46"/>
      <c r="D81" s="46"/>
      <c r="E81" s="47"/>
      <c r="F81" s="49"/>
      <c r="G81" s="49"/>
      <c r="H81" s="21">
        <v>103</v>
      </c>
      <c r="I81" s="21">
        <v>103</v>
      </c>
      <c r="J81" s="21">
        <v>103</v>
      </c>
      <c r="S81" s="75"/>
      <c r="T81" s="75"/>
    </row>
    <row r="82" spans="1:20" ht="11.25">
      <c r="B82" s="3" t="s">
        <v>1508</v>
      </c>
      <c r="C82" s="46"/>
      <c r="D82" s="46"/>
      <c r="E82" s="47"/>
      <c r="F82" s="49"/>
      <c r="G82" s="49"/>
      <c r="H82" s="50"/>
      <c r="I82" s="21">
        <v>104</v>
      </c>
      <c r="J82" s="21">
        <v>104</v>
      </c>
      <c r="M82">
        <f>60*1.2</f>
        <v>72</v>
      </c>
      <c r="N82">
        <f>M82/SUM(M82:M84)</f>
        <v>0.56031128404669261</v>
      </c>
      <c r="S82" s="75"/>
      <c r="T82" s="75"/>
    </row>
    <row r="83" spans="1:20" ht="11.25">
      <c r="B83" s="3" t="s">
        <v>1509</v>
      </c>
      <c r="C83" s="44"/>
      <c r="D83" s="44"/>
      <c r="E83" s="44"/>
      <c r="F83" s="48"/>
      <c r="G83" s="48"/>
      <c r="H83" s="50"/>
      <c r="I83" s="50"/>
      <c r="J83" s="21">
        <v>105</v>
      </c>
      <c r="M83">
        <f>30*1.35</f>
        <v>40.5</v>
      </c>
      <c r="N83">
        <f>M83/SUM(M82:M84)</f>
        <v>0.31517509727626458</v>
      </c>
      <c r="S83" s="75"/>
      <c r="T83" s="75"/>
    </row>
    <row r="84" spans="1:20" ht="11.25">
      <c r="B84" s="3"/>
      <c r="C84" s="3"/>
      <c r="D84" s="3"/>
      <c r="E84" s="3"/>
      <c r="F84" s="3"/>
      <c r="G84" s="3"/>
      <c r="H84" s="3"/>
      <c r="I84" s="3"/>
      <c r="J84" s="3"/>
      <c r="K84" s="3"/>
      <c r="M84">
        <f>10*1.6</f>
        <v>16</v>
      </c>
      <c r="N84">
        <f>M84/SUM(M82:M84)</f>
        <v>0.1245136186770428</v>
      </c>
      <c r="S84" s="75"/>
      <c r="T84" s="75"/>
    </row>
    <row r="85" spans="1:20" ht="11.25">
      <c r="B85" s="2" t="s">
        <v>3421</v>
      </c>
      <c r="S85" s="75"/>
      <c r="T85" s="75"/>
    </row>
    <row r="86" spans="1:20" ht="11.25">
      <c r="B86" s="2" t="s">
        <v>3811</v>
      </c>
      <c r="C86" s="2">
        <f>C78</f>
        <v>-2</v>
      </c>
      <c r="D86" s="2">
        <f t="shared" ref="D86:J86" si="4">D78</f>
        <v>-1</v>
      </c>
      <c r="E86" s="2">
        <f t="shared" si="4"/>
        <v>0</v>
      </c>
      <c r="F86" s="2">
        <f t="shared" si="4"/>
        <v>1</v>
      </c>
      <c r="G86" s="2">
        <f t="shared" si="4"/>
        <v>2</v>
      </c>
      <c r="H86" s="2">
        <f t="shared" si="4"/>
        <v>3</v>
      </c>
      <c r="I86" s="2">
        <f t="shared" si="4"/>
        <v>4</v>
      </c>
      <c r="J86" s="2">
        <f t="shared" si="4"/>
        <v>5</v>
      </c>
      <c r="S86" s="75"/>
      <c r="T86" s="75"/>
    </row>
    <row r="87" spans="1:20" ht="11.25">
      <c r="B87" t="s">
        <v>3418</v>
      </c>
      <c r="C87" s="11">
        <v>90</v>
      </c>
      <c r="D87" s="11">
        <v>95</v>
      </c>
      <c r="E87" s="11">
        <v>100</v>
      </c>
      <c r="F87" s="11">
        <v>110</v>
      </c>
      <c r="G87" s="11">
        <v>120</v>
      </c>
      <c r="H87" s="11">
        <v>130</v>
      </c>
      <c r="I87" s="11">
        <v>140</v>
      </c>
      <c r="J87" s="11">
        <v>150</v>
      </c>
      <c r="S87" s="75"/>
      <c r="T87" s="75"/>
    </row>
    <row r="88" spans="1:20" ht="11.25">
      <c r="C88" s="2"/>
      <c r="D88" s="2"/>
      <c r="E88" s="2"/>
      <c r="F88" s="2"/>
      <c r="G88" s="2"/>
      <c r="H88" s="2"/>
      <c r="I88" s="2"/>
      <c r="J88" s="2"/>
      <c r="S88" s="75"/>
      <c r="T88" s="75"/>
    </row>
    <row r="89" spans="1:20" ht="11.25">
      <c r="A89" s="2" t="str">
        <f>DataNameProd1 &amp; " Data"</f>
        <v>Consulting Data</v>
      </c>
      <c r="S89" s="75"/>
      <c r="T89" s="75"/>
    </row>
    <row r="90" spans="1:20" ht="11.25">
      <c r="B90" s="2" t="s">
        <v>3420</v>
      </c>
      <c r="S90" s="75"/>
      <c r="T90" s="75"/>
    </row>
    <row r="91" spans="1:20" ht="11.25">
      <c r="B91" s="2" t="s">
        <v>3811</v>
      </c>
      <c r="C91" s="43">
        <f>C86</f>
        <v>-2</v>
      </c>
      <c r="D91" s="43">
        <f t="shared" ref="D91:J91" si="5">D86</f>
        <v>-1</v>
      </c>
      <c r="E91" s="43">
        <f t="shared" si="5"/>
        <v>0</v>
      </c>
      <c r="F91" s="43">
        <f t="shared" si="5"/>
        <v>1</v>
      </c>
      <c r="G91" s="43">
        <f t="shared" si="5"/>
        <v>2</v>
      </c>
      <c r="H91" s="43">
        <f t="shared" si="5"/>
        <v>3</v>
      </c>
      <c r="I91" s="43">
        <f t="shared" si="5"/>
        <v>4</v>
      </c>
      <c r="J91" s="43">
        <f t="shared" si="5"/>
        <v>5</v>
      </c>
      <c r="S91" s="75"/>
      <c r="T91" s="75"/>
    </row>
    <row r="92" spans="1:20" ht="11.25">
      <c r="B92" s="3" t="str">
        <f>DataNameProd1 &amp; " Growth Year 0"</f>
        <v>Consulting Growth Year 0</v>
      </c>
      <c r="C92" s="44"/>
      <c r="D92" s="44"/>
      <c r="E92" s="45"/>
      <c r="F92" s="11">
        <v>201</v>
      </c>
      <c r="G92" s="11">
        <v>202</v>
      </c>
      <c r="H92" s="11">
        <v>203</v>
      </c>
      <c r="I92" s="11">
        <v>204</v>
      </c>
      <c r="J92" s="11">
        <v>205</v>
      </c>
      <c r="S92" s="75"/>
      <c r="T92" s="75"/>
    </row>
    <row r="93" spans="1:20" ht="11.25">
      <c r="B93" s="3" t="str">
        <f>DataNameProd1 &amp; " Growth Year 1"</f>
        <v>Consulting Growth Year 1</v>
      </c>
      <c r="C93" s="44"/>
      <c r="D93" s="44"/>
      <c r="E93" s="45"/>
      <c r="F93" s="48"/>
      <c r="G93" s="11">
        <v>202</v>
      </c>
      <c r="H93" s="11">
        <v>202</v>
      </c>
      <c r="I93" s="11">
        <v>202</v>
      </c>
      <c r="J93" s="11">
        <v>202</v>
      </c>
      <c r="S93" s="75"/>
      <c r="T93" s="75"/>
    </row>
    <row r="94" spans="1:20" ht="11.25">
      <c r="B94" s="3" t="str">
        <f>DataNameProd1 &amp; " Growth Year 2"</f>
        <v>Consulting Growth Year 2</v>
      </c>
      <c r="C94" s="46"/>
      <c r="D94" s="46"/>
      <c r="E94" s="47"/>
      <c r="F94" s="49"/>
      <c r="G94" s="49"/>
      <c r="H94" s="21">
        <v>203</v>
      </c>
      <c r="I94" s="21">
        <v>203</v>
      </c>
      <c r="J94" s="21">
        <v>203</v>
      </c>
      <c r="S94" s="75"/>
      <c r="T94" s="75"/>
    </row>
    <row r="95" spans="1:20" ht="11.25">
      <c r="B95" s="3" t="str">
        <f>DataNameProd1 &amp; " Growth Year 3"</f>
        <v>Consulting Growth Year 3</v>
      </c>
      <c r="C95" s="46"/>
      <c r="D95" s="46"/>
      <c r="E95" s="47"/>
      <c r="F95" s="49"/>
      <c r="G95" s="49"/>
      <c r="H95" s="50"/>
      <c r="I95" s="21">
        <v>204</v>
      </c>
      <c r="J95" s="21">
        <v>204</v>
      </c>
      <c r="S95" s="75"/>
      <c r="T95" s="75"/>
    </row>
    <row r="96" spans="1:20" ht="11.25">
      <c r="B96" s="3" t="str">
        <f>DataNameProd1 &amp; " Growth Year 4"</f>
        <v>Consulting Growth Year 4</v>
      </c>
      <c r="C96" s="44"/>
      <c r="D96" s="44"/>
      <c r="E96" s="44"/>
      <c r="F96" s="48"/>
      <c r="G96" s="48"/>
      <c r="H96" s="50"/>
      <c r="I96" s="50"/>
      <c r="J96" s="21">
        <v>205</v>
      </c>
      <c r="L96" s="420">
        <f>INDEX(obalBusAV1HrsSold,xxIndexTeam)</f>
        <v>710601.6</v>
      </c>
      <c r="M96" s="420">
        <f>L96*5</f>
        <v>3553008</v>
      </c>
      <c r="N96" s="420"/>
      <c r="O96" s="420"/>
      <c r="S96" s="75"/>
      <c r="T96" s="75"/>
    </row>
    <row r="97" spans="1:20" ht="11.25">
      <c r="B97" s="3"/>
      <c r="C97" s="3"/>
      <c r="D97" s="3"/>
      <c r="E97" s="3"/>
      <c r="F97" s="3"/>
      <c r="G97" s="3"/>
      <c r="H97" s="3"/>
      <c r="I97" s="3"/>
      <c r="J97" s="3"/>
      <c r="L97" s="420">
        <f>INDEX(obalBusAV2HrsSold,xxIndexTeam)</f>
        <v>399713.4</v>
      </c>
      <c r="M97" s="420">
        <f>L97*5</f>
        <v>1998567</v>
      </c>
      <c r="N97" s="420"/>
      <c r="O97" s="420">
        <f>SUM(M96:M98)</f>
        <v>6341135</v>
      </c>
      <c r="S97" s="75"/>
      <c r="T97" s="75"/>
    </row>
    <row r="98" spans="1:20" ht="11.25">
      <c r="B98" s="2" t="s">
        <v>3421</v>
      </c>
      <c r="L98" s="420">
        <f>INDEX(obalBusAV3HrsSold,xxIndexTeam)</f>
        <v>157912</v>
      </c>
      <c r="M98" s="420">
        <f>L98*5</f>
        <v>789560</v>
      </c>
      <c r="N98" s="420"/>
      <c r="O98" s="420"/>
      <c r="S98" s="75"/>
      <c r="T98" s="75"/>
    </row>
    <row r="99" spans="1:20" ht="11.25">
      <c r="B99" s="2" t="s">
        <v>3811</v>
      </c>
      <c r="C99" s="2">
        <f>C91</f>
        <v>-2</v>
      </c>
      <c r="D99" s="2">
        <f t="shared" ref="D99:J99" si="6">D91</f>
        <v>-1</v>
      </c>
      <c r="E99" s="2">
        <f t="shared" si="6"/>
        <v>0</v>
      </c>
      <c r="F99" s="2">
        <f t="shared" si="6"/>
        <v>1</v>
      </c>
      <c r="G99" s="2">
        <f t="shared" si="6"/>
        <v>2</v>
      </c>
      <c r="H99" s="2">
        <f t="shared" si="6"/>
        <v>3</v>
      </c>
      <c r="I99" s="2">
        <f t="shared" si="6"/>
        <v>4</v>
      </c>
      <c r="J99" s="2">
        <f t="shared" si="6"/>
        <v>5</v>
      </c>
      <c r="S99" s="75"/>
      <c r="T99" s="75"/>
    </row>
    <row r="100" spans="1:20" ht="11.25">
      <c r="B100" s="3" t="str">
        <f>DataNameProd1 &amp; " Growth"</f>
        <v>Consulting Growth</v>
      </c>
      <c r="C100" s="11">
        <v>100</v>
      </c>
      <c r="D100" s="11">
        <v>100</v>
      </c>
      <c r="E100" s="11">
        <v>100</v>
      </c>
      <c r="F100" s="11">
        <v>101</v>
      </c>
      <c r="G100" s="11">
        <v>102</v>
      </c>
      <c r="H100" s="11">
        <v>103</v>
      </c>
      <c r="I100" s="11">
        <v>100</v>
      </c>
      <c r="J100" s="11">
        <v>100</v>
      </c>
      <c r="S100" s="75"/>
      <c r="T100" s="75"/>
    </row>
    <row r="101" spans="1:20" ht="11.25">
      <c r="S101" s="75"/>
      <c r="T101" s="75"/>
    </row>
    <row r="102" spans="1:20" s="612" customFormat="1" ht="11.25">
      <c r="B102" s="613" t="s">
        <v>634</v>
      </c>
      <c r="C102" s="613">
        <f>C99</f>
        <v>-2</v>
      </c>
      <c r="D102" s="613">
        <f t="shared" ref="D102:J102" si="7">D99</f>
        <v>-1</v>
      </c>
      <c r="E102" s="613">
        <f t="shared" si="7"/>
        <v>0</v>
      </c>
      <c r="F102" s="613">
        <f t="shared" si="7"/>
        <v>1</v>
      </c>
      <c r="G102" s="613">
        <f t="shared" si="7"/>
        <v>2</v>
      </c>
      <c r="H102" s="613">
        <f t="shared" si="7"/>
        <v>3</v>
      </c>
      <c r="I102" s="613">
        <f t="shared" si="7"/>
        <v>4</v>
      </c>
      <c r="J102" s="613">
        <f t="shared" si="7"/>
        <v>5</v>
      </c>
      <c r="S102" s="614"/>
      <c r="T102" s="614"/>
    </row>
    <row r="103" spans="1:20" s="612" customFormat="1" ht="11.25">
      <c r="B103" s="612" t="str">
        <f>DataNameProd1 &amp; " " &amp; DataNameProd1Seg1 &amp; " %"</f>
        <v>Consulting CRM %</v>
      </c>
      <c r="C103" s="615">
        <v>0.4</v>
      </c>
      <c r="D103" s="615">
        <v>0.4</v>
      </c>
      <c r="E103" s="615">
        <v>0.56000000000000005</v>
      </c>
      <c r="F103" s="615">
        <v>0.45</v>
      </c>
      <c r="G103" s="615">
        <v>0.4</v>
      </c>
      <c r="H103" s="615">
        <v>0.4</v>
      </c>
      <c r="I103" s="615">
        <v>0.4</v>
      </c>
      <c r="J103" s="615">
        <v>0.4</v>
      </c>
      <c r="K103" s="615"/>
      <c r="S103" s="614"/>
      <c r="T103" s="614"/>
    </row>
    <row r="104" spans="1:20" s="612" customFormat="1" ht="11.25">
      <c r="B104" s="612" t="str">
        <f>DataNameProd1 &amp; " " &amp; DataNameProd1Seg2 &amp; " %"</f>
        <v>Consulting HCM %</v>
      </c>
      <c r="C104" s="615">
        <v>0.25</v>
      </c>
      <c r="D104" s="615">
        <v>0.25</v>
      </c>
      <c r="E104" s="615">
        <v>0.315</v>
      </c>
      <c r="F104" s="615">
        <v>0.25</v>
      </c>
      <c r="G104" s="615">
        <v>0.25</v>
      </c>
      <c r="H104" s="615">
        <v>0.25</v>
      </c>
      <c r="I104" s="615">
        <v>0.25</v>
      </c>
      <c r="J104" s="615">
        <v>0.25</v>
      </c>
      <c r="K104" s="615"/>
      <c r="S104" s="614"/>
      <c r="T104" s="614"/>
    </row>
    <row r="105" spans="1:20" s="612" customFormat="1" ht="11.25">
      <c r="B105" s="612" t="str">
        <f>DataNameProd1 &amp; " " &amp; DataNameProd1Seg3 &amp; " %"</f>
        <v>Consulting Futuria %</v>
      </c>
      <c r="C105" s="615">
        <v>0.35</v>
      </c>
      <c r="D105" s="615">
        <v>0.35</v>
      </c>
      <c r="E105" s="615">
        <v>0.124</v>
      </c>
      <c r="F105" s="615">
        <v>0.3</v>
      </c>
      <c r="G105" s="615">
        <v>0.35</v>
      </c>
      <c r="H105" s="615">
        <v>0.35</v>
      </c>
      <c r="I105" s="615">
        <v>0.35</v>
      </c>
      <c r="J105" s="615">
        <v>0.35</v>
      </c>
      <c r="K105" s="615"/>
      <c r="S105" s="614"/>
      <c r="T105" s="614"/>
    </row>
    <row r="106" spans="1:20" s="612" customFormat="1" ht="11.25">
      <c r="B106" s="612" t="str">
        <f>DataNameProd1 &amp; " " &amp; DataNameProd1Seg4 &amp; " %"</f>
        <v>Consulting 0 %</v>
      </c>
      <c r="C106" s="615"/>
      <c r="D106" s="615"/>
      <c r="E106" s="615"/>
      <c r="F106" s="615"/>
      <c r="G106" s="615"/>
      <c r="H106" s="615"/>
      <c r="I106" s="615"/>
      <c r="J106" s="615"/>
      <c r="S106" s="614"/>
      <c r="T106" s="614"/>
    </row>
    <row r="107" spans="1:20" s="612" customFormat="1" ht="11.25">
      <c r="B107" s="612" t="str">
        <f>DataNameProd1 &amp; " " &amp; DataNameProd1Seg5 &amp; " %"</f>
        <v>Consulting 0 %</v>
      </c>
      <c r="C107" s="615"/>
      <c r="D107" s="615"/>
      <c r="E107" s="615"/>
      <c r="F107" s="615"/>
      <c r="G107" s="615"/>
      <c r="H107" s="615"/>
      <c r="I107" s="615"/>
      <c r="J107" s="615"/>
      <c r="S107" s="614"/>
      <c r="T107" s="614"/>
    </row>
    <row r="108" spans="1:20" s="612" customFormat="1" ht="11.25">
      <c r="S108" s="614"/>
      <c r="T108" s="614"/>
    </row>
    <row r="109" spans="1:20" s="612" customFormat="1" ht="11.25">
      <c r="A109" s="613"/>
      <c r="C109" s="613">
        <f>C102</f>
        <v>-2</v>
      </c>
      <c r="D109" s="613">
        <f t="shared" ref="D109:J109" si="8">D102</f>
        <v>-1</v>
      </c>
      <c r="E109" s="613">
        <f t="shared" si="8"/>
        <v>0</v>
      </c>
      <c r="F109" s="613">
        <f t="shared" si="8"/>
        <v>1</v>
      </c>
      <c r="G109" s="613">
        <f t="shared" si="8"/>
        <v>2</v>
      </c>
      <c r="H109" s="613">
        <f t="shared" si="8"/>
        <v>3</v>
      </c>
      <c r="I109" s="613">
        <f t="shared" si="8"/>
        <v>4</v>
      </c>
      <c r="J109" s="613">
        <f t="shared" si="8"/>
        <v>5</v>
      </c>
      <c r="S109" s="614"/>
      <c r="T109" s="614"/>
    </row>
    <row r="110" spans="1:20" s="612" customFormat="1" ht="11.25">
      <c r="B110" s="612" t="str">
        <f>DataNameProd1</f>
        <v>Consulting</v>
      </c>
      <c r="C110" s="129">
        <f t="shared" ref="C110:J110" si="9">xxProd1BaseUnits*C100/100</f>
        <v>6341132.1649908377</v>
      </c>
      <c r="D110" s="129">
        <f t="shared" si="9"/>
        <v>6341132.1649908377</v>
      </c>
      <c r="E110" s="129">
        <f>xxProd1BaseUnits*E100/100</f>
        <v>6341132.1649908377</v>
      </c>
      <c r="F110" s="129">
        <f>xxProd1BaseUnits*F100/100</f>
        <v>6404543.4866407467</v>
      </c>
      <c r="G110" s="129">
        <f t="shared" si="9"/>
        <v>6467954.8082906548</v>
      </c>
      <c r="H110" s="129">
        <f t="shared" si="9"/>
        <v>6531366.129940562</v>
      </c>
      <c r="I110" s="129">
        <f t="shared" si="9"/>
        <v>6341132.1649908377</v>
      </c>
      <c r="J110" s="129">
        <f t="shared" si="9"/>
        <v>6341132.1649908377</v>
      </c>
      <c r="K110" s="612" t="s">
        <v>2138</v>
      </c>
      <c r="M110" s="129">
        <f>E110/5</f>
        <v>1268226.4329981676</v>
      </c>
      <c r="S110" s="614"/>
      <c r="T110" s="614"/>
    </row>
    <row r="111" spans="1:20" s="612" customFormat="1" ht="11.25">
      <c r="B111" s="612" t="str">
        <f>DataNameProd1 &amp; " " &amp; DataNameProd1Seg1 &amp; " Units"</f>
        <v>Consulting CRM Units</v>
      </c>
      <c r="C111" s="129">
        <v>3119688</v>
      </c>
      <c r="D111" s="129">
        <v>3119688</v>
      </c>
      <c r="E111" s="129">
        <f>$E$110*E103</f>
        <v>3551034.0123948692</v>
      </c>
      <c r="F111" s="129">
        <f>E111*1.2</f>
        <v>4261240.8148738425</v>
      </c>
      <c r="G111" s="129">
        <f>F111*1.2</f>
        <v>5113488.9778486108</v>
      </c>
      <c r="H111" s="129">
        <f>G111*1.1</f>
        <v>5624837.8756334726</v>
      </c>
      <c r="I111" s="129">
        <f>H111*1.08</f>
        <v>6074824.9056841508</v>
      </c>
      <c r="J111" s="129">
        <f>I111*0.98</f>
        <v>5953328.4075704673</v>
      </c>
      <c r="K111" s="612" t="s">
        <v>1644</v>
      </c>
      <c r="M111" s="1081">
        <f>E111/5</f>
        <v>710206.80247897387</v>
      </c>
      <c r="S111" s="614"/>
      <c r="T111" s="614"/>
    </row>
    <row r="112" spans="1:20" s="612" customFormat="1" ht="11.25">
      <c r="B112" s="612" t="str">
        <f>DataNameProd1 &amp; " " &amp; DataNameProd1Seg2 &amp; " Units"</f>
        <v>Consulting HCM Units</v>
      </c>
      <c r="C112" s="129">
        <v>1949805</v>
      </c>
      <c r="D112" s="129">
        <v>1949805</v>
      </c>
      <c r="E112" s="129">
        <f>$E$110*E104</f>
        <v>1997456.6319721139</v>
      </c>
      <c r="F112" s="129">
        <f>E112*1.35</f>
        <v>2696566.453162354</v>
      </c>
      <c r="G112" s="129">
        <f>F112*1.35</f>
        <v>3640364.711769178</v>
      </c>
      <c r="H112" s="129">
        <f>G112*1.35</f>
        <v>4914492.3608883908</v>
      </c>
      <c r="I112" s="129">
        <f>H112*1.07</f>
        <v>5258506.8261505784</v>
      </c>
      <c r="J112" s="129">
        <f>I112*1.02</f>
        <v>5363676.9626735905</v>
      </c>
      <c r="K112" s="612" t="s">
        <v>451</v>
      </c>
      <c r="M112" s="1081">
        <f>E112/5</f>
        <v>399491.32639442279</v>
      </c>
    </row>
    <row r="113" spans="2:26" s="612" customFormat="1" ht="11.25">
      <c r="B113" s="612" t="str">
        <f>DataNameProd1 &amp; " " &amp; DataNameProd1Seg3 &amp; " Units"</f>
        <v>Consulting Futuria Units</v>
      </c>
      <c r="C113" s="129">
        <v>2729727</v>
      </c>
      <c r="D113" s="129">
        <v>2729727</v>
      </c>
      <c r="E113" s="129">
        <f>$E$110*E105</f>
        <v>786300.38845886383</v>
      </c>
      <c r="F113" s="129">
        <f>E113*1.6</f>
        <v>1258080.6215341822</v>
      </c>
      <c r="G113" s="129">
        <f>F113*1.6</f>
        <v>2012928.9944546917</v>
      </c>
      <c r="H113" s="129">
        <f>G113*1.8</f>
        <v>3623272.1900184453</v>
      </c>
      <c r="I113" s="129">
        <f>H113*1.23</f>
        <v>4456624.7937226873</v>
      </c>
      <c r="J113" s="129">
        <f>I113*1.04</f>
        <v>4634889.7854715949</v>
      </c>
      <c r="K113" s="612" t="s">
        <v>452</v>
      </c>
      <c r="M113" s="1081">
        <f>E113/5</f>
        <v>157260.07769177278</v>
      </c>
      <c r="R113" s="1531" t="s">
        <v>837</v>
      </c>
      <c r="S113" s="1532"/>
      <c r="T113" s="1533"/>
      <c r="U113" s="1531" t="s">
        <v>838</v>
      </c>
      <c r="V113" s="1532"/>
      <c r="W113" s="1533"/>
      <c r="X113" s="1531" t="s">
        <v>839</v>
      </c>
      <c r="Y113" s="1532"/>
      <c r="Z113" s="1533"/>
    </row>
    <row r="114" spans="2:26" s="612" customFormat="1" ht="11.25">
      <c r="B114" s="612" t="str">
        <f>DataNameProd1 &amp; " " &amp; DataNameProd1Seg4 &amp; " Units"</f>
        <v>Consulting 0 Units</v>
      </c>
      <c r="C114" s="129"/>
      <c r="D114" s="129"/>
      <c r="E114" s="129"/>
      <c r="F114" s="129"/>
      <c r="G114" s="129"/>
      <c r="H114" s="129"/>
      <c r="I114" s="656"/>
      <c r="J114" s="129"/>
      <c r="K114" s="612" t="s">
        <v>2435</v>
      </c>
      <c r="Q114" s="612" t="s">
        <v>4064</v>
      </c>
      <c r="R114" s="617" t="s">
        <v>840</v>
      </c>
      <c r="S114" s="131" t="s">
        <v>841</v>
      </c>
      <c r="T114" s="618" t="s">
        <v>842</v>
      </c>
      <c r="U114" s="617" t="s">
        <v>840</v>
      </c>
      <c r="V114" s="131" t="s">
        <v>841</v>
      </c>
      <c r="W114" s="618" t="s">
        <v>842</v>
      </c>
      <c r="X114" s="617" t="s">
        <v>840</v>
      </c>
      <c r="Y114" s="131" t="s">
        <v>841</v>
      </c>
      <c r="Z114" s="618" t="s">
        <v>842</v>
      </c>
    </row>
    <row r="115" spans="2:26" s="612" customFormat="1" ht="11.25">
      <c r="B115" s="612" t="str">
        <f>DataNameProd1 &amp; " " &amp; DataNameProd1Seg5 &amp; " Units"</f>
        <v>Consulting 0 Units</v>
      </c>
      <c r="C115" s="129"/>
      <c r="D115" s="129"/>
      <c r="E115" s="1519"/>
      <c r="F115" s="1519"/>
      <c r="G115" s="1519"/>
      <c r="H115" s="1519"/>
      <c r="I115" s="129"/>
      <c r="J115" s="129"/>
      <c r="K115" s="612" t="s">
        <v>2137</v>
      </c>
      <c r="Q115" s="612" t="s">
        <v>2365</v>
      </c>
      <c r="R115" s="612">
        <v>10</v>
      </c>
      <c r="S115" s="612">
        <v>13</v>
      </c>
      <c r="T115" s="612">
        <v>9</v>
      </c>
      <c r="U115" s="612">
        <v>10</v>
      </c>
      <c r="V115" s="612">
        <v>10</v>
      </c>
      <c r="W115" s="612">
        <v>8</v>
      </c>
      <c r="X115" s="612">
        <v>7</v>
      </c>
      <c r="Y115" s="612">
        <v>11</v>
      </c>
      <c r="Z115" s="612">
        <v>7</v>
      </c>
    </row>
    <row r="116" spans="2:26" ht="11.25">
      <c r="C116" s="14"/>
      <c r="D116" s="14"/>
      <c r="E116" s="14">
        <f t="shared" ref="E116" si="10">SUM(E111:E113)</f>
        <v>6334791.0328258472</v>
      </c>
      <c r="F116" s="14">
        <f>SUM(F111:F113)</f>
        <v>8215887.8895703778</v>
      </c>
      <c r="G116" s="14">
        <f t="shared" ref="G116:H116" si="11">SUM(G111:G113)</f>
        <v>10766782.68407248</v>
      </c>
      <c r="H116" s="14">
        <f t="shared" si="11"/>
        <v>14162602.426540308</v>
      </c>
      <c r="I116" s="14"/>
      <c r="J116" s="14"/>
      <c r="Q116" t="s">
        <v>843</v>
      </c>
      <c r="R116">
        <v>9</v>
      </c>
      <c r="S116">
        <v>8</v>
      </c>
      <c r="T116">
        <v>8</v>
      </c>
      <c r="U116">
        <v>9</v>
      </c>
      <c r="V116">
        <v>12</v>
      </c>
      <c r="W116">
        <v>9</v>
      </c>
      <c r="X116">
        <v>9</v>
      </c>
      <c r="Y116">
        <v>9</v>
      </c>
      <c r="Z116">
        <v>10</v>
      </c>
    </row>
    <row r="117" spans="2:26" ht="11.25">
      <c r="B117" t="s">
        <v>3939</v>
      </c>
      <c r="C117" s="10">
        <f>C110/xxNumOfTeams</f>
        <v>1268226.4329981676</v>
      </c>
      <c r="D117" s="10">
        <f t="shared" ref="D117:J117" si="12">D110/xxNumOfTeams</f>
        <v>1268226.4329981676</v>
      </c>
      <c r="E117" s="10">
        <f t="shared" si="12"/>
        <v>1268226.4329981676</v>
      </c>
      <c r="F117" s="10">
        <f t="shared" si="12"/>
        <v>1280908.6973281493</v>
      </c>
      <c r="G117" s="10">
        <f t="shared" si="12"/>
        <v>1293590.9616581309</v>
      </c>
      <c r="H117" s="10">
        <f t="shared" si="12"/>
        <v>1306273.2259881124</v>
      </c>
      <c r="I117" s="10">
        <f t="shared" si="12"/>
        <v>1268226.4329981676</v>
      </c>
      <c r="J117" s="10">
        <f t="shared" si="12"/>
        <v>1268226.4329981676</v>
      </c>
      <c r="Q117" t="s">
        <v>4085</v>
      </c>
      <c r="R117">
        <v>11</v>
      </c>
      <c r="S117">
        <v>9</v>
      </c>
      <c r="T117">
        <v>10</v>
      </c>
      <c r="U117">
        <v>11</v>
      </c>
      <c r="V117">
        <v>9</v>
      </c>
      <c r="W117">
        <v>12</v>
      </c>
      <c r="X117">
        <v>10</v>
      </c>
      <c r="Y117">
        <v>7</v>
      </c>
      <c r="Z117">
        <v>8</v>
      </c>
    </row>
    <row r="118" spans="2:26" ht="12" thickBot="1">
      <c r="C118" s="10"/>
      <c r="D118" s="10"/>
      <c r="E118" s="10"/>
      <c r="F118" s="10"/>
      <c r="G118" s="10"/>
      <c r="H118" s="10"/>
      <c r="I118" s="10"/>
      <c r="J118" s="10"/>
      <c r="Q118" t="s">
        <v>1041</v>
      </c>
      <c r="R118">
        <v>12</v>
      </c>
      <c r="S118">
        <v>8</v>
      </c>
      <c r="T118">
        <v>10</v>
      </c>
      <c r="U118">
        <v>8</v>
      </c>
      <c r="V118">
        <v>8</v>
      </c>
      <c r="W118">
        <v>11</v>
      </c>
      <c r="X118">
        <v>7</v>
      </c>
      <c r="Y118">
        <v>9</v>
      </c>
      <c r="Z118">
        <v>10</v>
      </c>
    </row>
    <row r="119" spans="2:26" ht="11.25">
      <c r="B119" s="127" t="s">
        <v>1643</v>
      </c>
      <c r="C119" s="113"/>
      <c r="D119" s="113"/>
      <c r="E119" s="442" t="s">
        <v>42</v>
      </c>
      <c r="F119" s="442" t="s">
        <v>43</v>
      </c>
      <c r="G119" s="442" t="s">
        <v>44</v>
      </c>
      <c r="H119" s="113"/>
      <c r="I119" s="113"/>
      <c r="J119" s="113"/>
      <c r="K119" s="114"/>
      <c r="M119" s="127" t="s">
        <v>4898</v>
      </c>
      <c r="N119" s="1152" t="s">
        <v>4899</v>
      </c>
      <c r="O119" s="1152" t="s">
        <v>4900</v>
      </c>
      <c r="P119" s="1153" t="s">
        <v>5236</v>
      </c>
      <c r="R119" s="127" t="s">
        <v>5161</v>
      </c>
      <c r="S119" s="1152" t="s">
        <v>5162</v>
      </c>
      <c r="T119" s="1152" t="s">
        <v>5163</v>
      </c>
      <c r="U119" s="1153" t="s">
        <v>5238</v>
      </c>
      <c r="V119">
        <v>9</v>
      </c>
      <c r="W119">
        <v>13</v>
      </c>
      <c r="X119">
        <v>11</v>
      </c>
      <c r="Y119">
        <v>10</v>
      </c>
      <c r="Z119">
        <v>11</v>
      </c>
    </row>
    <row r="120" spans="2:26" ht="11.25">
      <c r="B120" s="81"/>
      <c r="C120" s="36" t="s">
        <v>4084</v>
      </c>
      <c r="D120" s="36"/>
      <c r="E120" s="36" t="s">
        <v>4697</v>
      </c>
      <c r="F120" s="36" t="s">
        <v>4698</v>
      </c>
      <c r="G120" s="36" t="s">
        <v>5159</v>
      </c>
      <c r="H120" s="36" t="s">
        <v>639</v>
      </c>
      <c r="I120" s="36" t="s">
        <v>4062</v>
      </c>
      <c r="J120" s="18"/>
      <c r="K120" s="82"/>
      <c r="M120" s="1145"/>
      <c r="N120" s="18"/>
      <c r="O120" s="18"/>
      <c r="P120" s="82"/>
      <c r="R120" s="1145"/>
      <c r="S120" s="18"/>
      <c r="T120" s="18"/>
      <c r="U120" s="82"/>
      <c r="V120">
        <v>7</v>
      </c>
      <c r="W120">
        <v>8</v>
      </c>
      <c r="X120">
        <v>8</v>
      </c>
      <c r="Y120">
        <v>6</v>
      </c>
      <c r="Z120">
        <v>7</v>
      </c>
    </row>
    <row r="121" spans="2:26" ht="11.25">
      <c r="B121" s="81"/>
      <c r="C121" s="130" t="s">
        <v>4701</v>
      </c>
      <c r="D121" s="131"/>
      <c r="E121" s="1510">
        <f t="shared" ref="E121:E129" si="13">INDEX(M121:P121,xxYear+1)</f>
        <v>5</v>
      </c>
      <c r="F121" s="1510">
        <f t="shared" ref="F121:F129" si="14">INDEX(M132:P132,xxYear+1)</f>
        <v>7</v>
      </c>
      <c r="G121" s="1510">
        <f t="shared" ref="G121:G129" si="15">INDEX(R121:U121,xxYear+1)</f>
        <v>7</v>
      </c>
      <c r="H121" s="131"/>
      <c r="I121" s="131"/>
      <c r="J121" s="131" t="s">
        <v>180</v>
      </c>
      <c r="K121" s="82"/>
      <c r="M121" s="1146">
        <v>10</v>
      </c>
      <c r="N121" s="1147">
        <v>5</v>
      </c>
      <c r="O121" s="1147">
        <v>5</v>
      </c>
      <c r="P121" s="1148">
        <v>5</v>
      </c>
      <c r="R121" s="1146">
        <v>10</v>
      </c>
      <c r="S121" s="1147">
        <v>7</v>
      </c>
      <c r="T121" s="1147">
        <v>8</v>
      </c>
      <c r="U121" s="1148">
        <v>10</v>
      </c>
      <c r="V121">
        <v>7</v>
      </c>
      <c r="W121">
        <v>10</v>
      </c>
      <c r="X121">
        <v>7</v>
      </c>
      <c r="Y121">
        <v>10</v>
      </c>
      <c r="Z121">
        <v>7</v>
      </c>
    </row>
    <row r="122" spans="2:26" ht="11.25">
      <c r="B122" s="81"/>
      <c r="C122" s="130" t="s">
        <v>4791</v>
      </c>
      <c r="D122" s="131"/>
      <c r="E122" s="1510">
        <f t="shared" si="13"/>
        <v>0</v>
      </c>
      <c r="F122" s="1510">
        <f t="shared" si="14"/>
        <v>0</v>
      </c>
      <c r="G122" s="1510">
        <f t="shared" si="15"/>
        <v>0</v>
      </c>
      <c r="H122" s="131"/>
      <c r="I122" s="131"/>
      <c r="J122" s="131" t="s">
        <v>1497</v>
      </c>
      <c r="K122" s="82"/>
      <c r="M122" s="1145"/>
      <c r="N122" s="18"/>
      <c r="O122" s="18"/>
      <c r="P122" s="82"/>
      <c r="R122" s="1145"/>
      <c r="S122" s="18"/>
      <c r="T122" s="18"/>
      <c r="U122" s="82"/>
      <c r="V122">
        <v>5</v>
      </c>
      <c r="W122">
        <v>7</v>
      </c>
      <c r="X122">
        <v>10</v>
      </c>
      <c r="Y122">
        <v>10</v>
      </c>
      <c r="Z122">
        <v>10</v>
      </c>
    </row>
    <row r="123" spans="2:26" ht="11.25">
      <c r="B123" s="81"/>
      <c r="C123" s="1074" t="s">
        <v>6315</v>
      </c>
      <c r="D123" s="131"/>
      <c r="E123" s="1510">
        <f t="shared" si="13"/>
        <v>8</v>
      </c>
      <c r="F123" s="1510">
        <f t="shared" si="14"/>
        <v>5</v>
      </c>
      <c r="G123" s="1510">
        <f t="shared" si="15"/>
        <v>9</v>
      </c>
      <c r="H123" s="131"/>
      <c r="I123" s="131"/>
      <c r="J123" s="131" t="s">
        <v>3964</v>
      </c>
      <c r="K123" s="82"/>
      <c r="M123" s="1146">
        <v>10</v>
      </c>
      <c r="N123" s="1147">
        <v>8</v>
      </c>
      <c r="O123" s="1147">
        <v>8</v>
      </c>
      <c r="P123" s="1148">
        <v>8</v>
      </c>
      <c r="R123" s="1146">
        <v>10</v>
      </c>
      <c r="S123" s="1147">
        <v>9</v>
      </c>
      <c r="T123" s="1147">
        <v>9</v>
      </c>
      <c r="U123" s="1148">
        <v>9</v>
      </c>
      <c r="V123">
        <v>8</v>
      </c>
      <c r="W123">
        <v>7</v>
      </c>
      <c r="X123">
        <v>9</v>
      </c>
      <c r="Y123">
        <v>8</v>
      </c>
      <c r="Z123">
        <v>9</v>
      </c>
    </row>
    <row r="124" spans="2:26" ht="11.25">
      <c r="B124" s="81"/>
      <c r="C124" s="130" t="s">
        <v>4791</v>
      </c>
      <c r="D124" s="131"/>
      <c r="E124" s="1510">
        <f t="shared" si="13"/>
        <v>0</v>
      </c>
      <c r="F124" s="1510">
        <f t="shared" si="14"/>
        <v>0</v>
      </c>
      <c r="G124" s="1510">
        <f t="shared" si="15"/>
        <v>0</v>
      </c>
      <c r="H124" s="131"/>
      <c r="I124" s="131"/>
      <c r="J124" s="131" t="s">
        <v>3965</v>
      </c>
      <c r="K124" s="82"/>
      <c r="M124" s="1145"/>
      <c r="N124" s="18"/>
      <c r="O124" s="18"/>
      <c r="P124" s="82"/>
      <c r="R124" s="1145"/>
      <c r="S124" s="18"/>
      <c r="T124" s="18"/>
      <c r="U124" s="82"/>
      <c r="V124">
        <v>8</v>
      </c>
      <c r="W124">
        <v>5</v>
      </c>
      <c r="X124">
        <v>7</v>
      </c>
      <c r="Y124">
        <v>8</v>
      </c>
      <c r="Z124">
        <v>8</v>
      </c>
    </row>
    <row r="125" spans="2:26" ht="11.25">
      <c r="B125" s="81"/>
      <c r="C125" s="130" t="s">
        <v>4735</v>
      </c>
      <c r="D125" s="131"/>
      <c r="E125" s="1510">
        <f t="shared" si="13"/>
        <v>6</v>
      </c>
      <c r="F125" s="1510">
        <f t="shared" si="14"/>
        <v>6</v>
      </c>
      <c r="G125" s="1510">
        <f t="shared" si="15"/>
        <v>8</v>
      </c>
      <c r="H125" s="131"/>
      <c r="I125" s="131"/>
      <c r="J125" s="131" t="s">
        <v>3966</v>
      </c>
      <c r="K125" s="82"/>
      <c r="M125" s="1146">
        <v>10</v>
      </c>
      <c r="N125" s="1147">
        <v>6</v>
      </c>
      <c r="O125" s="1147">
        <v>6</v>
      </c>
      <c r="P125" s="1148">
        <v>7</v>
      </c>
      <c r="R125" s="1146">
        <v>10</v>
      </c>
      <c r="S125" s="1147">
        <v>8</v>
      </c>
      <c r="T125" s="1147">
        <v>7</v>
      </c>
      <c r="U125" s="1148">
        <v>7</v>
      </c>
    </row>
    <row r="126" spans="2:26" ht="11.25">
      <c r="B126" s="81"/>
      <c r="C126" s="130" t="s">
        <v>4696</v>
      </c>
      <c r="D126" s="131"/>
      <c r="E126" s="1510">
        <f t="shared" si="13"/>
        <v>9</v>
      </c>
      <c r="F126" s="1510">
        <f t="shared" si="14"/>
        <v>9</v>
      </c>
      <c r="G126" s="1510">
        <f t="shared" si="15"/>
        <v>4</v>
      </c>
      <c r="H126" s="131"/>
      <c r="I126" s="131"/>
      <c r="J126" s="131" t="s">
        <v>1638</v>
      </c>
      <c r="K126" s="82"/>
      <c r="M126" s="1146">
        <v>10</v>
      </c>
      <c r="N126" s="1147">
        <v>9</v>
      </c>
      <c r="O126" s="1147">
        <v>9</v>
      </c>
      <c r="P126" s="1148">
        <v>9</v>
      </c>
      <c r="R126" s="1146">
        <v>10</v>
      </c>
      <c r="S126" s="1147">
        <v>4</v>
      </c>
      <c r="T126" s="1147">
        <v>4</v>
      </c>
      <c r="U126" s="1148">
        <v>4</v>
      </c>
    </row>
    <row r="127" spans="2:26" ht="11.25">
      <c r="B127" s="81"/>
      <c r="C127" s="130" t="s">
        <v>3544</v>
      </c>
      <c r="D127" s="131"/>
      <c r="E127" s="1510">
        <f t="shared" si="13"/>
        <v>3</v>
      </c>
      <c r="F127" s="1510">
        <f t="shared" si="14"/>
        <v>3</v>
      </c>
      <c r="G127" s="1510">
        <f t="shared" si="15"/>
        <v>6</v>
      </c>
      <c r="H127" s="131"/>
      <c r="I127" s="131"/>
      <c r="J127" s="131" t="s">
        <v>1639</v>
      </c>
      <c r="K127" s="82"/>
      <c r="M127" s="1146">
        <v>10</v>
      </c>
      <c r="N127" s="1147">
        <v>3</v>
      </c>
      <c r="O127" s="1147">
        <v>3</v>
      </c>
      <c r="P127" s="1148">
        <v>6</v>
      </c>
      <c r="R127" s="1146">
        <v>10</v>
      </c>
      <c r="S127" s="1147">
        <v>6</v>
      </c>
      <c r="T127" s="1147">
        <v>3</v>
      </c>
      <c r="U127" s="1148">
        <v>3</v>
      </c>
    </row>
    <row r="128" spans="2:26" ht="11.25">
      <c r="B128" s="81"/>
      <c r="C128" s="130" t="s">
        <v>4927</v>
      </c>
      <c r="D128" s="131"/>
      <c r="E128" s="1510">
        <f t="shared" si="13"/>
        <v>7</v>
      </c>
      <c r="F128" s="1510">
        <f t="shared" si="14"/>
        <v>4</v>
      </c>
      <c r="G128" s="1510">
        <f t="shared" si="15"/>
        <v>5</v>
      </c>
      <c r="H128" s="131"/>
      <c r="I128" s="131"/>
      <c r="J128" s="131" t="s">
        <v>1640</v>
      </c>
      <c r="K128" s="82"/>
      <c r="M128" s="1146">
        <v>10</v>
      </c>
      <c r="N128" s="1147">
        <v>7</v>
      </c>
      <c r="O128" s="1147">
        <v>4</v>
      </c>
      <c r="P128" s="1148">
        <v>3</v>
      </c>
      <c r="R128" s="1146">
        <v>10</v>
      </c>
      <c r="S128" s="1147">
        <v>5</v>
      </c>
      <c r="T128" s="1147">
        <v>6</v>
      </c>
      <c r="U128" s="1148">
        <v>6</v>
      </c>
    </row>
    <row r="129" spans="1:23" ht="12" thickBot="1">
      <c r="B129" s="81"/>
      <c r="C129" s="130" t="s">
        <v>2365</v>
      </c>
      <c r="D129" s="131"/>
      <c r="E129" s="1510">
        <f t="shared" si="13"/>
        <v>4</v>
      </c>
      <c r="F129" s="1510">
        <f t="shared" si="14"/>
        <v>8</v>
      </c>
      <c r="G129" s="1510">
        <f t="shared" si="15"/>
        <v>3</v>
      </c>
      <c r="H129" s="131"/>
      <c r="I129" s="131"/>
      <c r="J129" s="131" t="s">
        <v>1641</v>
      </c>
      <c r="K129" s="82"/>
      <c r="M129" s="1149">
        <v>10</v>
      </c>
      <c r="N129" s="1150">
        <v>4</v>
      </c>
      <c r="O129" s="1150">
        <v>7</v>
      </c>
      <c r="P129" s="1151">
        <v>10</v>
      </c>
      <c r="R129" s="1149">
        <v>10</v>
      </c>
      <c r="S129" s="1150">
        <v>3</v>
      </c>
      <c r="T129" s="1150">
        <v>5</v>
      </c>
      <c r="U129" s="1151">
        <v>5</v>
      </c>
    </row>
    <row r="130" spans="1:23" ht="11.25">
      <c r="B130" s="81"/>
      <c r="C130" s="130"/>
      <c r="D130" s="130"/>
      <c r="E130" s="1511"/>
      <c r="F130" s="1511"/>
      <c r="G130" s="1511"/>
      <c r="H130" s="130"/>
      <c r="I130" s="130"/>
      <c r="J130" s="131" t="s">
        <v>1642</v>
      </c>
      <c r="K130" s="82"/>
      <c r="M130" s="1154" t="s">
        <v>4901</v>
      </c>
      <c r="N130" s="1152" t="s">
        <v>4902</v>
      </c>
      <c r="O130" s="1152" t="s">
        <v>4903</v>
      </c>
      <c r="P130" s="1153" t="s">
        <v>5237</v>
      </c>
      <c r="S130" s="75"/>
      <c r="T130" s="75"/>
    </row>
    <row r="131" spans="1:23" ht="12" thickBot="1">
      <c r="B131" s="83"/>
      <c r="C131" s="84"/>
      <c r="D131" s="84"/>
      <c r="E131" s="84"/>
      <c r="F131" s="84"/>
      <c r="G131" s="84"/>
      <c r="H131" s="84"/>
      <c r="I131" s="84"/>
      <c r="J131" s="84"/>
      <c r="K131" s="85"/>
      <c r="M131" s="1145"/>
      <c r="N131" s="18"/>
      <c r="O131" s="18"/>
      <c r="P131" s="82"/>
      <c r="S131" s="75"/>
      <c r="T131" s="75"/>
    </row>
    <row r="132" spans="1:23" ht="11.25">
      <c r="B132" s="18"/>
      <c r="C132" s="18"/>
      <c r="D132" s="18"/>
      <c r="E132" s="18"/>
      <c r="F132" s="18"/>
      <c r="G132" s="18"/>
      <c r="H132" s="18"/>
      <c r="I132" s="18"/>
      <c r="J132" s="18"/>
      <c r="K132" s="18"/>
      <c r="M132" s="1146">
        <v>10</v>
      </c>
      <c r="N132" s="1147">
        <v>7</v>
      </c>
      <c r="O132" s="1147">
        <v>6</v>
      </c>
      <c r="P132" s="1148">
        <v>5</v>
      </c>
      <c r="Q132" t="s">
        <v>4701</v>
      </c>
      <c r="S132" s="75"/>
      <c r="T132" s="75"/>
    </row>
    <row r="133" spans="1:23" ht="11.25">
      <c r="A133" s="2" t="str">
        <f>DataNameProd2 &amp; " Data"</f>
        <v>Industry 1 Data</v>
      </c>
      <c r="B133" s="18"/>
      <c r="C133" s="18"/>
      <c r="D133" s="18"/>
      <c r="E133" s="18"/>
      <c r="F133" s="18"/>
      <c r="G133" s="18"/>
      <c r="H133" s="18"/>
      <c r="I133" s="18"/>
      <c r="J133" s="18"/>
      <c r="K133" s="18"/>
      <c r="M133" s="1145"/>
      <c r="N133" s="18"/>
      <c r="O133" s="18"/>
      <c r="P133" s="82"/>
      <c r="Q133" t="s">
        <v>4791</v>
      </c>
      <c r="S133" s="75"/>
      <c r="T133" s="75"/>
    </row>
    <row r="134" spans="1:23" ht="11.25">
      <c r="A134" s="2"/>
      <c r="C134" s="2">
        <v>-2</v>
      </c>
      <c r="D134" s="2">
        <v>-1</v>
      </c>
      <c r="E134" s="2">
        <v>0</v>
      </c>
      <c r="F134" s="2">
        <v>1</v>
      </c>
      <c r="G134" s="2">
        <v>2</v>
      </c>
      <c r="H134" s="2">
        <v>3</v>
      </c>
      <c r="I134" s="2">
        <v>4</v>
      </c>
      <c r="J134" s="2">
        <v>5</v>
      </c>
      <c r="M134" s="1146">
        <v>10</v>
      </c>
      <c r="N134" s="1147">
        <v>5</v>
      </c>
      <c r="O134" s="1147">
        <v>7</v>
      </c>
      <c r="P134" s="1148">
        <v>7</v>
      </c>
      <c r="Q134" s="700" t="s">
        <v>6315</v>
      </c>
      <c r="S134" s="75"/>
      <c r="T134" s="75"/>
    </row>
    <row r="135" spans="1:23" ht="11.25">
      <c r="B135" t="str">
        <f>DataNameProd2</f>
        <v>Industry 1</v>
      </c>
      <c r="C135" s="132">
        <f>xxProd2BaseUnits</f>
        <v>3</v>
      </c>
      <c r="D135" s="132">
        <f t="shared" ref="D135:J135" si="16">xxProd2BaseUnits</f>
        <v>3</v>
      </c>
      <c r="E135" s="132">
        <f t="shared" si="16"/>
        <v>3</v>
      </c>
      <c r="F135" s="132">
        <f t="shared" si="16"/>
        <v>3</v>
      </c>
      <c r="G135" s="132">
        <f t="shared" si="16"/>
        <v>3</v>
      </c>
      <c r="H135" s="132">
        <f t="shared" si="16"/>
        <v>3</v>
      </c>
      <c r="I135" s="132">
        <f t="shared" si="16"/>
        <v>3</v>
      </c>
      <c r="J135" s="132">
        <f t="shared" si="16"/>
        <v>3</v>
      </c>
      <c r="K135" t="s">
        <v>257</v>
      </c>
      <c r="M135" s="1145"/>
      <c r="N135" s="18"/>
      <c r="O135" s="18"/>
      <c r="P135" s="82"/>
      <c r="Q135" t="s">
        <v>4791</v>
      </c>
      <c r="S135" s="75"/>
      <c r="T135" s="75"/>
    </row>
    <row r="136" spans="1:23" ht="11.25">
      <c r="B136" t="str">
        <f>DataNameProd2 &amp; " " &amp; DataNameProd2Seg1 &amp; " Units"</f>
        <v>Industry 1 Horizontal 1 Units</v>
      </c>
      <c r="C136" s="129">
        <v>1</v>
      </c>
      <c r="D136" s="129">
        <v>1</v>
      </c>
      <c r="E136" s="129">
        <v>1</v>
      </c>
      <c r="F136" s="129">
        <v>1</v>
      </c>
      <c r="G136" s="129">
        <v>1</v>
      </c>
      <c r="H136" s="129">
        <v>1</v>
      </c>
      <c r="I136" s="129">
        <v>1</v>
      </c>
      <c r="J136" s="129">
        <v>1</v>
      </c>
      <c r="K136" t="s">
        <v>258</v>
      </c>
      <c r="M136" s="1146">
        <v>10</v>
      </c>
      <c r="N136" s="1147">
        <v>6</v>
      </c>
      <c r="O136" s="1147">
        <v>8</v>
      </c>
      <c r="P136" s="1148">
        <v>8</v>
      </c>
      <c r="Q136" t="s">
        <v>4735</v>
      </c>
      <c r="S136" s="75"/>
      <c r="T136" s="75"/>
    </row>
    <row r="137" spans="1:23" ht="11.25">
      <c r="B137" t="str">
        <f>DataNameProd2 &amp; " " &amp; DataNameProd2Seg2 &amp; " Units"</f>
        <v>Industry 1 Horizontal 2 Units</v>
      </c>
      <c r="C137" s="129">
        <v>1</v>
      </c>
      <c r="D137" s="129">
        <v>1</v>
      </c>
      <c r="E137" s="129">
        <v>1</v>
      </c>
      <c r="F137" s="129">
        <v>1</v>
      </c>
      <c r="G137" s="129">
        <v>1</v>
      </c>
      <c r="H137" s="129">
        <v>1</v>
      </c>
      <c r="I137" s="129">
        <v>1</v>
      </c>
      <c r="J137" s="129">
        <v>1</v>
      </c>
      <c r="K137" t="s">
        <v>259</v>
      </c>
      <c r="M137" s="1146">
        <v>10</v>
      </c>
      <c r="N137" s="1147">
        <v>9</v>
      </c>
      <c r="O137" s="1147">
        <v>9</v>
      </c>
      <c r="P137" s="1148">
        <v>9</v>
      </c>
      <c r="Q137" t="s">
        <v>4696</v>
      </c>
      <c r="S137" s="75"/>
      <c r="T137" s="75"/>
    </row>
    <row r="138" spans="1:23" ht="11.25">
      <c r="B138" t="str">
        <f>DataNameProd2 &amp; " " &amp; DataNameProd2Seg3 &amp; " Units"</f>
        <v>Industry 1 Horizontal 3 Units</v>
      </c>
      <c r="C138" s="129">
        <v>1</v>
      </c>
      <c r="D138" s="129">
        <v>1</v>
      </c>
      <c r="E138" s="129">
        <v>1</v>
      </c>
      <c r="F138" s="129">
        <v>1</v>
      </c>
      <c r="G138" s="129">
        <v>1</v>
      </c>
      <c r="H138" s="129">
        <v>1</v>
      </c>
      <c r="I138" s="129">
        <v>1</v>
      </c>
      <c r="J138" s="129">
        <v>1</v>
      </c>
      <c r="K138" t="s">
        <v>260</v>
      </c>
      <c r="M138" s="1146">
        <v>10</v>
      </c>
      <c r="N138" s="1147">
        <v>3</v>
      </c>
      <c r="O138" s="1147">
        <v>3</v>
      </c>
      <c r="P138" s="1148">
        <v>3</v>
      </c>
      <c r="Q138" t="s">
        <v>3544</v>
      </c>
      <c r="S138" s="75"/>
      <c r="T138" s="75"/>
    </row>
    <row r="139" spans="1:23" ht="11.25">
      <c r="C139" s="129"/>
      <c r="D139" s="129"/>
      <c r="E139" s="129"/>
      <c r="F139" s="129"/>
      <c r="G139" s="129"/>
      <c r="H139" s="129"/>
      <c r="I139" s="129"/>
      <c r="J139" s="129"/>
      <c r="K139" t="s">
        <v>261</v>
      </c>
      <c r="M139" s="1146">
        <v>10</v>
      </c>
      <c r="N139" s="1147">
        <v>4</v>
      </c>
      <c r="O139" s="1147">
        <v>5</v>
      </c>
      <c r="P139" s="1148">
        <v>6</v>
      </c>
      <c r="Q139" t="s">
        <v>4927</v>
      </c>
      <c r="S139" s="75"/>
      <c r="T139" s="75"/>
    </row>
    <row r="140" spans="1:23" ht="12" thickBot="1">
      <c r="C140" s="129"/>
      <c r="D140" s="129"/>
      <c r="E140" s="129"/>
      <c r="F140" s="129"/>
      <c r="G140" s="129"/>
      <c r="H140" s="129"/>
      <c r="I140" s="129"/>
      <c r="J140" s="129"/>
      <c r="K140" t="s">
        <v>3947</v>
      </c>
      <c r="M140" s="1149">
        <v>10</v>
      </c>
      <c r="N140" s="1150">
        <v>8</v>
      </c>
      <c r="O140" s="1150">
        <v>6</v>
      </c>
      <c r="P140" s="1151">
        <v>4</v>
      </c>
      <c r="Q140" t="s">
        <v>2365</v>
      </c>
      <c r="S140" s="75"/>
      <c r="T140" s="75"/>
    </row>
    <row r="141" spans="1:23" ht="11.25">
      <c r="C141" s="14"/>
      <c r="D141" s="14"/>
      <c r="E141" s="14"/>
      <c r="F141" s="14"/>
      <c r="G141" s="14"/>
      <c r="H141" s="14"/>
      <c r="I141" s="14"/>
      <c r="J141" s="14"/>
      <c r="S141" s="75"/>
      <c r="T141" s="75"/>
    </row>
    <row r="142" spans="1:23" ht="11.25">
      <c r="B142" t="s">
        <v>3939</v>
      </c>
      <c r="C142" s="11">
        <f>C135/xxNumOfTeams</f>
        <v>0.6</v>
      </c>
      <c r="D142" s="11">
        <f t="shared" ref="D142:J142" si="17">D135/xxNumOfTeams</f>
        <v>0.6</v>
      </c>
      <c r="E142" s="11">
        <f t="shared" si="17"/>
        <v>0.6</v>
      </c>
      <c r="F142" s="11">
        <f t="shared" si="17"/>
        <v>0.6</v>
      </c>
      <c r="G142" s="11">
        <f t="shared" si="17"/>
        <v>0.6</v>
      </c>
      <c r="H142" s="11">
        <f t="shared" si="17"/>
        <v>0.6</v>
      </c>
      <c r="I142" s="11">
        <f t="shared" si="17"/>
        <v>0.6</v>
      </c>
      <c r="J142" s="11">
        <f t="shared" si="17"/>
        <v>0.6</v>
      </c>
      <c r="O142" s="476" t="s">
        <v>837</v>
      </c>
      <c r="P142" s="477"/>
      <c r="Q142" s="478"/>
      <c r="R142" s="476" t="s">
        <v>837</v>
      </c>
      <c r="S142" s="477"/>
      <c r="T142" s="478"/>
      <c r="U142" s="476" t="s">
        <v>837</v>
      </c>
      <c r="V142" s="477"/>
      <c r="W142" s="478"/>
    </row>
    <row r="143" spans="1:23" ht="12" thickBot="1">
      <c r="C143" s="10"/>
      <c r="D143" s="10"/>
      <c r="E143" s="10"/>
      <c r="F143" s="10"/>
      <c r="G143" s="10"/>
      <c r="H143" s="10"/>
      <c r="I143" s="10"/>
      <c r="J143" s="10"/>
      <c r="O143" s="54" t="s">
        <v>840</v>
      </c>
      <c r="P143" s="18" t="s">
        <v>841</v>
      </c>
      <c r="Q143" s="60" t="s">
        <v>842</v>
      </c>
      <c r="R143" s="54" t="s">
        <v>840</v>
      </c>
      <c r="S143" s="18" t="s">
        <v>841</v>
      </c>
      <c r="T143" s="60" t="s">
        <v>842</v>
      </c>
      <c r="U143" s="54" t="s">
        <v>840</v>
      </c>
      <c r="V143" s="18" t="s">
        <v>841</v>
      </c>
      <c r="W143" s="60" t="s">
        <v>842</v>
      </c>
    </row>
    <row r="144" spans="1:23">
      <c r="B144" s="127" t="s">
        <v>3948</v>
      </c>
      <c r="C144" s="113"/>
      <c r="D144" s="113"/>
      <c r="E144" s="442">
        <v>2</v>
      </c>
      <c r="F144" s="442">
        <v>1</v>
      </c>
      <c r="G144" s="442">
        <v>0</v>
      </c>
      <c r="H144" s="113"/>
      <c r="I144" s="113"/>
      <c r="J144" s="113"/>
      <c r="K144" s="114"/>
      <c r="M144" s="508" t="s">
        <v>189</v>
      </c>
      <c r="O144" s="512" t="s">
        <v>2219</v>
      </c>
      <c r="P144" s="509" t="s">
        <v>2220</v>
      </c>
      <c r="Q144" s="510" t="s">
        <v>2581</v>
      </c>
      <c r="R144" s="512" t="s">
        <v>2607</v>
      </c>
      <c r="S144" s="509" t="s">
        <v>2608</v>
      </c>
      <c r="T144" s="510" t="s">
        <v>2609</v>
      </c>
      <c r="U144" s="509" t="s">
        <v>2574</v>
      </c>
      <c r="V144" s="510" t="s">
        <v>128</v>
      </c>
      <c r="W144" s="511" t="s">
        <v>129</v>
      </c>
    </row>
    <row r="145" spans="1:23">
      <c r="B145" s="81"/>
      <c r="C145" s="36" t="str">
        <f>DataNameProd2</f>
        <v>Industry 1</v>
      </c>
      <c r="D145" s="36"/>
      <c r="E145" s="36" t="s">
        <v>636</v>
      </c>
      <c r="F145" s="36" t="s">
        <v>637</v>
      </c>
      <c r="G145" s="36" t="s">
        <v>638</v>
      </c>
      <c r="H145" s="36" t="s">
        <v>639</v>
      </c>
      <c r="I145" s="36" t="s">
        <v>4062</v>
      </c>
      <c r="J145" s="18"/>
      <c r="K145" s="82"/>
      <c r="M145" s="508" t="s">
        <v>2578</v>
      </c>
      <c r="O145" s="512">
        <v>450</v>
      </c>
      <c r="P145" s="513">
        <v>900</v>
      </c>
      <c r="Q145" s="510">
        <v>250</v>
      </c>
      <c r="R145" s="512">
        <v>400</v>
      </c>
      <c r="S145" s="513">
        <v>600</v>
      </c>
      <c r="T145" s="510">
        <v>200</v>
      </c>
      <c r="U145" s="513">
        <v>200</v>
      </c>
      <c r="V145" s="510">
        <v>500</v>
      </c>
      <c r="W145" s="511">
        <v>150</v>
      </c>
    </row>
    <row r="146" spans="1:23" ht="11.25">
      <c r="B146" s="81"/>
      <c r="C146" s="130" t="s">
        <v>2578</v>
      </c>
      <c r="D146" s="131"/>
      <c r="E146" s="131">
        <f>INDEX($O146:$W146,(MAX(1,xxYear)*3)-(E$144))</f>
        <v>100</v>
      </c>
      <c r="F146" s="131">
        <f t="shared" ref="E146:G155" si="18">INDEX($O146:$W146,(MAX(1,xxYear)*3)-(F$144))</f>
        <v>130</v>
      </c>
      <c r="G146" s="131">
        <f t="shared" si="18"/>
        <v>90</v>
      </c>
      <c r="H146" s="131"/>
      <c r="I146" s="131"/>
      <c r="J146" s="131" t="s">
        <v>3949</v>
      </c>
      <c r="K146" s="82"/>
      <c r="M146" t="s">
        <v>2365</v>
      </c>
      <c r="N146">
        <v>1</v>
      </c>
      <c r="O146" s="54">
        <v>100</v>
      </c>
      <c r="P146" s="18">
        <v>130</v>
      </c>
      <c r="Q146" s="60">
        <v>90</v>
      </c>
      <c r="R146" s="54">
        <v>90</v>
      </c>
      <c r="S146" s="18">
        <v>120</v>
      </c>
      <c r="T146" s="60">
        <v>70</v>
      </c>
      <c r="U146" s="54">
        <v>80</v>
      </c>
      <c r="V146" s="18">
        <v>130</v>
      </c>
      <c r="W146" s="60">
        <v>80</v>
      </c>
    </row>
    <row r="147" spans="1:23" ht="11.25">
      <c r="B147" s="81"/>
      <c r="C147" s="130" t="s">
        <v>4087</v>
      </c>
      <c r="D147" s="131"/>
      <c r="E147" s="131">
        <f t="shared" si="18"/>
        <v>80</v>
      </c>
      <c r="F147" s="131">
        <f t="shared" si="18"/>
        <v>110</v>
      </c>
      <c r="G147" s="131">
        <f t="shared" si="18"/>
        <v>100</v>
      </c>
      <c r="H147" s="131"/>
      <c r="I147" s="131"/>
      <c r="J147" s="131" t="s">
        <v>3950</v>
      </c>
      <c r="K147" s="82"/>
      <c r="M147" t="s">
        <v>843</v>
      </c>
      <c r="N147">
        <v>2</v>
      </c>
      <c r="O147" s="54">
        <v>80</v>
      </c>
      <c r="P147" s="18">
        <v>110</v>
      </c>
      <c r="Q147" s="60">
        <v>100</v>
      </c>
      <c r="R147" s="54">
        <v>70</v>
      </c>
      <c r="S147" s="18">
        <v>80</v>
      </c>
      <c r="T147" s="60">
        <v>90</v>
      </c>
      <c r="U147" s="54">
        <v>100</v>
      </c>
      <c r="V147" s="18">
        <v>80</v>
      </c>
      <c r="W147" s="60">
        <v>70</v>
      </c>
    </row>
    <row r="148" spans="1:23" ht="11.25">
      <c r="B148" s="81"/>
      <c r="C148" s="130" t="s">
        <v>4085</v>
      </c>
      <c r="D148" s="131"/>
      <c r="E148" s="131">
        <f t="shared" si="18"/>
        <v>110</v>
      </c>
      <c r="F148" s="131">
        <f t="shared" si="18"/>
        <v>90</v>
      </c>
      <c r="G148" s="131">
        <f t="shared" si="18"/>
        <v>100</v>
      </c>
      <c r="H148" s="131"/>
      <c r="I148" s="131"/>
      <c r="J148" s="131" t="s">
        <v>3951</v>
      </c>
      <c r="K148" s="82"/>
      <c r="M148" t="s">
        <v>4085</v>
      </c>
      <c r="N148">
        <v>3</v>
      </c>
      <c r="O148" s="54">
        <v>110</v>
      </c>
      <c r="P148" s="18">
        <v>90</v>
      </c>
      <c r="Q148" s="60">
        <v>100</v>
      </c>
      <c r="R148" s="54">
        <v>110</v>
      </c>
      <c r="S148" s="18">
        <v>110</v>
      </c>
      <c r="T148" s="60">
        <v>90</v>
      </c>
      <c r="U148" s="54">
        <v>120</v>
      </c>
      <c r="V148" s="18">
        <v>90</v>
      </c>
      <c r="W148" s="60">
        <v>100</v>
      </c>
    </row>
    <row r="149" spans="1:23" ht="11.25">
      <c r="B149" s="81"/>
      <c r="C149" s="130" t="s">
        <v>1045</v>
      </c>
      <c r="D149" s="131"/>
      <c r="E149" s="131">
        <f t="shared" si="18"/>
        <v>120</v>
      </c>
      <c r="F149" s="131">
        <f t="shared" si="18"/>
        <v>80</v>
      </c>
      <c r="G149" s="131">
        <f t="shared" si="18"/>
        <v>100</v>
      </c>
      <c r="H149" s="131"/>
      <c r="I149" s="131"/>
      <c r="J149" s="131" t="s">
        <v>3952</v>
      </c>
      <c r="K149" s="82"/>
      <c r="M149" t="s">
        <v>1041</v>
      </c>
      <c r="N149">
        <v>4</v>
      </c>
      <c r="O149" s="54">
        <v>120</v>
      </c>
      <c r="P149" s="96">
        <v>80</v>
      </c>
      <c r="Q149" s="60">
        <v>100</v>
      </c>
      <c r="R149" s="54">
        <v>90</v>
      </c>
      <c r="S149" s="96">
        <v>90</v>
      </c>
      <c r="T149" s="60">
        <v>110</v>
      </c>
      <c r="U149" s="54">
        <v>110</v>
      </c>
      <c r="V149" s="96">
        <v>120</v>
      </c>
      <c r="W149" s="60">
        <v>110</v>
      </c>
    </row>
    <row r="150" spans="1:23" ht="11.25">
      <c r="B150" s="81"/>
      <c r="C150" s="130" t="s">
        <v>1047</v>
      </c>
      <c r="D150" s="131"/>
      <c r="E150" s="131">
        <f t="shared" si="18"/>
        <v>130</v>
      </c>
      <c r="F150" s="131">
        <f t="shared" si="18"/>
        <v>100</v>
      </c>
      <c r="G150" s="131">
        <f t="shared" si="18"/>
        <v>120</v>
      </c>
      <c r="H150" s="131"/>
      <c r="I150" s="131"/>
      <c r="J150" s="131" t="s">
        <v>3953</v>
      </c>
      <c r="K150" s="82"/>
      <c r="M150" t="s">
        <v>1042</v>
      </c>
      <c r="N150">
        <v>5</v>
      </c>
      <c r="O150" s="54">
        <v>130</v>
      </c>
      <c r="P150" s="96">
        <v>100</v>
      </c>
      <c r="Q150" s="60">
        <v>120</v>
      </c>
      <c r="R150" s="54">
        <v>110</v>
      </c>
      <c r="S150" s="96">
        <v>110</v>
      </c>
      <c r="T150" s="60">
        <v>110</v>
      </c>
      <c r="U150" s="54">
        <v>130</v>
      </c>
      <c r="V150" s="96">
        <v>120</v>
      </c>
      <c r="W150" s="60">
        <v>110</v>
      </c>
    </row>
    <row r="151" spans="1:23" ht="11.25">
      <c r="B151" s="81"/>
      <c r="C151" s="130" t="s">
        <v>4086</v>
      </c>
      <c r="D151" s="131"/>
      <c r="E151" s="131">
        <f t="shared" si="18"/>
        <v>100</v>
      </c>
      <c r="F151" s="131">
        <f t="shared" si="18"/>
        <v>90</v>
      </c>
      <c r="G151" s="131">
        <f t="shared" si="18"/>
        <v>90</v>
      </c>
      <c r="H151" s="131"/>
      <c r="I151" s="131"/>
      <c r="J151" s="131" t="s">
        <v>3954</v>
      </c>
      <c r="K151" s="82"/>
      <c r="M151" t="s">
        <v>4086</v>
      </c>
      <c r="N151">
        <v>6</v>
      </c>
      <c r="O151" s="54">
        <v>100</v>
      </c>
      <c r="P151" s="96">
        <v>90</v>
      </c>
      <c r="Q151" s="60">
        <v>90</v>
      </c>
      <c r="R151" s="54">
        <v>100</v>
      </c>
      <c r="S151" s="96">
        <v>90</v>
      </c>
      <c r="T151" s="60">
        <v>90</v>
      </c>
      <c r="U151" s="54">
        <v>100</v>
      </c>
      <c r="V151" s="96">
        <v>80</v>
      </c>
      <c r="W151" s="60">
        <v>90</v>
      </c>
    </row>
    <row r="152" spans="1:23" ht="11.25">
      <c r="B152" s="81"/>
      <c r="C152" s="130" t="s">
        <v>1046</v>
      </c>
      <c r="D152" s="131"/>
      <c r="E152" s="131">
        <f t="shared" si="18"/>
        <v>90</v>
      </c>
      <c r="F152" s="131">
        <f t="shared" si="18"/>
        <v>100</v>
      </c>
      <c r="G152" s="131">
        <f t="shared" si="18"/>
        <v>90</v>
      </c>
      <c r="H152" s="131"/>
      <c r="I152" s="131"/>
      <c r="J152" s="131" t="s">
        <v>75</v>
      </c>
      <c r="K152" s="82"/>
      <c r="M152" t="s">
        <v>1043</v>
      </c>
      <c r="N152">
        <v>7</v>
      </c>
      <c r="O152" s="54">
        <v>90</v>
      </c>
      <c r="P152" s="96">
        <v>100</v>
      </c>
      <c r="Q152" s="60">
        <v>90</v>
      </c>
      <c r="R152" s="54">
        <v>90</v>
      </c>
      <c r="S152" s="96">
        <v>100</v>
      </c>
      <c r="T152" s="60">
        <v>100</v>
      </c>
      <c r="U152" s="54">
        <v>120</v>
      </c>
      <c r="V152" s="96">
        <v>100</v>
      </c>
      <c r="W152" s="60">
        <v>100</v>
      </c>
    </row>
    <row r="153" spans="1:23" ht="11.25">
      <c r="B153" s="81"/>
      <c r="C153" s="130" t="s">
        <v>1052</v>
      </c>
      <c r="D153" s="131"/>
      <c r="E153" s="131">
        <f t="shared" si="18"/>
        <v>80</v>
      </c>
      <c r="F153" s="131">
        <f t="shared" si="18"/>
        <v>80</v>
      </c>
      <c r="G153" s="131">
        <f t="shared" si="18"/>
        <v>80</v>
      </c>
      <c r="H153" s="131"/>
      <c r="I153" s="131"/>
      <c r="J153" s="131" t="s">
        <v>76</v>
      </c>
      <c r="K153" s="82"/>
      <c r="M153" s="141" t="s">
        <v>4082</v>
      </c>
      <c r="N153">
        <v>8</v>
      </c>
      <c r="O153" s="514">
        <v>80</v>
      </c>
      <c r="P153" s="149">
        <v>80</v>
      </c>
      <c r="Q153" s="280">
        <v>80</v>
      </c>
      <c r="R153" s="514">
        <v>80</v>
      </c>
      <c r="S153" s="149">
        <v>90</v>
      </c>
      <c r="T153" s="280">
        <v>80</v>
      </c>
      <c r="U153" s="514">
        <v>80</v>
      </c>
      <c r="V153" s="149">
        <v>70</v>
      </c>
      <c r="W153" s="280">
        <v>70</v>
      </c>
    </row>
    <row r="154" spans="1:23" ht="11.25">
      <c r="B154" s="81"/>
      <c r="C154" s="130" t="s">
        <v>1147</v>
      </c>
      <c r="D154" s="131"/>
      <c r="E154" s="131">
        <f t="shared" si="18"/>
        <v>100</v>
      </c>
      <c r="F154" s="131">
        <f t="shared" si="18"/>
        <v>90</v>
      </c>
      <c r="G154" s="131">
        <f t="shared" si="18"/>
        <v>100</v>
      </c>
      <c r="H154" s="131"/>
      <c r="I154" s="131"/>
      <c r="J154" s="131" t="s">
        <v>77</v>
      </c>
      <c r="K154" s="82"/>
      <c r="M154" t="s">
        <v>1044</v>
      </c>
      <c r="N154">
        <v>9</v>
      </c>
      <c r="O154" s="54">
        <v>100</v>
      </c>
      <c r="P154" s="96">
        <v>90</v>
      </c>
      <c r="Q154" s="60">
        <v>100</v>
      </c>
      <c r="R154" s="54">
        <v>70</v>
      </c>
      <c r="S154" s="96">
        <v>70</v>
      </c>
      <c r="T154" s="60">
        <v>80</v>
      </c>
      <c r="U154" s="54">
        <v>70</v>
      </c>
      <c r="V154" s="96">
        <v>60</v>
      </c>
      <c r="W154" s="60">
        <v>70</v>
      </c>
    </row>
    <row r="155" spans="1:23" ht="11.25">
      <c r="B155" s="81"/>
      <c r="C155" s="130" t="s">
        <v>3544</v>
      </c>
      <c r="D155" s="131"/>
      <c r="E155" s="131">
        <f t="shared" si="18"/>
        <v>60</v>
      </c>
      <c r="F155" s="131">
        <f t="shared" si="18"/>
        <v>80</v>
      </c>
      <c r="G155" s="131">
        <f t="shared" si="18"/>
        <v>60</v>
      </c>
      <c r="H155" s="131"/>
      <c r="I155" s="131"/>
      <c r="J155" s="131" t="s">
        <v>78</v>
      </c>
      <c r="K155" s="82"/>
      <c r="M155" t="s">
        <v>3544</v>
      </c>
      <c r="N155">
        <v>10</v>
      </c>
      <c r="O155" s="56">
        <v>60</v>
      </c>
      <c r="P155" s="57">
        <v>80</v>
      </c>
      <c r="Q155" s="61">
        <v>60</v>
      </c>
      <c r="R155" s="56">
        <v>60</v>
      </c>
      <c r="S155" s="57">
        <v>60</v>
      </c>
      <c r="T155" s="61">
        <v>60</v>
      </c>
      <c r="U155" s="56">
        <v>65</v>
      </c>
      <c r="V155" s="57">
        <v>60</v>
      </c>
      <c r="W155" s="61">
        <v>60</v>
      </c>
    </row>
    <row r="156" spans="1:23" ht="12" thickBot="1">
      <c r="B156" s="83"/>
      <c r="C156" s="84"/>
      <c r="D156" s="84"/>
      <c r="E156" s="84"/>
      <c r="F156" s="84"/>
      <c r="G156" s="84"/>
      <c r="H156" s="84"/>
      <c r="I156" s="84"/>
      <c r="J156" s="84"/>
      <c r="K156" s="85"/>
    </row>
    <row r="157" spans="1:23" ht="11.25">
      <c r="B157" s="18"/>
      <c r="C157" s="18"/>
      <c r="D157" s="18"/>
      <c r="E157" s="18"/>
      <c r="F157" s="18"/>
      <c r="G157" s="18"/>
      <c r="H157" s="18"/>
      <c r="I157" s="18"/>
      <c r="J157" s="18"/>
      <c r="K157" s="18"/>
      <c r="S157" s="75"/>
      <c r="T157" s="75"/>
    </row>
    <row r="158" spans="1:23" ht="11.25">
      <c r="A158" s="2" t="str">
        <f>DataNameProd3 &amp; " Data"</f>
        <v>Industry 2 Data</v>
      </c>
      <c r="B158" s="18"/>
      <c r="C158" s="18"/>
      <c r="D158" s="18"/>
      <c r="E158" s="18"/>
      <c r="F158" s="18"/>
      <c r="G158" s="18"/>
      <c r="H158" s="18"/>
      <c r="I158" s="18"/>
      <c r="J158" s="18"/>
      <c r="K158" s="18"/>
      <c r="S158" s="75"/>
      <c r="T158" s="75"/>
    </row>
    <row r="159" spans="1:23" ht="11.25">
      <c r="A159" s="2"/>
      <c r="C159" s="2">
        <v>-2</v>
      </c>
      <c r="D159" s="2">
        <v>-1</v>
      </c>
      <c r="E159" s="2">
        <v>0</v>
      </c>
      <c r="F159" s="2">
        <v>1</v>
      </c>
      <c r="G159" s="2">
        <v>2</v>
      </c>
      <c r="H159" s="2">
        <v>3</v>
      </c>
      <c r="I159" s="2">
        <v>4</v>
      </c>
      <c r="J159" s="2">
        <v>5</v>
      </c>
      <c r="S159" s="75"/>
      <c r="T159" s="75"/>
    </row>
    <row r="160" spans="1:23" ht="11.25">
      <c r="B160" t="str">
        <f>DataNameProd3</f>
        <v>Industry 2</v>
      </c>
      <c r="C160" s="132">
        <f>D160*0.95</f>
        <v>2.7074999999999996</v>
      </c>
      <c r="D160" s="132">
        <f>E160*0.95</f>
        <v>2.8499999999999996</v>
      </c>
      <c r="E160" s="132">
        <f>xxProd3BaseUnits</f>
        <v>3</v>
      </c>
      <c r="F160" s="132">
        <f>E160*1.05</f>
        <v>3.1500000000000004</v>
      </c>
      <c r="G160" s="132">
        <f>F160*1.05</f>
        <v>3.3075000000000006</v>
      </c>
      <c r="H160" s="132">
        <f>G160*1.05</f>
        <v>3.4728750000000006</v>
      </c>
      <c r="I160" s="132">
        <f>H160*1.05</f>
        <v>3.6465187500000007</v>
      </c>
      <c r="J160" s="132">
        <f>I160*1.05</f>
        <v>3.8288446875000011</v>
      </c>
      <c r="K160" t="s">
        <v>484</v>
      </c>
      <c r="S160" s="75"/>
      <c r="T160" s="75"/>
    </row>
    <row r="161" spans="2:23" ht="11.25">
      <c r="B161" t="str">
        <f>DataNameProd3 &amp; " " &amp; DataNameProd3Seg1 &amp; " Units"</f>
        <v>Industry 2 Horizontal 1 Units</v>
      </c>
      <c r="C161" s="132">
        <f>C$160/3</f>
        <v>0.90249999999999986</v>
      </c>
      <c r="D161" s="132">
        <f t="shared" ref="D161:J161" si="19">D$160/3</f>
        <v>0.94999999999999984</v>
      </c>
      <c r="E161" s="132">
        <f t="shared" si="19"/>
        <v>1</v>
      </c>
      <c r="F161" s="132">
        <f t="shared" si="19"/>
        <v>1.05</v>
      </c>
      <c r="G161" s="132">
        <f t="shared" si="19"/>
        <v>1.1025000000000003</v>
      </c>
      <c r="H161" s="132">
        <f t="shared" si="19"/>
        <v>1.1576250000000001</v>
      </c>
      <c r="I161" s="132">
        <f t="shared" si="19"/>
        <v>1.2155062500000002</v>
      </c>
      <c r="J161" s="132">
        <f t="shared" si="19"/>
        <v>1.2762815625000004</v>
      </c>
      <c r="K161" t="s">
        <v>485</v>
      </c>
      <c r="S161" s="75"/>
      <c r="T161" s="75"/>
    </row>
    <row r="162" spans="2:23" ht="11.25">
      <c r="B162" t="str">
        <f>DataNameProd3 &amp; " " &amp; DataNameProd3Seg2 &amp; " Units"</f>
        <v>Industry 2 Horizontal 2 Units</v>
      </c>
      <c r="C162" s="132">
        <f t="shared" ref="C162:J163" si="20">C$160/3</f>
        <v>0.90249999999999986</v>
      </c>
      <c r="D162" s="132">
        <f t="shared" si="20"/>
        <v>0.94999999999999984</v>
      </c>
      <c r="E162" s="132">
        <f t="shared" si="20"/>
        <v>1</v>
      </c>
      <c r="F162" s="132">
        <f t="shared" si="20"/>
        <v>1.05</v>
      </c>
      <c r="G162" s="132">
        <f t="shared" si="20"/>
        <v>1.1025000000000003</v>
      </c>
      <c r="H162" s="132">
        <f t="shared" si="20"/>
        <v>1.1576250000000001</v>
      </c>
      <c r="I162" s="132">
        <f t="shared" si="20"/>
        <v>1.2155062500000002</v>
      </c>
      <c r="J162" s="132">
        <f t="shared" si="20"/>
        <v>1.2762815625000004</v>
      </c>
      <c r="K162" t="s">
        <v>486</v>
      </c>
      <c r="T162" s="75"/>
    </row>
    <row r="163" spans="2:23" ht="11.25">
      <c r="B163" t="str">
        <f>DataNameProd3 &amp; " " &amp; DataNameProd3Seg3 &amp; " Units"</f>
        <v>Industry 2 Horizontal 3 Units</v>
      </c>
      <c r="C163" s="132">
        <f t="shared" si="20"/>
        <v>0.90249999999999986</v>
      </c>
      <c r="D163" s="132">
        <f t="shared" si="20"/>
        <v>0.94999999999999984</v>
      </c>
      <c r="E163" s="132">
        <f t="shared" si="20"/>
        <v>1</v>
      </c>
      <c r="F163" s="132">
        <f t="shared" si="20"/>
        <v>1.05</v>
      </c>
      <c r="G163" s="132">
        <f t="shared" si="20"/>
        <v>1.1025000000000003</v>
      </c>
      <c r="H163" s="132">
        <f t="shared" si="20"/>
        <v>1.1576250000000001</v>
      </c>
      <c r="I163" s="132">
        <f t="shared" si="20"/>
        <v>1.2155062500000002</v>
      </c>
      <c r="J163" s="132">
        <f t="shared" si="20"/>
        <v>1.2762815625000004</v>
      </c>
      <c r="K163" t="s">
        <v>3319</v>
      </c>
      <c r="T163" s="75"/>
    </row>
    <row r="164" spans="2:23" ht="11.25">
      <c r="C164" s="132"/>
      <c r="D164" s="132"/>
      <c r="E164" s="132"/>
      <c r="F164" s="132"/>
      <c r="G164" s="132"/>
      <c r="H164" s="132"/>
      <c r="I164" s="132"/>
      <c r="J164" s="132"/>
      <c r="K164" t="s">
        <v>3320</v>
      </c>
      <c r="T164" s="75"/>
    </row>
    <row r="165" spans="2:23" ht="11.25">
      <c r="C165" s="132"/>
      <c r="D165" s="132"/>
      <c r="E165" s="132"/>
      <c r="F165" s="132"/>
      <c r="G165" s="132"/>
      <c r="H165" s="132"/>
      <c r="I165" s="132"/>
      <c r="J165" s="132"/>
      <c r="K165" t="s">
        <v>3321</v>
      </c>
      <c r="T165" s="75"/>
    </row>
    <row r="166" spans="2:23" ht="11.25">
      <c r="C166" s="14"/>
      <c r="D166" s="14"/>
      <c r="E166" s="14"/>
      <c r="F166" s="14"/>
      <c r="G166" s="14"/>
      <c r="H166" s="14"/>
      <c r="I166" s="14"/>
      <c r="J166" s="14"/>
    </row>
    <row r="167" spans="2:23" ht="11.25">
      <c r="B167" t="s">
        <v>3939</v>
      </c>
      <c r="C167" s="11">
        <f>C160/xxNumOfTeams</f>
        <v>0.54149999999999987</v>
      </c>
      <c r="D167" s="11">
        <f t="shared" ref="D167:J167" si="21">D160/xxNumOfTeams</f>
        <v>0.56999999999999995</v>
      </c>
      <c r="E167" s="11">
        <f t="shared" si="21"/>
        <v>0.6</v>
      </c>
      <c r="F167" s="11">
        <f t="shared" si="21"/>
        <v>0.63000000000000012</v>
      </c>
      <c r="G167" s="11">
        <f t="shared" si="21"/>
        <v>0.66150000000000009</v>
      </c>
      <c r="H167" s="11">
        <f t="shared" si="21"/>
        <v>0.69457500000000016</v>
      </c>
      <c r="I167" s="11">
        <f t="shared" si="21"/>
        <v>0.72930375000000014</v>
      </c>
      <c r="J167" s="11">
        <f t="shared" si="21"/>
        <v>0.76576893750000019</v>
      </c>
      <c r="O167" s="476" t="s">
        <v>838</v>
      </c>
      <c r="P167" s="477"/>
      <c r="Q167" s="478"/>
      <c r="R167" s="476" t="s">
        <v>838</v>
      </c>
      <c r="S167" s="477"/>
      <c r="T167" s="478"/>
      <c r="U167" s="476" t="s">
        <v>838</v>
      </c>
      <c r="V167" s="477"/>
      <c r="W167" s="478"/>
    </row>
    <row r="168" spans="2:23" ht="12" thickBot="1">
      <c r="C168" s="10"/>
      <c r="D168" s="10"/>
      <c r="E168" s="10"/>
      <c r="F168" s="10"/>
      <c r="G168" s="10"/>
      <c r="H168" s="10"/>
      <c r="I168" s="10"/>
      <c r="J168" s="10"/>
      <c r="O168" s="54" t="s">
        <v>840</v>
      </c>
      <c r="P168" s="18" t="s">
        <v>841</v>
      </c>
      <c r="Q168" s="60" t="s">
        <v>842</v>
      </c>
      <c r="R168" s="54" t="s">
        <v>840</v>
      </c>
      <c r="S168" s="18" t="s">
        <v>841</v>
      </c>
      <c r="T168" s="60" t="s">
        <v>842</v>
      </c>
      <c r="U168" s="54" t="s">
        <v>840</v>
      </c>
      <c r="V168" s="18" t="s">
        <v>841</v>
      </c>
      <c r="W168" s="60" t="s">
        <v>842</v>
      </c>
    </row>
    <row r="169" spans="2:23">
      <c r="B169" s="127" t="s">
        <v>3322</v>
      </c>
      <c r="C169" s="113"/>
      <c r="D169" s="113"/>
      <c r="E169" s="442">
        <v>2</v>
      </c>
      <c r="F169" s="442">
        <v>1</v>
      </c>
      <c r="G169" s="442">
        <v>0</v>
      </c>
      <c r="H169" s="113"/>
      <c r="I169" s="113"/>
      <c r="J169" s="113"/>
      <c r="K169" s="114"/>
      <c r="M169" s="508" t="s">
        <v>189</v>
      </c>
      <c r="O169" s="512" t="s">
        <v>2582</v>
      </c>
      <c r="P169" s="513" t="s">
        <v>2222</v>
      </c>
      <c r="Q169" s="510" t="s">
        <v>2583</v>
      </c>
      <c r="R169" s="512" t="s">
        <v>2579</v>
      </c>
      <c r="S169" s="513" t="s">
        <v>2214</v>
      </c>
      <c r="T169" s="510" t="s">
        <v>2215</v>
      </c>
      <c r="U169" s="512" t="s">
        <v>2575</v>
      </c>
      <c r="V169" s="513" t="s">
        <v>2602</v>
      </c>
      <c r="W169" s="510" t="s">
        <v>2603</v>
      </c>
    </row>
    <row r="170" spans="2:23">
      <c r="B170" s="81"/>
      <c r="C170" s="36" t="str">
        <f>DataNameProd3</f>
        <v>Industry 2</v>
      </c>
      <c r="D170" s="36"/>
      <c r="E170" s="36" t="s">
        <v>636</v>
      </c>
      <c r="F170" s="36" t="s">
        <v>637</v>
      </c>
      <c r="G170" s="36" t="s">
        <v>638</v>
      </c>
      <c r="H170" s="36" t="s">
        <v>639</v>
      </c>
      <c r="I170" s="36" t="s">
        <v>4062</v>
      </c>
      <c r="J170" s="18"/>
      <c r="K170" s="82"/>
      <c r="M170" s="508" t="s">
        <v>2578</v>
      </c>
      <c r="O170" s="512">
        <v>400</v>
      </c>
      <c r="P170" s="513">
        <v>600</v>
      </c>
      <c r="Q170" s="510">
        <v>200</v>
      </c>
      <c r="R170" s="512">
        <v>400</v>
      </c>
      <c r="S170" s="513">
        <v>500</v>
      </c>
      <c r="T170" s="510">
        <v>300</v>
      </c>
      <c r="U170" s="512">
        <v>400</v>
      </c>
      <c r="V170" s="513">
        <v>500</v>
      </c>
      <c r="W170" s="510">
        <v>400</v>
      </c>
    </row>
    <row r="171" spans="2:23" ht="11.25">
      <c r="B171" s="81"/>
      <c r="C171" s="130" t="s">
        <v>2578</v>
      </c>
      <c r="D171" s="131"/>
      <c r="E171" s="131">
        <f t="shared" ref="E171:G180" si="22">INDEX($O171:$W171,IF(xxYear=0,3,(xxYear*3))-(E$144))</f>
        <v>100</v>
      </c>
      <c r="F171" s="131">
        <f t="shared" si="22"/>
        <v>100</v>
      </c>
      <c r="G171" s="131">
        <f t="shared" si="22"/>
        <v>80</v>
      </c>
      <c r="H171" s="131"/>
      <c r="I171" s="131"/>
      <c r="J171" s="131" t="s">
        <v>3323</v>
      </c>
      <c r="K171" s="82"/>
      <c r="M171" t="s">
        <v>2365</v>
      </c>
      <c r="N171">
        <v>1</v>
      </c>
      <c r="O171" s="54">
        <v>100</v>
      </c>
      <c r="P171" s="96">
        <v>100</v>
      </c>
      <c r="Q171" s="60">
        <v>80</v>
      </c>
      <c r="R171" s="54">
        <v>90</v>
      </c>
      <c r="S171" s="96">
        <v>130</v>
      </c>
      <c r="T171" s="60">
        <v>70</v>
      </c>
      <c r="U171" s="54">
        <v>90</v>
      </c>
      <c r="V171" s="96">
        <v>80</v>
      </c>
      <c r="W171" s="60">
        <v>70</v>
      </c>
    </row>
    <row r="172" spans="2:23" ht="11.25">
      <c r="B172" s="81"/>
      <c r="C172" s="130" t="s">
        <v>4087</v>
      </c>
      <c r="D172" s="131"/>
      <c r="E172" s="131">
        <f t="shared" si="22"/>
        <v>120</v>
      </c>
      <c r="F172" s="131">
        <f t="shared" si="22"/>
        <v>130</v>
      </c>
      <c r="G172" s="131">
        <f t="shared" si="22"/>
        <v>110</v>
      </c>
      <c r="H172" s="131"/>
      <c r="I172" s="131"/>
      <c r="J172" s="131" t="s">
        <v>3324</v>
      </c>
      <c r="K172" s="82"/>
      <c r="M172" t="s">
        <v>843</v>
      </c>
      <c r="N172">
        <v>2</v>
      </c>
      <c r="O172" s="54">
        <v>120</v>
      </c>
      <c r="P172" s="96">
        <v>130</v>
      </c>
      <c r="Q172" s="60">
        <v>110</v>
      </c>
      <c r="R172" s="54">
        <v>100</v>
      </c>
      <c r="S172" s="96">
        <v>120</v>
      </c>
      <c r="T172" s="60">
        <v>90</v>
      </c>
      <c r="U172" s="54">
        <v>70</v>
      </c>
      <c r="V172" s="96">
        <v>80</v>
      </c>
      <c r="W172" s="60">
        <v>90</v>
      </c>
    </row>
    <row r="173" spans="2:23" ht="11.25">
      <c r="B173" s="81"/>
      <c r="C173" s="130" t="s">
        <v>4085</v>
      </c>
      <c r="D173" s="131"/>
      <c r="E173" s="131">
        <f t="shared" si="22"/>
        <v>110</v>
      </c>
      <c r="F173" s="131">
        <f t="shared" si="22"/>
        <v>90</v>
      </c>
      <c r="G173" s="131">
        <f t="shared" si="22"/>
        <v>120</v>
      </c>
      <c r="H173" s="131"/>
      <c r="I173" s="131"/>
      <c r="J173" s="131" t="s">
        <v>3325</v>
      </c>
      <c r="K173" s="82"/>
      <c r="M173" t="s">
        <v>4085</v>
      </c>
      <c r="N173">
        <v>3</v>
      </c>
      <c r="O173" s="54">
        <v>110</v>
      </c>
      <c r="P173" s="96">
        <v>90</v>
      </c>
      <c r="Q173" s="60">
        <v>120</v>
      </c>
      <c r="R173" s="54">
        <v>80</v>
      </c>
      <c r="S173" s="96">
        <v>80</v>
      </c>
      <c r="T173" s="60">
        <v>80</v>
      </c>
      <c r="U173" s="54">
        <v>90</v>
      </c>
      <c r="V173" s="96">
        <v>100</v>
      </c>
      <c r="W173" s="60">
        <v>90</v>
      </c>
    </row>
    <row r="174" spans="2:23" ht="11.25">
      <c r="B174" s="81"/>
      <c r="C174" s="130" t="s">
        <v>1045</v>
      </c>
      <c r="D174" s="131"/>
      <c r="E174" s="131">
        <f t="shared" si="22"/>
        <v>80</v>
      </c>
      <c r="F174" s="131">
        <f t="shared" si="22"/>
        <v>80</v>
      </c>
      <c r="G174" s="131">
        <f t="shared" si="22"/>
        <v>110</v>
      </c>
      <c r="H174" s="131"/>
      <c r="I174" s="131"/>
      <c r="J174" s="131" t="s">
        <v>3326</v>
      </c>
      <c r="K174" s="82"/>
      <c r="M174" t="s">
        <v>1041</v>
      </c>
      <c r="N174">
        <v>4</v>
      </c>
      <c r="O174" s="54">
        <v>80</v>
      </c>
      <c r="P174" s="96">
        <v>80</v>
      </c>
      <c r="Q174" s="60">
        <v>110</v>
      </c>
      <c r="R174" s="54">
        <v>80</v>
      </c>
      <c r="S174" s="96">
        <v>100</v>
      </c>
      <c r="T174" s="60">
        <v>110</v>
      </c>
      <c r="U174" s="54">
        <v>100</v>
      </c>
      <c r="V174" s="96">
        <v>110</v>
      </c>
      <c r="W174" s="60">
        <v>110</v>
      </c>
    </row>
    <row r="175" spans="2:23" ht="11.25">
      <c r="B175" s="81"/>
      <c r="C175" s="130" t="s">
        <v>1047</v>
      </c>
      <c r="D175" s="131"/>
      <c r="E175" s="131">
        <f t="shared" si="22"/>
        <v>110</v>
      </c>
      <c r="F175" s="131">
        <f t="shared" si="22"/>
        <v>90</v>
      </c>
      <c r="G175" s="131">
        <f t="shared" si="22"/>
        <v>130</v>
      </c>
      <c r="H175" s="131"/>
      <c r="I175" s="131"/>
      <c r="J175" s="131" t="s">
        <v>3327</v>
      </c>
      <c r="K175" s="82"/>
      <c r="M175" t="s">
        <v>1042</v>
      </c>
      <c r="N175">
        <v>5</v>
      </c>
      <c r="O175" s="54">
        <v>110</v>
      </c>
      <c r="P175" s="96">
        <v>90</v>
      </c>
      <c r="Q175" s="60">
        <v>130</v>
      </c>
      <c r="R175" s="54">
        <v>80</v>
      </c>
      <c r="S175" s="96">
        <v>100</v>
      </c>
      <c r="T175" s="60">
        <v>110</v>
      </c>
      <c r="U175" s="54">
        <v>100</v>
      </c>
      <c r="V175" s="96">
        <v>125</v>
      </c>
      <c r="W175" s="60">
        <v>120</v>
      </c>
    </row>
    <row r="176" spans="2:23" ht="11.25">
      <c r="B176" s="81"/>
      <c r="C176" s="130" t="s">
        <v>4086</v>
      </c>
      <c r="D176" s="131"/>
      <c r="E176" s="131">
        <f t="shared" si="22"/>
        <v>90</v>
      </c>
      <c r="F176" s="131">
        <f t="shared" si="22"/>
        <v>70</v>
      </c>
      <c r="G176" s="131">
        <f t="shared" si="22"/>
        <v>80</v>
      </c>
      <c r="H176" s="131"/>
      <c r="I176" s="131"/>
      <c r="J176" s="131" t="s">
        <v>3328</v>
      </c>
      <c r="K176" s="82"/>
      <c r="M176" t="s">
        <v>4086</v>
      </c>
      <c r="N176">
        <v>6</v>
      </c>
      <c r="O176" s="54">
        <v>90</v>
      </c>
      <c r="P176" s="96">
        <v>70</v>
      </c>
      <c r="Q176" s="60">
        <v>80</v>
      </c>
      <c r="R176" s="54">
        <v>100</v>
      </c>
      <c r="S176" s="96">
        <v>90</v>
      </c>
      <c r="T176" s="60">
        <v>80</v>
      </c>
      <c r="U176" s="54">
        <v>110</v>
      </c>
      <c r="V176" s="96">
        <v>110</v>
      </c>
      <c r="W176" s="60">
        <v>100</v>
      </c>
    </row>
    <row r="177" spans="1:25" ht="11.25">
      <c r="B177" s="81"/>
      <c r="C177" s="130" t="s">
        <v>1046</v>
      </c>
      <c r="D177" s="131"/>
      <c r="E177" s="131">
        <f t="shared" si="22"/>
        <v>70</v>
      </c>
      <c r="F177" s="131">
        <f t="shared" si="22"/>
        <v>70</v>
      </c>
      <c r="G177" s="131">
        <f t="shared" si="22"/>
        <v>100</v>
      </c>
      <c r="H177" s="131"/>
      <c r="I177" s="131"/>
      <c r="J177" s="131" t="s">
        <v>3732</v>
      </c>
      <c r="K177" s="82"/>
      <c r="M177" t="s">
        <v>1043</v>
      </c>
      <c r="N177">
        <v>7</v>
      </c>
      <c r="O177" s="54">
        <v>70</v>
      </c>
      <c r="P177" s="96">
        <v>70</v>
      </c>
      <c r="Q177" s="60">
        <v>100</v>
      </c>
      <c r="R177" s="54">
        <v>110</v>
      </c>
      <c r="S177" s="96">
        <v>90</v>
      </c>
      <c r="T177" s="60">
        <v>90</v>
      </c>
      <c r="U177" s="54">
        <v>120</v>
      </c>
      <c r="V177" s="96">
        <v>100</v>
      </c>
      <c r="W177" s="60">
        <v>100</v>
      </c>
    </row>
    <row r="178" spans="1:25" ht="11.25">
      <c r="B178" s="81"/>
      <c r="C178" s="130" t="s">
        <v>1052</v>
      </c>
      <c r="D178" s="131"/>
      <c r="E178" s="131">
        <f t="shared" si="22"/>
        <v>70</v>
      </c>
      <c r="F178" s="131">
        <f t="shared" si="22"/>
        <v>50</v>
      </c>
      <c r="G178" s="131">
        <f t="shared" si="22"/>
        <v>70</v>
      </c>
      <c r="H178" s="131"/>
      <c r="I178" s="131"/>
      <c r="J178" s="131" t="s">
        <v>3733</v>
      </c>
      <c r="K178" s="82"/>
      <c r="M178" s="141" t="s">
        <v>4082</v>
      </c>
      <c r="N178">
        <v>8</v>
      </c>
      <c r="O178" s="514">
        <v>70</v>
      </c>
      <c r="P178" s="149">
        <v>50</v>
      </c>
      <c r="Q178" s="280">
        <v>70</v>
      </c>
      <c r="R178" s="514">
        <v>100</v>
      </c>
      <c r="S178" s="149">
        <v>60</v>
      </c>
      <c r="T178" s="280">
        <v>70</v>
      </c>
      <c r="U178" s="514">
        <v>100</v>
      </c>
      <c r="V178" s="149">
        <v>80</v>
      </c>
      <c r="W178" s="280">
        <v>80</v>
      </c>
    </row>
    <row r="179" spans="1:25" ht="11.25">
      <c r="B179" s="81"/>
      <c r="C179" s="130" t="s">
        <v>1147</v>
      </c>
      <c r="D179" s="131"/>
      <c r="E179" s="131">
        <f t="shared" si="22"/>
        <v>90</v>
      </c>
      <c r="F179" s="131">
        <f t="shared" si="22"/>
        <v>80</v>
      </c>
      <c r="G179" s="131">
        <f t="shared" si="22"/>
        <v>70</v>
      </c>
      <c r="H179" s="131"/>
      <c r="I179" s="131"/>
      <c r="J179" s="131" t="s">
        <v>3734</v>
      </c>
      <c r="K179" s="82"/>
      <c r="M179" t="s">
        <v>1044</v>
      </c>
      <c r="N179">
        <v>9</v>
      </c>
      <c r="O179" s="54">
        <v>90</v>
      </c>
      <c r="P179" s="96">
        <v>80</v>
      </c>
      <c r="Q179" s="60">
        <v>70</v>
      </c>
      <c r="R179" s="54">
        <v>90</v>
      </c>
      <c r="S179" s="96">
        <v>80</v>
      </c>
      <c r="T179" s="60">
        <v>60</v>
      </c>
      <c r="U179" s="54">
        <v>80</v>
      </c>
      <c r="V179" s="96">
        <v>80</v>
      </c>
      <c r="W179" s="60">
        <v>70</v>
      </c>
    </row>
    <row r="180" spans="1:25" ht="11.25">
      <c r="B180" s="81"/>
      <c r="C180" s="130" t="s">
        <v>3544</v>
      </c>
      <c r="D180" s="131"/>
      <c r="E180" s="131">
        <f t="shared" si="22"/>
        <v>60</v>
      </c>
      <c r="F180" s="131">
        <f t="shared" si="22"/>
        <v>80</v>
      </c>
      <c r="G180" s="131">
        <f t="shared" si="22"/>
        <v>50</v>
      </c>
      <c r="H180" s="131"/>
      <c r="I180" s="131"/>
      <c r="J180" s="131" t="s">
        <v>3735</v>
      </c>
      <c r="K180" s="82"/>
      <c r="M180" t="s">
        <v>3544</v>
      </c>
      <c r="N180">
        <v>10</v>
      </c>
      <c r="O180" s="56">
        <v>60</v>
      </c>
      <c r="P180" s="57">
        <v>80</v>
      </c>
      <c r="Q180" s="61">
        <v>50</v>
      </c>
      <c r="R180" s="56">
        <v>60</v>
      </c>
      <c r="S180" s="57">
        <v>70</v>
      </c>
      <c r="T180" s="61">
        <v>60</v>
      </c>
      <c r="U180" s="56">
        <v>70</v>
      </c>
      <c r="V180" s="57">
        <v>90</v>
      </c>
      <c r="W180" s="61">
        <v>60</v>
      </c>
    </row>
    <row r="181" spans="1:25" ht="12" thickBot="1">
      <c r="B181" s="83"/>
      <c r="C181" s="84"/>
      <c r="D181" s="84"/>
      <c r="E181" s="84"/>
      <c r="F181" s="84"/>
      <c r="G181" s="84"/>
      <c r="H181" s="84"/>
      <c r="I181" s="84"/>
      <c r="J181" s="84"/>
      <c r="K181" s="85"/>
    </row>
    <row r="182" spans="1:25" ht="11.25">
      <c r="B182" s="18"/>
      <c r="C182" s="18"/>
      <c r="D182" s="18"/>
      <c r="E182" s="18"/>
      <c r="F182" s="18"/>
      <c r="G182" s="18"/>
      <c r="H182" s="18"/>
      <c r="I182" s="18"/>
      <c r="J182" s="18"/>
      <c r="K182" s="18"/>
    </row>
    <row r="183" spans="1:25" ht="11.25">
      <c r="A183" s="2" t="str">
        <f>DataNameProd4 &amp; " Data"</f>
        <v>Industry 3 Data</v>
      </c>
      <c r="B183" s="18"/>
      <c r="C183" s="18"/>
      <c r="D183" s="18"/>
      <c r="E183" s="18"/>
      <c r="F183" s="18"/>
      <c r="G183" s="18"/>
      <c r="H183" s="18"/>
      <c r="I183" s="18"/>
      <c r="J183" s="18"/>
      <c r="K183" s="18"/>
      <c r="S183">
        <v>1</v>
      </c>
      <c r="V183">
        <v>2</v>
      </c>
      <c r="Y183">
        <v>3</v>
      </c>
    </row>
    <row r="184" spans="1:25" ht="11.25">
      <c r="A184" s="2"/>
      <c r="C184" s="2">
        <v>-2</v>
      </c>
      <c r="D184" s="2">
        <v>-1</v>
      </c>
      <c r="E184" s="2">
        <v>0</v>
      </c>
      <c r="F184" s="2">
        <v>1</v>
      </c>
      <c r="G184" s="2">
        <v>2</v>
      </c>
      <c r="H184" s="2">
        <v>3</v>
      </c>
      <c r="I184" s="2">
        <v>4</v>
      </c>
      <c r="J184" s="2">
        <v>5</v>
      </c>
    </row>
    <row r="185" spans="1:25" ht="11.25">
      <c r="B185" t="str">
        <f>DataNameProd4</f>
        <v>Industry 3</v>
      </c>
      <c r="C185" s="132">
        <f t="shared" ref="C185:J185" si="23">xxProd4BaseUnits</f>
        <v>3</v>
      </c>
      <c r="D185" s="132">
        <f t="shared" si="23"/>
        <v>3</v>
      </c>
      <c r="E185" s="132">
        <f t="shared" si="23"/>
        <v>3</v>
      </c>
      <c r="F185" s="132">
        <f t="shared" si="23"/>
        <v>3</v>
      </c>
      <c r="G185" s="132">
        <f t="shared" si="23"/>
        <v>3</v>
      </c>
      <c r="H185" s="132">
        <f t="shared" si="23"/>
        <v>3</v>
      </c>
      <c r="I185" s="132">
        <f t="shared" si="23"/>
        <v>3</v>
      </c>
      <c r="J185" s="132">
        <f t="shared" si="23"/>
        <v>3</v>
      </c>
      <c r="K185" t="s">
        <v>63</v>
      </c>
    </row>
    <row r="186" spans="1:25" ht="11.25">
      <c r="B186" t="str">
        <f>DataNameProd4 &amp; " " &amp; DataNameProd4Seg1 &amp; " Units"</f>
        <v>Industry 3 Horizontal 1 Units</v>
      </c>
      <c r="C186" s="129">
        <v>1</v>
      </c>
      <c r="D186" s="129">
        <v>1</v>
      </c>
      <c r="E186" s="129">
        <v>1</v>
      </c>
      <c r="F186" s="129">
        <v>1</v>
      </c>
      <c r="G186" s="129">
        <v>1</v>
      </c>
      <c r="H186" s="129">
        <v>1</v>
      </c>
      <c r="I186" s="129">
        <v>1</v>
      </c>
      <c r="J186" s="129">
        <v>1</v>
      </c>
      <c r="K186" t="s">
        <v>64</v>
      </c>
    </row>
    <row r="187" spans="1:25" ht="11.25">
      <c r="B187" t="str">
        <f>DataNameProd4 &amp; " " &amp; DataNameProd4Seg2 &amp; " Units"</f>
        <v>Industry 3 Horizontal 2 Units</v>
      </c>
      <c r="C187" s="129">
        <v>1</v>
      </c>
      <c r="D187" s="129">
        <v>1</v>
      </c>
      <c r="E187" s="129">
        <v>1</v>
      </c>
      <c r="F187" s="129">
        <v>1</v>
      </c>
      <c r="G187" s="129">
        <v>1</v>
      </c>
      <c r="H187" s="129">
        <v>1</v>
      </c>
      <c r="I187" s="129">
        <v>1</v>
      </c>
      <c r="J187" s="129">
        <v>1</v>
      </c>
      <c r="K187" t="s">
        <v>65</v>
      </c>
    </row>
    <row r="188" spans="1:25" ht="11.25">
      <c r="B188" t="str">
        <f>DataNameProd4 &amp; " " &amp; DataNameProd4Seg3 &amp; " Units"</f>
        <v>Industry 3 Horizontal 3 Units</v>
      </c>
      <c r="C188" s="129">
        <v>1</v>
      </c>
      <c r="D188" s="129">
        <v>1</v>
      </c>
      <c r="E188" s="129">
        <v>1</v>
      </c>
      <c r="F188" s="129">
        <v>1</v>
      </c>
      <c r="G188" s="129">
        <v>1</v>
      </c>
      <c r="H188" s="129">
        <v>1</v>
      </c>
      <c r="I188" s="129">
        <v>1</v>
      </c>
      <c r="J188" s="129">
        <v>1</v>
      </c>
      <c r="K188" t="s">
        <v>66</v>
      </c>
    </row>
    <row r="189" spans="1:25" ht="11.25">
      <c r="C189" s="129"/>
      <c r="D189" s="129"/>
      <c r="E189" s="129"/>
      <c r="F189" s="129"/>
      <c r="G189" s="129"/>
      <c r="H189" s="129"/>
      <c r="I189" s="129"/>
      <c r="J189" s="129"/>
      <c r="K189" t="s">
        <v>67</v>
      </c>
    </row>
    <row r="190" spans="1:25" ht="11.25">
      <c r="C190" s="129"/>
      <c r="D190" s="129"/>
      <c r="E190" s="129"/>
      <c r="F190" s="129"/>
      <c r="G190" s="129"/>
      <c r="H190" s="129"/>
      <c r="I190" s="129"/>
      <c r="J190" s="129"/>
      <c r="K190" t="s">
        <v>68</v>
      </c>
    </row>
    <row r="191" spans="1:25" ht="11.25">
      <c r="C191" s="14"/>
      <c r="D191" s="14"/>
      <c r="E191" s="14"/>
      <c r="F191" s="14"/>
      <c r="G191" s="14"/>
      <c r="H191" s="14"/>
      <c r="I191" s="14"/>
      <c r="J191" s="14"/>
    </row>
    <row r="192" spans="1:25" ht="11.25">
      <c r="B192" t="s">
        <v>3939</v>
      </c>
      <c r="C192" s="274">
        <f>C185/xxNumOfTeams</f>
        <v>0.6</v>
      </c>
      <c r="D192" s="274">
        <f t="shared" ref="D192:J192" si="24">D185/xxNumOfTeams</f>
        <v>0.6</v>
      </c>
      <c r="E192" s="274">
        <f t="shared" si="24"/>
        <v>0.6</v>
      </c>
      <c r="F192" s="274">
        <f t="shared" si="24"/>
        <v>0.6</v>
      </c>
      <c r="G192" s="274">
        <f t="shared" si="24"/>
        <v>0.6</v>
      </c>
      <c r="H192" s="274">
        <f t="shared" si="24"/>
        <v>0.6</v>
      </c>
      <c r="I192" s="274">
        <f t="shared" si="24"/>
        <v>0.6</v>
      </c>
      <c r="J192" s="274">
        <f t="shared" si="24"/>
        <v>0.6</v>
      </c>
      <c r="O192" s="1528" t="s">
        <v>839</v>
      </c>
      <c r="P192" s="1529"/>
      <c r="Q192" s="1530"/>
      <c r="R192" s="1528" t="s">
        <v>839</v>
      </c>
      <c r="S192" s="1529"/>
      <c r="T192" s="1530"/>
      <c r="U192" s="1528" t="s">
        <v>839</v>
      </c>
      <c r="V192" s="1529"/>
      <c r="W192" s="1530"/>
    </row>
    <row r="193" spans="1:23" ht="12" thickBot="1">
      <c r="C193" s="10"/>
      <c r="D193" s="10"/>
      <c r="E193" s="10"/>
      <c r="F193" s="10"/>
      <c r="G193" s="10"/>
      <c r="H193" s="10"/>
      <c r="I193" s="10"/>
      <c r="J193" s="10"/>
      <c r="O193" s="54" t="s">
        <v>840</v>
      </c>
      <c r="P193" s="18" t="s">
        <v>841</v>
      </c>
      <c r="Q193" s="60" t="s">
        <v>842</v>
      </c>
      <c r="R193" s="54" t="s">
        <v>840</v>
      </c>
      <c r="S193" s="18" t="s">
        <v>841</v>
      </c>
      <c r="T193" s="60" t="s">
        <v>842</v>
      </c>
      <c r="U193" s="54" t="s">
        <v>840</v>
      </c>
      <c r="V193" s="18" t="s">
        <v>841</v>
      </c>
      <c r="W193" s="60" t="s">
        <v>842</v>
      </c>
    </row>
    <row r="194" spans="1:23">
      <c r="B194" s="127" t="s">
        <v>910</v>
      </c>
      <c r="C194" s="113"/>
      <c r="D194" s="113"/>
      <c r="E194" s="442">
        <v>2</v>
      </c>
      <c r="F194" s="442">
        <v>1</v>
      </c>
      <c r="G194" s="442">
        <v>0</v>
      </c>
      <c r="H194" s="113"/>
      <c r="I194" s="113"/>
      <c r="J194" s="113"/>
      <c r="K194" s="114"/>
      <c r="M194" s="508" t="s">
        <v>189</v>
      </c>
      <c r="O194" s="512" t="s">
        <v>1076</v>
      </c>
      <c r="P194" s="513" t="s">
        <v>1077</v>
      </c>
      <c r="Q194" s="510" t="s">
        <v>1078</v>
      </c>
      <c r="R194" s="512" t="s">
        <v>2580</v>
      </c>
      <c r="S194" s="513" t="s">
        <v>2217</v>
      </c>
      <c r="T194" s="510" t="s">
        <v>2218</v>
      </c>
      <c r="U194" s="512" t="s">
        <v>2576</v>
      </c>
      <c r="V194" s="513" t="s">
        <v>2577</v>
      </c>
      <c r="W194" s="510" t="s">
        <v>2606</v>
      </c>
    </row>
    <row r="195" spans="1:23">
      <c r="B195" s="81"/>
      <c r="C195" s="36" t="str">
        <f>DataNameProd4</f>
        <v>Industry 3</v>
      </c>
      <c r="D195" s="36"/>
      <c r="E195" s="36" t="s">
        <v>636</v>
      </c>
      <c r="F195" s="36" t="s">
        <v>637</v>
      </c>
      <c r="G195" s="36" t="s">
        <v>638</v>
      </c>
      <c r="H195" s="36" t="s">
        <v>639</v>
      </c>
      <c r="I195" s="36" t="s">
        <v>4062</v>
      </c>
      <c r="J195" s="18"/>
      <c r="K195" s="82"/>
      <c r="M195" s="508" t="s">
        <v>2578</v>
      </c>
      <c r="O195" s="512">
        <v>400</v>
      </c>
      <c r="P195" s="513">
        <v>500</v>
      </c>
      <c r="Q195" s="510">
        <v>150</v>
      </c>
      <c r="R195" s="512">
        <v>600</v>
      </c>
      <c r="S195" s="513">
        <v>500</v>
      </c>
      <c r="T195" s="510">
        <v>300</v>
      </c>
      <c r="U195" s="512">
        <v>500</v>
      </c>
      <c r="V195" s="511">
        <v>700</v>
      </c>
      <c r="W195" s="510">
        <v>400</v>
      </c>
    </row>
    <row r="196" spans="1:23" ht="11.25">
      <c r="B196" s="81"/>
      <c r="C196" s="130" t="s">
        <v>2578</v>
      </c>
      <c r="D196" s="131"/>
      <c r="E196" s="131">
        <f t="shared" ref="E196:G205" si="25">INDEX($O196:$W196,IF(xxYear=0,3,(xxYear*3))-(E$144))</f>
        <v>70</v>
      </c>
      <c r="F196" s="131">
        <f t="shared" si="25"/>
        <v>110</v>
      </c>
      <c r="G196" s="131">
        <f t="shared" si="25"/>
        <v>70</v>
      </c>
      <c r="H196" s="131"/>
      <c r="I196" s="131"/>
      <c r="J196" s="131" t="s">
        <v>3108</v>
      </c>
      <c r="K196" s="82"/>
      <c r="M196" t="s">
        <v>2365</v>
      </c>
      <c r="N196">
        <v>1</v>
      </c>
      <c r="O196" s="54">
        <v>70</v>
      </c>
      <c r="P196" s="96">
        <v>110</v>
      </c>
      <c r="Q196" s="60">
        <v>70</v>
      </c>
      <c r="R196" s="54">
        <v>80</v>
      </c>
      <c r="S196" s="96">
        <v>95</v>
      </c>
      <c r="T196" s="60">
        <v>70</v>
      </c>
      <c r="U196" s="54">
        <v>70</v>
      </c>
      <c r="V196" s="96">
        <v>80</v>
      </c>
      <c r="W196" s="60">
        <v>70</v>
      </c>
    </row>
    <row r="197" spans="1:23" ht="11.25">
      <c r="B197" s="81"/>
      <c r="C197" s="130" t="s">
        <v>4087</v>
      </c>
      <c r="D197" s="131"/>
      <c r="E197" s="131">
        <f t="shared" si="25"/>
        <v>110</v>
      </c>
      <c r="F197" s="131">
        <f t="shared" si="25"/>
        <v>80</v>
      </c>
      <c r="G197" s="131">
        <f t="shared" si="25"/>
        <v>120</v>
      </c>
      <c r="H197" s="131"/>
      <c r="I197" s="131"/>
      <c r="J197" s="131" t="s">
        <v>3109</v>
      </c>
      <c r="K197" s="82"/>
      <c r="M197" t="s">
        <v>843</v>
      </c>
      <c r="N197">
        <v>2</v>
      </c>
      <c r="O197" s="54">
        <v>110</v>
      </c>
      <c r="P197" s="96">
        <v>80</v>
      </c>
      <c r="Q197" s="60">
        <v>120</v>
      </c>
      <c r="R197" s="54">
        <v>110</v>
      </c>
      <c r="S197" s="96">
        <v>100</v>
      </c>
      <c r="T197" s="60">
        <v>120</v>
      </c>
      <c r="U197" s="54">
        <v>80</v>
      </c>
      <c r="V197" s="96">
        <v>70</v>
      </c>
      <c r="W197" s="60">
        <v>90</v>
      </c>
    </row>
    <row r="198" spans="1:23" ht="11.25">
      <c r="B198" s="81"/>
      <c r="C198" s="130" t="s">
        <v>4085</v>
      </c>
      <c r="D198" s="131"/>
      <c r="E198" s="131">
        <f t="shared" si="25"/>
        <v>100</v>
      </c>
      <c r="F198" s="131">
        <f t="shared" si="25"/>
        <v>70</v>
      </c>
      <c r="G198" s="131">
        <f t="shared" si="25"/>
        <v>80</v>
      </c>
      <c r="H198" s="131"/>
      <c r="I198" s="131"/>
      <c r="J198" s="131" t="s">
        <v>3110</v>
      </c>
      <c r="K198" s="82"/>
      <c r="M198" t="s">
        <v>4085</v>
      </c>
      <c r="N198">
        <v>3</v>
      </c>
      <c r="O198" s="54">
        <v>100</v>
      </c>
      <c r="P198" s="96">
        <v>70</v>
      </c>
      <c r="Q198" s="60">
        <v>80</v>
      </c>
      <c r="R198" s="54">
        <v>70</v>
      </c>
      <c r="S198" s="96">
        <v>80</v>
      </c>
      <c r="T198" s="60">
        <v>80</v>
      </c>
      <c r="U198" s="54">
        <v>70</v>
      </c>
      <c r="V198" s="96">
        <v>80</v>
      </c>
      <c r="W198" s="60">
        <v>100</v>
      </c>
    </row>
    <row r="199" spans="1:23" ht="11.25">
      <c r="B199" s="81"/>
      <c r="C199" s="130" t="s">
        <v>1045</v>
      </c>
      <c r="D199" s="131"/>
      <c r="E199" s="131">
        <f t="shared" si="25"/>
        <v>70</v>
      </c>
      <c r="F199" s="131">
        <f t="shared" si="25"/>
        <v>90</v>
      </c>
      <c r="G199" s="131">
        <f t="shared" si="25"/>
        <v>100</v>
      </c>
      <c r="H199" s="131"/>
      <c r="I199" s="131"/>
      <c r="J199" s="131" t="s">
        <v>1561</v>
      </c>
      <c r="K199" s="82"/>
      <c r="M199" t="s">
        <v>1041</v>
      </c>
      <c r="N199">
        <v>4</v>
      </c>
      <c r="O199" s="54">
        <v>70</v>
      </c>
      <c r="P199" s="96">
        <v>90</v>
      </c>
      <c r="Q199" s="60">
        <v>100</v>
      </c>
      <c r="R199" s="54">
        <v>90</v>
      </c>
      <c r="S199" s="96">
        <v>100</v>
      </c>
      <c r="T199" s="60">
        <v>90</v>
      </c>
      <c r="U199" s="54">
        <v>70</v>
      </c>
      <c r="V199" s="96">
        <v>90</v>
      </c>
      <c r="W199" s="60">
        <v>110</v>
      </c>
    </row>
    <row r="200" spans="1:23" ht="11.25">
      <c r="B200" s="81"/>
      <c r="C200" s="130" t="s">
        <v>1047</v>
      </c>
      <c r="D200" s="131"/>
      <c r="E200" s="131">
        <f t="shared" si="25"/>
        <v>110</v>
      </c>
      <c r="F200" s="131">
        <f t="shared" si="25"/>
        <v>100</v>
      </c>
      <c r="G200" s="131">
        <f t="shared" si="25"/>
        <v>110</v>
      </c>
      <c r="H200" s="131"/>
      <c r="I200" s="131"/>
      <c r="J200" s="131" t="s">
        <v>1946</v>
      </c>
      <c r="K200" s="82"/>
      <c r="M200" t="s">
        <v>1042</v>
      </c>
      <c r="N200">
        <v>5</v>
      </c>
      <c r="O200" s="54">
        <v>110</v>
      </c>
      <c r="P200" s="96">
        <v>100</v>
      </c>
      <c r="Q200" s="60">
        <v>110</v>
      </c>
      <c r="R200" s="54">
        <v>100</v>
      </c>
      <c r="S200" s="96">
        <v>100</v>
      </c>
      <c r="T200" s="60">
        <v>110</v>
      </c>
      <c r="U200" s="54">
        <v>90</v>
      </c>
      <c r="V200" s="96">
        <v>100</v>
      </c>
      <c r="W200" s="60">
        <v>130</v>
      </c>
    </row>
    <row r="201" spans="1:23" ht="11.25">
      <c r="B201" s="81"/>
      <c r="C201" s="130" t="s">
        <v>4086</v>
      </c>
      <c r="D201" s="131"/>
      <c r="E201" s="131">
        <f t="shared" si="25"/>
        <v>80</v>
      </c>
      <c r="F201" s="131">
        <f t="shared" si="25"/>
        <v>60</v>
      </c>
      <c r="G201" s="131">
        <f t="shared" si="25"/>
        <v>70</v>
      </c>
      <c r="H201" s="131"/>
      <c r="I201" s="131"/>
      <c r="J201" s="131" t="s">
        <v>1947</v>
      </c>
      <c r="K201" s="82"/>
      <c r="M201" t="s">
        <v>4086</v>
      </c>
      <c r="N201">
        <v>6</v>
      </c>
      <c r="O201" s="54">
        <v>80</v>
      </c>
      <c r="P201" s="96">
        <v>60</v>
      </c>
      <c r="Q201" s="60">
        <v>70</v>
      </c>
      <c r="R201" s="54">
        <v>80</v>
      </c>
      <c r="S201" s="96">
        <v>70</v>
      </c>
      <c r="T201" s="60">
        <v>80</v>
      </c>
      <c r="U201" s="54">
        <v>90</v>
      </c>
      <c r="V201" s="96">
        <v>120</v>
      </c>
      <c r="W201" s="60">
        <v>80</v>
      </c>
    </row>
    <row r="202" spans="1:23" ht="11.25">
      <c r="B202" s="81"/>
      <c r="C202" s="130" t="s">
        <v>1046</v>
      </c>
      <c r="D202" s="131"/>
      <c r="E202" s="131">
        <f t="shared" si="25"/>
        <v>70</v>
      </c>
      <c r="F202" s="131">
        <f t="shared" si="25"/>
        <v>100</v>
      </c>
      <c r="G202" s="131">
        <f t="shared" si="25"/>
        <v>70</v>
      </c>
      <c r="H202" s="131"/>
      <c r="I202" s="131"/>
      <c r="J202" s="131" t="s">
        <v>1948</v>
      </c>
      <c r="K202" s="82"/>
      <c r="M202" t="s">
        <v>1043</v>
      </c>
      <c r="N202">
        <v>7</v>
      </c>
      <c r="O202" s="54">
        <v>70</v>
      </c>
      <c r="P202" s="96">
        <v>100</v>
      </c>
      <c r="Q202" s="60">
        <v>70</v>
      </c>
      <c r="R202" s="54">
        <v>90</v>
      </c>
      <c r="S202" s="96">
        <v>80</v>
      </c>
      <c r="T202" s="60">
        <v>90</v>
      </c>
      <c r="U202" s="54">
        <v>100</v>
      </c>
      <c r="V202" s="96">
        <v>120</v>
      </c>
      <c r="W202" s="60">
        <v>70</v>
      </c>
    </row>
    <row r="203" spans="1:23" ht="11.25">
      <c r="B203" s="81"/>
      <c r="C203" s="130" t="s">
        <v>1052</v>
      </c>
      <c r="D203" s="131"/>
      <c r="E203" s="131">
        <f t="shared" si="25"/>
        <v>100</v>
      </c>
      <c r="F203" s="131">
        <f t="shared" si="25"/>
        <v>100</v>
      </c>
      <c r="G203" s="131">
        <f t="shared" si="25"/>
        <v>100</v>
      </c>
      <c r="H203" s="131"/>
      <c r="I203" s="131"/>
      <c r="J203" s="131" t="s">
        <v>1949</v>
      </c>
      <c r="K203" s="82"/>
      <c r="M203" s="141" t="s">
        <v>4082</v>
      </c>
      <c r="N203">
        <v>8</v>
      </c>
      <c r="O203" s="514">
        <v>100</v>
      </c>
      <c r="P203" s="149">
        <v>100</v>
      </c>
      <c r="Q203" s="280">
        <v>100</v>
      </c>
      <c r="R203" s="514">
        <v>90</v>
      </c>
      <c r="S203" s="149">
        <v>60</v>
      </c>
      <c r="T203" s="280">
        <v>70</v>
      </c>
      <c r="U203" s="514">
        <v>70</v>
      </c>
      <c r="V203" s="149">
        <v>70</v>
      </c>
      <c r="W203" s="280">
        <v>90</v>
      </c>
    </row>
    <row r="204" spans="1:23" ht="11.25">
      <c r="B204" s="81"/>
      <c r="C204" s="130" t="s">
        <v>1147</v>
      </c>
      <c r="D204" s="131"/>
      <c r="E204" s="131">
        <f t="shared" si="25"/>
        <v>90</v>
      </c>
      <c r="F204" s="131">
        <f t="shared" si="25"/>
        <v>80</v>
      </c>
      <c r="G204" s="131">
        <f t="shared" si="25"/>
        <v>90</v>
      </c>
      <c r="H204" s="131"/>
      <c r="I204" s="131"/>
      <c r="J204" s="131" t="s">
        <v>1950</v>
      </c>
      <c r="K204" s="82"/>
      <c r="M204" t="s">
        <v>1044</v>
      </c>
      <c r="N204">
        <v>9</v>
      </c>
      <c r="O204" s="54">
        <v>90</v>
      </c>
      <c r="P204" s="96">
        <v>80</v>
      </c>
      <c r="Q204" s="60">
        <v>90</v>
      </c>
      <c r="R204" s="54">
        <v>70</v>
      </c>
      <c r="S204" s="96">
        <v>80</v>
      </c>
      <c r="T204" s="60">
        <v>70</v>
      </c>
      <c r="U204" s="54">
        <v>50</v>
      </c>
      <c r="V204" s="96">
        <v>90</v>
      </c>
      <c r="W204" s="60">
        <v>70</v>
      </c>
    </row>
    <row r="205" spans="1:23" ht="11.25">
      <c r="B205" s="81"/>
      <c r="C205" s="130" t="s">
        <v>3544</v>
      </c>
      <c r="D205" s="131"/>
      <c r="E205" s="131">
        <f t="shared" si="25"/>
        <v>70</v>
      </c>
      <c r="F205" s="131">
        <f t="shared" si="25"/>
        <v>80</v>
      </c>
      <c r="G205" s="131">
        <f t="shared" si="25"/>
        <v>80</v>
      </c>
      <c r="H205" s="131"/>
      <c r="I205" s="131"/>
      <c r="J205" s="131" t="s">
        <v>1951</v>
      </c>
      <c r="K205" s="82"/>
      <c r="M205" t="s">
        <v>3544</v>
      </c>
      <c r="N205">
        <v>10</v>
      </c>
      <c r="O205" s="56">
        <v>70</v>
      </c>
      <c r="P205" s="57">
        <v>80</v>
      </c>
      <c r="Q205" s="61">
        <v>80</v>
      </c>
      <c r="R205" s="56">
        <v>70</v>
      </c>
      <c r="S205" s="57">
        <v>90</v>
      </c>
      <c r="T205" s="61">
        <v>70</v>
      </c>
      <c r="U205" s="56">
        <v>70</v>
      </c>
      <c r="V205" s="57">
        <v>60</v>
      </c>
      <c r="W205" s="61">
        <v>70</v>
      </c>
    </row>
    <row r="206" spans="1:23" ht="12" thickBot="1">
      <c r="B206" s="83"/>
      <c r="C206" s="84"/>
      <c r="D206" s="84"/>
      <c r="E206" s="84"/>
      <c r="F206" s="84"/>
      <c r="G206" s="84"/>
      <c r="H206" s="84"/>
      <c r="I206" s="84"/>
      <c r="J206" s="84"/>
      <c r="K206" s="85"/>
    </row>
    <row r="207" spans="1:23" ht="11.25">
      <c r="B207" s="18"/>
      <c r="C207" s="18"/>
      <c r="D207" s="18"/>
      <c r="E207" s="18"/>
      <c r="F207" s="18"/>
      <c r="G207" s="18"/>
      <c r="H207" s="18"/>
      <c r="I207" s="18"/>
      <c r="J207" s="18"/>
      <c r="K207" s="18"/>
    </row>
    <row r="208" spans="1:23" ht="11.25">
      <c r="A208" s="2" t="str">
        <f>DataNameProd5 &amp; " Data"</f>
        <v>Employees Data</v>
      </c>
      <c r="B208" s="18"/>
      <c r="C208" s="18"/>
      <c r="D208" s="18"/>
      <c r="E208" s="129">
        <v>1.05</v>
      </c>
      <c r="F208" s="18"/>
      <c r="G208" s="18"/>
      <c r="H208" s="18"/>
      <c r="I208" s="18"/>
      <c r="J208" s="18"/>
      <c r="K208" s="18"/>
    </row>
    <row r="209" spans="1:11" ht="11.25">
      <c r="A209" s="2"/>
      <c r="C209" s="2">
        <v>-2</v>
      </c>
      <c r="D209" s="2">
        <v>-1</v>
      </c>
      <c r="E209" s="2">
        <v>0</v>
      </c>
      <c r="F209" s="2">
        <v>1</v>
      </c>
      <c r="G209" s="2">
        <v>2</v>
      </c>
      <c r="H209" s="2">
        <v>3</v>
      </c>
      <c r="I209" s="2">
        <v>4</v>
      </c>
      <c r="J209" s="2">
        <v>5</v>
      </c>
    </row>
    <row r="210" spans="1:11" ht="11.25">
      <c r="B210" t="str">
        <f>DataNameProd5</f>
        <v>Employees</v>
      </c>
      <c r="C210" s="132">
        <f>D210*0.95</f>
        <v>0</v>
      </c>
      <c r="D210" s="132">
        <f>E210*0.95</f>
        <v>0</v>
      </c>
      <c r="E210" s="132">
        <f>((xxProd5BaseUnits)*2)*1.7</f>
        <v>0</v>
      </c>
      <c r="F210" s="132">
        <f t="shared" ref="F210:J211" si="26">E210*1.05</f>
        <v>0</v>
      </c>
      <c r="G210" s="132">
        <f t="shared" si="26"/>
        <v>0</v>
      </c>
      <c r="H210" s="132">
        <f t="shared" si="26"/>
        <v>0</v>
      </c>
      <c r="I210" s="132">
        <f t="shared" si="26"/>
        <v>0</v>
      </c>
      <c r="J210" s="132">
        <f t="shared" si="26"/>
        <v>0</v>
      </c>
      <c r="K210" t="s">
        <v>3613</v>
      </c>
    </row>
    <row r="211" spans="1:11" ht="11.25">
      <c r="B211" t="str">
        <f>DataNameProd5 &amp; " " &amp; DataNameProd5Seg1 &amp; " Units"</f>
        <v>Employees Offshore Units</v>
      </c>
      <c r="C211" s="129">
        <f t="shared" ref="C211:D215" si="27">D211/1.05</f>
        <v>1230.4761904761901</v>
      </c>
      <c r="D211" s="129">
        <f t="shared" si="27"/>
        <v>1291.9999999999998</v>
      </c>
      <c r="E211" s="129">
        <v>1356.6</v>
      </c>
      <c r="F211" s="129">
        <f>E211*1.25</f>
        <v>1695.75</v>
      </c>
      <c r="G211" s="129">
        <f>F211*1.25</f>
        <v>2119.6875</v>
      </c>
      <c r="H211" s="129">
        <f>G211*1.25</f>
        <v>2649.609375</v>
      </c>
      <c r="I211" s="129">
        <f t="shared" si="26"/>
        <v>2782.08984375</v>
      </c>
      <c r="J211" s="129">
        <f t="shared" si="26"/>
        <v>2921.1943359375</v>
      </c>
      <c r="K211" t="s">
        <v>1314</v>
      </c>
    </row>
    <row r="212" spans="1:11" ht="11.25">
      <c r="B212" t="str">
        <f>DataNameProd5 &amp; " " &amp; DataNameProd5Seg2 &amp; " Units"</f>
        <v>Employees Technical Units</v>
      </c>
      <c r="C212" s="129">
        <f t="shared" si="27"/>
        <v>925.17006802721073</v>
      </c>
      <c r="D212" s="129">
        <f t="shared" si="27"/>
        <v>971.42857142857133</v>
      </c>
      <c r="E212" s="129">
        <v>1020</v>
      </c>
      <c r="F212" s="129">
        <f t="shared" ref="F212:G214" si="28">E212*1.25</f>
        <v>1275</v>
      </c>
      <c r="G212" s="129">
        <f t="shared" si="28"/>
        <v>1593.75</v>
      </c>
      <c r="H212" s="129">
        <f t="shared" ref="H212" si="29">G212*1.25</f>
        <v>1992.1875</v>
      </c>
      <c r="I212" s="129">
        <f t="shared" ref="I212:J215" si="30">H212*1.05</f>
        <v>2091.796875</v>
      </c>
      <c r="J212" s="129">
        <f t="shared" si="30"/>
        <v>2196.38671875</v>
      </c>
      <c r="K212" t="s">
        <v>1315</v>
      </c>
    </row>
    <row r="213" spans="1:11" ht="11.25">
      <c r="B213" t="str">
        <f>DataNameProd5 &amp; " " &amp; DataNameProd5Seg3 &amp; " Units"</f>
        <v>Employees PM / Analyst Units</v>
      </c>
      <c r="C213" s="129">
        <f t="shared" si="27"/>
        <v>616.78004535147386</v>
      </c>
      <c r="D213" s="129">
        <f t="shared" si="27"/>
        <v>647.61904761904759</v>
      </c>
      <c r="E213" s="129">
        <v>680</v>
      </c>
      <c r="F213" s="129">
        <f t="shared" si="28"/>
        <v>850</v>
      </c>
      <c r="G213" s="129">
        <f t="shared" si="28"/>
        <v>1062.5</v>
      </c>
      <c r="H213" s="129">
        <f t="shared" ref="H213" si="31">G213*1.25</f>
        <v>1328.125</v>
      </c>
      <c r="I213" s="129">
        <f t="shared" si="30"/>
        <v>1394.53125</v>
      </c>
      <c r="J213" s="129">
        <f t="shared" si="30"/>
        <v>1464.2578125</v>
      </c>
      <c r="K213" t="s">
        <v>1316</v>
      </c>
    </row>
    <row r="214" spans="1:11" ht="11.25">
      <c r="B214" t="str">
        <f>DataNameProd5 &amp; " " &amp; DataNameProd5Seg4 &amp; " Units"</f>
        <v>Employees Director / EM Units</v>
      </c>
      <c r="C214" s="129">
        <f t="shared" si="27"/>
        <v>92.517006802721085</v>
      </c>
      <c r="D214" s="129">
        <f t="shared" si="27"/>
        <v>97.142857142857139</v>
      </c>
      <c r="E214" s="129">
        <v>102</v>
      </c>
      <c r="F214" s="129">
        <f t="shared" si="28"/>
        <v>127.5</v>
      </c>
      <c r="G214" s="129">
        <f t="shared" si="28"/>
        <v>159.375</v>
      </c>
      <c r="H214" s="129">
        <f t="shared" ref="H214" si="32">G214*1.25</f>
        <v>199.21875</v>
      </c>
      <c r="I214" s="129">
        <f t="shared" si="30"/>
        <v>209.1796875</v>
      </c>
      <c r="J214" s="129">
        <f t="shared" si="30"/>
        <v>219.638671875</v>
      </c>
      <c r="K214" t="s">
        <v>1317</v>
      </c>
    </row>
    <row r="215" spans="1:11" ht="11.25">
      <c r="B215" t="str">
        <f>DataNameProd5 &amp; " " &amp; DataNameProd5Seg5 &amp; " Units"</f>
        <v>Employees Sales Units</v>
      </c>
      <c r="C215" s="129">
        <f t="shared" si="27"/>
        <v>878.91156462585025</v>
      </c>
      <c r="D215" s="129">
        <f t="shared" si="27"/>
        <v>922.85714285714278</v>
      </c>
      <c r="E215" s="129">
        <v>969</v>
      </c>
      <c r="F215" s="1193">
        <v>500</v>
      </c>
      <c r="G215" s="1193">
        <v>600</v>
      </c>
      <c r="H215" s="129">
        <f t="shared" ref="H215" si="33">G215*1.25</f>
        <v>750</v>
      </c>
      <c r="I215" s="129">
        <f t="shared" si="30"/>
        <v>787.5</v>
      </c>
      <c r="J215" s="129">
        <f t="shared" si="30"/>
        <v>826.875</v>
      </c>
      <c r="K215" t="s">
        <v>4328</v>
      </c>
    </row>
    <row r="216" spans="1:11" ht="11.25">
      <c r="B216" t="str">
        <f>DataNameProd5 &amp; " " &amp; DataNameProd5Seg6 &amp; " Units"</f>
        <v>Employees Sr. Exec. SI &amp; T Units</v>
      </c>
      <c r="C216" s="129">
        <f t="shared" ref="C216:D219" si="34">D216/1.05</f>
        <v>61.678004535147387</v>
      </c>
      <c r="D216" s="129">
        <f t="shared" si="34"/>
        <v>64.761904761904759</v>
      </c>
      <c r="E216" s="129">
        <v>68</v>
      </c>
      <c r="F216" s="129">
        <f t="shared" ref="F216:G218" si="35">E216*1.2</f>
        <v>81.599999999999994</v>
      </c>
      <c r="G216" s="129">
        <f t="shared" si="35"/>
        <v>97.919999999999987</v>
      </c>
      <c r="H216" s="129">
        <f t="shared" ref="F216:J219" si="36">G216*1.05</f>
        <v>102.81599999999999</v>
      </c>
      <c r="I216" s="129">
        <f t="shared" si="36"/>
        <v>107.95679999999999</v>
      </c>
      <c r="J216" s="129">
        <f t="shared" si="36"/>
        <v>113.35463999999999</v>
      </c>
      <c r="K216" t="s">
        <v>3398</v>
      </c>
    </row>
    <row r="217" spans="1:11" ht="11.25">
      <c r="B217" t="str">
        <f>DataNameProd5 &amp; " " &amp; DataNameProd5Seg7 &amp; " Units"</f>
        <v>Employees Sr. Mgr/Mgr SI &amp; T Units</v>
      </c>
      <c r="C217" s="129">
        <f t="shared" si="34"/>
        <v>616.78004535147386</v>
      </c>
      <c r="D217" s="129">
        <f t="shared" si="34"/>
        <v>647.61904761904759</v>
      </c>
      <c r="E217" s="129">
        <v>680</v>
      </c>
      <c r="F217" s="129">
        <f t="shared" si="35"/>
        <v>816</v>
      </c>
      <c r="G217" s="129">
        <f t="shared" si="35"/>
        <v>979.19999999999993</v>
      </c>
      <c r="H217" s="129">
        <f t="shared" si="36"/>
        <v>1028.1600000000001</v>
      </c>
      <c r="I217" s="129">
        <f t="shared" si="36"/>
        <v>1079.5680000000002</v>
      </c>
      <c r="J217" s="129">
        <f t="shared" si="36"/>
        <v>1133.5464000000002</v>
      </c>
      <c r="K217" t="s">
        <v>3399</v>
      </c>
    </row>
    <row r="218" spans="1:11" ht="11.25">
      <c r="B218" t="str">
        <f>DataNameProd5 &amp; " " &amp; DataNameProd5Seg8 &amp; " Units"</f>
        <v>Employees Consultant/Anlyst SI &amp; T Units</v>
      </c>
      <c r="C218" s="129">
        <f t="shared" si="34"/>
        <v>1017.6870748299318</v>
      </c>
      <c r="D218" s="129">
        <f t="shared" si="34"/>
        <v>1068.5714285714284</v>
      </c>
      <c r="E218" s="129">
        <v>1122</v>
      </c>
      <c r="F218" s="129">
        <f t="shared" si="35"/>
        <v>1346.3999999999999</v>
      </c>
      <c r="G218" s="129">
        <f t="shared" si="35"/>
        <v>1615.6799999999998</v>
      </c>
      <c r="H218" s="129">
        <f t="shared" si="36"/>
        <v>1696.4639999999999</v>
      </c>
      <c r="I218" s="129">
        <f t="shared" si="36"/>
        <v>1781.2872</v>
      </c>
      <c r="J218" s="129">
        <f t="shared" si="36"/>
        <v>1870.3515600000001</v>
      </c>
      <c r="K218" t="s">
        <v>4386</v>
      </c>
    </row>
    <row r="219" spans="1:11" ht="11.25">
      <c r="C219" s="14">
        <f t="shared" si="34"/>
        <v>0</v>
      </c>
      <c r="D219" s="14">
        <f t="shared" si="34"/>
        <v>0</v>
      </c>
      <c r="E219" s="14"/>
      <c r="F219" s="14">
        <f t="shared" si="36"/>
        <v>0</v>
      </c>
      <c r="G219" s="14">
        <f t="shared" si="36"/>
        <v>0</v>
      </c>
      <c r="H219" s="14">
        <f t="shared" si="36"/>
        <v>0</v>
      </c>
      <c r="I219" s="14">
        <f t="shared" si="36"/>
        <v>0</v>
      </c>
      <c r="J219" s="14">
        <f t="shared" si="36"/>
        <v>0</v>
      </c>
    </row>
    <row r="220" spans="1:11" ht="11.25">
      <c r="B220" t="s">
        <v>3939</v>
      </c>
      <c r="C220" s="11">
        <f>C210/xxNumOfTeams</f>
        <v>0</v>
      </c>
      <c r="D220" s="11">
        <f t="shared" ref="D220:J220" si="37">D210/xxNumOfTeams</f>
        <v>0</v>
      </c>
      <c r="E220" s="11">
        <f t="shared" si="37"/>
        <v>0</v>
      </c>
      <c r="F220" s="11">
        <f t="shared" si="37"/>
        <v>0</v>
      </c>
      <c r="G220" s="11">
        <f t="shared" si="37"/>
        <v>0</v>
      </c>
      <c r="H220" s="11">
        <f t="shared" si="37"/>
        <v>0</v>
      </c>
      <c r="I220" s="11">
        <f t="shared" si="37"/>
        <v>0</v>
      </c>
      <c r="J220" s="11">
        <f t="shared" si="37"/>
        <v>0</v>
      </c>
    </row>
    <row r="221" spans="1:11" ht="12" thickBot="1">
      <c r="C221" s="10"/>
      <c r="D221" s="10"/>
      <c r="E221" s="10"/>
      <c r="F221" s="10"/>
      <c r="G221" s="10"/>
      <c r="H221" s="10"/>
      <c r="I221" s="10"/>
      <c r="J221" s="10"/>
    </row>
    <row r="222" spans="1:11" ht="11.25">
      <c r="B222" s="127" t="s">
        <v>4329</v>
      </c>
      <c r="C222" s="113"/>
      <c r="D222" s="113"/>
      <c r="E222" s="113"/>
      <c r="F222" s="113"/>
      <c r="G222" s="113"/>
      <c r="H222" s="113"/>
      <c r="I222" s="113"/>
      <c r="J222" s="113"/>
      <c r="K222" s="114"/>
    </row>
    <row r="223" spans="1:11" ht="11.25">
      <c r="B223" s="81"/>
      <c r="C223" s="36" t="str">
        <f>DataNameProd5</f>
        <v>Employees</v>
      </c>
      <c r="D223" s="36"/>
      <c r="E223" s="36" t="s">
        <v>5169</v>
      </c>
      <c r="F223" s="36" t="s">
        <v>4705</v>
      </c>
      <c r="G223" s="36" t="s">
        <v>4892</v>
      </c>
      <c r="H223" s="36" t="s">
        <v>4866</v>
      </c>
      <c r="I223" s="36" t="s">
        <v>4696</v>
      </c>
      <c r="J223" s="18"/>
      <c r="K223" s="82"/>
    </row>
    <row r="224" spans="1:11" ht="11.25">
      <c r="B224" s="81"/>
      <c r="C224" s="130" t="s">
        <v>1048</v>
      </c>
      <c r="D224" s="131"/>
      <c r="E224" s="131">
        <v>0</v>
      </c>
      <c r="F224" s="131">
        <v>8</v>
      </c>
      <c r="G224" s="131">
        <v>9</v>
      </c>
      <c r="H224" s="131">
        <v>9</v>
      </c>
      <c r="I224" s="131">
        <v>10</v>
      </c>
      <c r="J224" s="131" t="s">
        <v>4330</v>
      </c>
      <c r="K224" s="82"/>
    </row>
    <row r="225" spans="1:11" ht="11.25">
      <c r="B225" s="81"/>
      <c r="C225" s="130" t="s">
        <v>4500</v>
      </c>
      <c r="D225" s="131"/>
      <c r="E225" s="131">
        <v>0</v>
      </c>
      <c r="F225" s="131">
        <v>7</v>
      </c>
      <c r="G225" s="131">
        <v>7</v>
      </c>
      <c r="H225" s="131">
        <v>7</v>
      </c>
      <c r="I225" s="131">
        <v>5</v>
      </c>
      <c r="J225" s="131" t="s">
        <v>162</v>
      </c>
      <c r="K225" s="82"/>
    </row>
    <row r="226" spans="1:11" ht="11.25">
      <c r="B226" s="81"/>
      <c r="C226" s="130" t="s">
        <v>2719</v>
      </c>
      <c r="D226" s="131"/>
      <c r="E226" s="131">
        <v>0</v>
      </c>
      <c r="F226" s="131">
        <v>8</v>
      </c>
      <c r="G226" s="131">
        <v>7</v>
      </c>
      <c r="H226" s="131">
        <v>8</v>
      </c>
      <c r="I226" s="131">
        <v>8</v>
      </c>
      <c r="J226" s="131" t="s">
        <v>163</v>
      </c>
      <c r="K226" s="82"/>
    </row>
    <row r="227" spans="1:11" ht="11.25">
      <c r="B227" s="81"/>
      <c r="C227" s="130" t="s">
        <v>820</v>
      </c>
      <c r="D227" s="131"/>
      <c r="E227" s="131">
        <v>1</v>
      </c>
      <c r="F227" s="131">
        <v>1</v>
      </c>
      <c r="G227" s="131">
        <v>1</v>
      </c>
      <c r="H227" s="131">
        <v>1</v>
      </c>
      <c r="I227" s="131">
        <v>1</v>
      </c>
      <c r="J227" s="131" t="s">
        <v>164</v>
      </c>
      <c r="K227" s="82"/>
    </row>
    <row r="228" spans="1:11" ht="11.25">
      <c r="B228" s="81"/>
      <c r="C228" s="1074" t="s">
        <v>4868</v>
      </c>
      <c r="D228" s="131"/>
      <c r="E228" s="131">
        <v>0</v>
      </c>
      <c r="F228" s="131">
        <v>0</v>
      </c>
      <c r="G228" s="131">
        <v>0</v>
      </c>
      <c r="H228" s="131">
        <v>8</v>
      </c>
      <c r="I228" s="131">
        <v>0</v>
      </c>
      <c r="J228" s="131" t="s">
        <v>165</v>
      </c>
      <c r="K228" s="82"/>
    </row>
    <row r="229" spans="1:11" ht="11.25">
      <c r="B229" s="81"/>
      <c r="C229" s="1074" t="s">
        <v>4891</v>
      </c>
      <c r="D229" s="131"/>
      <c r="E229" s="131">
        <v>0</v>
      </c>
      <c r="F229" s="131">
        <v>0</v>
      </c>
      <c r="G229" s="131">
        <v>0</v>
      </c>
      <c r="H229" s="131">
        <v>0</v>
      </c>
      <c r="I229" s="131">
        <v>0</v>
      </c>
      <c r="J229" s="131" t="s">
        <v>3940</v>
      </c>
      <c r="K229" s="82"/>
    </row>
    <row r="230" spans="1:11" ht="11.25">
      <c r="B230" s="81"/>
      <c r="C230" s="130" t="s">
        <v>5170</v>
      </c>
      <c r="D230" s="131"/>
      <c r="E230" s="131">
        <v>10</v>
      </c>
      <c r="F230" s="131">
        <v>0</v>
      </c>
      <c r="G230" s="131">
        <v>0</v>
      </c>
      <c r="H230" s="131">
        <v>0</v>
      </c>
      <c r="I230" s="131">
        <v>0</v>
      </c>
      <c r="J230" s="131" t="s">
        <v>3941</v>
      </c>
      <c r="K230" s="82"/>
    </row>
    <row r="231" spans="1:11" ht="11.25">
      <c r="B231" s="81"/>
      <c r="C231" s="130" t="s">
        <v>5171</v>
      </c>
      <c r="D231" s="131"/>
      <c r="E231" s="131">
        <v>10</v>
      </c>
      <c r="F231" s="131">
        <v>0</v>
      </c>
      <c r="G231" s="131">
        <v>0</v>
      </c>
      <c r="H231" s="131">
        <v>0</v>
      </c>
      <c r="I231" s="131">
        <v>0</v>
      </c>
      <c r="J231" s="131" t="s">
        <v>3942</v>
      </c>
      <c r="K231" s="82"/>
    </row>
    <row r="232" spans="1:11" ht="11.25">
      <c r="B232" s="81"/>
      <c r="C232" s="130" t="s">
        <v>5172</v>
      </c>
      <c r="D232" s="131"/>
      <c r="E232" s="131">
        <v>10</v>
      </c>
      <c r="F232" s="131">
        <v>0</v>
      </c>
      <c r="G232" s="131">
        <v>0</v>
      </c>
      <c r="H232" s="131">
        <v>0</v>
      </c>
      <c r="I232" s="131">
        <v>0</v>
      </c>
      <c r="J232" s="131" t="s">
        <v>4303</v>
      </c>
      <c r="K232" s="82"/>
    </row>
    <row r="233" spans="1:11" ht="11.25">
      <c r="B233" s="81"/>
      <c r="C233" s="130" t="s">
        <v>4927</v>
      </c>
      <c r="D233" s="131"/>
      <c r="E233" s="131">
        <v>8</v>
      </c>
      <c r="F233" s="131">
        <v>0</v>
      </c>
      <c r="G233" s="131">
        <v>0</v>
      </c>
      <c r="H233" s="131">
        <v>0</v>
      </c>
      <c r="I233" s="131">
        <v>0</v>
      </c>
      <c r="J233" s="131" t="s">
        <v>4304</v>
      </c>
      <c r="K233" s="82"/>
    </row>
    <row r="234" spans="1:11" ht="12" thickBot="1">
      <c r="B234" s="83"/>
      <c r="C234" s="84"/>
      <c r="D234" s="84"/>
      <c r="E234" s="84"/>
      <c r="F234" s="84"/>
      <c r="G234" s="84"/>
      <c r="H234" s="84"/>
      <c r="I234" s="84"/>
      <c r="J234" s="84"/>
      <c r="K234" s="85"/>
    </row>
    <row r="235" spans="1:11" ht="11.25">
      <c r="B235" s="18"/>
      <c r="C235" s="18"/>
      <c r="D235" s="18"/>
      <c r="E235" s="18"/>
      <c r="F235" s="18"/>
      <c r="G235" s="18"/>
      <c r="H235" s="18"/>
      <c r="I235" s="18"/>
      <c r="J235" s="18"/>
      <c r="K235" s="18"/>
    </row>
    <row r="236" spans="1:11" ht="11.25">
      <c r="A236" s="2" t="str">
        <f>DataNameProd6 &amp; " Data"</f>
        <v>Prod6 Data</v>
      </c>
      <c r="B236" s="18"/>
      <c r="C236" s="18"/>
      <c r="D236" s="18"/>
      <c r="E236" s="18"/>
      <c r="F236" s="18"/>
      <c r="G236" s="18"/>
      <c r="H236" s="18"/>
      <c r="I236" s="18"/>
      <c r="J236" s="18"/>
      <c r="K236" s="18"/>
    </row>
    <row r="237" spans="1:11" ht="11.25">
      <c r="A237" s="2"/>
      <c r="C237" s="2">
        <v>-2</v>
      </c>
      <c r="D237" s="2">
        <v>-1</v>
      </c>
      <c r="E237" s="2">
        <v>0</v>
      </c>
      <c r="F237" s="2">
        <v>1</v>
      </c>
      <c r="G237" s="2">
        <v>2</v>
      </c>
      <c r="H237" s="2">
        <v>3</v>
      </c>
      <c r="I237" s="2">
        <v>4</v>
      </c>
      <c r="J237" s="2">
        <v>5</v>
      </c>
    </row>
    <row r="238" spans="1:11" ht="11.25">
      <c r="B238" t="str">
        <f>DataNameProd6</f>
        <v>Prod6</v>
      </c>
      <c r="C238" s="132">
        <f>D238*0.95</f>
        <v>0</v>
      </c>
      <c r="D238" s="132">
        <f>E238*0.95</f>
        <v>0</v>
      </c>
      <c r="E238" s="132">
        <f>xxProd6BaseUnits</f>
        <v>0</v>
      </c>
      <c r="F238" s="132">
        <f>E238*1.05</f>
        <v>0</v>
      </c>
      <c r="G238" s="132">
        <f>F238*1.05</f>
        <v>0</v>
      </c>
      <c r="H238" s="132">
        <f>G238*1.05</f>
        <v>0</v>
      </c>
      <c r="I238" s="132">
        <f>H238*1.05</f>
        <v>0</v>
      </c>
      <c r="J238" s="132">
        <f>I238*1.05</f>
        <v>0</v>
      </c>
      <c r="K238" t="s">
        <v>537</v>
      </c>
    </row>
    <row r="239" spans="1:11" ht="11.25">
      <c r="B239" t="str">
        <f>DataNameProd6 &amp; " " &amp; DataNameProd6Seg1 &amp; " Units"</f>
        <v>Prod6 Product 6 Segment 1 Units</v>
      </c>
      <c r="C239" s="129">
        <f t="shared" ref="C239:J239" si="38">C238</f>
        <v>0</v>
      </c>
      <c r="D239" s="129">
        <f t="shared" si="38"/>
        <v>0</v>
      </c>
      <c r="E239" s="129">
        <f t="shared" si="38"/>
        <v>0</v>
      </c>
      <c r="F239" s="129">
        <f t="shared" si="38"/>
        <v>0</v>
      </c>
      <c r="G239" s="129">
        <f t="shared" si="38"/>
        <v>0</v>
      </c>
      <c r="H239" s="129">
        <f t="shared" si="38"/>
        <v>0</v>
      </c>
      <c r="I239" s="129">
        <f t="shared" si="38"/>
        <v>0</v>
      </c>
      <c r="J239" s="129">
        <f t="shared" si="38"/>
        <v>0</v>
      </c>
      <c r="K239" t="s">
        <v>538</v>
      </c>
    </row>
    <row r="240" spans="1:11" ht="11.25">
      <c r="B240" t="str">
        <f>DataNameProd6 &amp; " " &amp; DataNameProd6Seg2 &amp; " Units"</f>
        <v>Prod6 Product 6 Segment 2 Units</v>
      </c>
      <c r="C240" s="129"/>
      <c r="D240" s="129"/>
      <c r="E240" s="129"/>
      <c r="F240" s="129"/>
      <c r="G240" s="129"/>
      <c r="H240" s="129"/>
      <c r="I240" s="129"/>
      <c r="J240" s="129"/>
      <c r="K240" t="s">
        <v>539</v>
      </c>
    </row>
    <row r="241" spans="2:11" ht="11.25">
      <c r="B241" t="str">
        <f>DataNameProd6 &amp; " " &amp; DataNameProd6Seg3 &amp; " Units"</f>
        <v>Prod6 Product 6 Segment 3 Units</v>
      </c>
      <c r="C241" s="129"/>
      <c r="D241" s="129"/>
      <c r="E241" s="129"/>
      <c r="F241" s="129"/>
      <c r="G241" s="129"/>
      <c r="H241" s="129"/>
      <c r="I241" s="129"/>
      <c r="J241" s="129"/>
      <c r="K241" t="s">
        <v>1881</v>
      </c>
    </row>
    <row r="242" spans="2:11" ht="11.25">
      <c r="B242" t="str">
        <f>DataNameProd6 &amp; " " &amp; DataNameProd6Seg4 &amp; " Units"</f>
        <v>Prod6 Product 6 Segment 4 Units</v>
      </c>
      <c r="C242" s="129"/>
      <c r="D242" s="129"/>
      <c r="E242" s="129"/>
      <c r="F242" s="129"/>
      <c r="G242" s="129"/>
      <c r="H242" s="129"/>
      <c r="I242" s="129"/>
      <c r="J242" s="129"/>
      <c r="K242" t="s">
        <v>1882</v>
      </c>
    </row>
    <row r="243" spans="2:11" ht="11.25">
      <c r="B243" t="str">
        <f>DataNameProd6 &amp; " " &amp; DataNameProd6Seg5 &amp; " Units"</f>
        <v>Prod6 Product 6 Segment 5 Units</v>
      </c>
      <c r="C243" s="129"/>
      <c r="D243" s="129"/>
      <c r="E243" s="129"/>
      <c r="F243" s="129"/>
      <c r="G243" s="129"/>
      <c r="H243" s="129"/>
      <c r="I243" s="129"/>
      <c r="J243" s="129"/>
      <c r="K243" t="s">
        <v>1883</v>
      </c>
    </row>
    <row r="244" spans="2:11" ht="11.25">
      <c r="C244" s="14"/>
      <c r="D244" s="14"/>
      <c r="E244" s="14"/>
      <c r="F244" s="14"/>
      <c r="G244" s="14"/>
      <c r="H244" s="14"/>
      <c r="I244" s="14"/>
      <c r="J244" s="14"/>
    </row>
    <row r="245" spans="2:11" ht="11.25">
      <c r="B245" t="s">
        <v>3939</v>
      </c>
      <c r="C245" s="11">
        <f>C238/xxNumOfTeams</f>
        <v>0</v>
      </c>
      <c r="D245" s="11">
        <f t="shared" ref="D245:J245" si="39">D238/xxNumOfTeams</f>
        <v>0</v>
      </c>
      <c r="E245" s="11">
        <f t="shared" si="39"/>
        <v>0</v>
      </c>
      <c r="F245" s="11">
        <f t="shared" si="39"/>
        <v>0</v>
      </c>
      <c r="G245" s="11">
        <f t="shared" si="39"/>
        <v>0</v>
      </c>
      <c r="H245" s="11">
        <f t="shared" si="39"/>
        <v>0</v>
      </c>
      <c r="I245" s="11">
        <f t="shared" si="39"/>
        <v>0</v>
      </c>
      <c r="J245" s="11">
        <f t="shared" si="39"/>
        <v>0</v>
      </c>
    </row>
    <row r="246" spans="2:11" ht="12" thickBot="1">
      <c r="C246" s="10"/>
      <c r="D246" s="10"/>
      <c r="E246" s="10"/>
      <c r="F246" s="10"/>
      <c r="G246" s="10"/>
      <c r="H246" s="10"/>
      <c r="I246" s="10"/>
      <c r="J246" s="10"/>
    </row>
    <row r="247" spans="2:11" ht="11.25">
      <c r="B247" s="127" t="s">
        <v>1884</v>
      </c>
      <c r="C247" s="113"/>
      <c r="D247" s="113"/>
      <c r="E247" s="113"/>
      <c r="F247" s="113"/>
      <c r="G247" s="113"/>
      <c r="H247" s="113"/>
      <c r="I247" s="113"/>
      <c r="J247" s="113"/>
      <c r="K247" s="114"/>
    </row>
    <row r="248" spans="2:11" ht="11.25">
      <c r="B248" s="81"/>
      <c r="C248" s="36" t="str">
        <f>DataNameProd6</f>
        <v>Prod6</v>
      </c>
      <c r="D248" s="36"/>
      <c r="E248" s="36" t="s">
        <v>636</v>
      </c>
      <c r="F248" s="36" t="s">
        <v>637</v>
      </c>
      <c r="G248" s="36" t="s">
        <v>638</v>
      </c>
      <c r="H248" s="36" t="s">
        <v>639</v>
      </c>
      <c r="I248" s="36" t="s">
        <v>4062</v>
      </c>
      <c r="J248" s="18"/>
      <c r="K248" s="82"/>
    </row>
    <row r="249" spans="2:11" ht="11.25">
      <c r="B249" s="81"/>
      <c r="C249" s="130" t="s">
        <v>2365</v>
      </c>
      <c r="D249" s="131"/>
      <c r="E249" s="131">
        <v>10</v>
      </c>
      <c r="F249" s="131">
        <v>8</v>
      </c>
      <c r="G249" s="131">
        <v>9</v>
      </c>
      <c r="H249" s="131">
        <v>9</v>
      </c>
      <c r="I249" s="131">
        <v>10</v>
      </c>
      <c r="J249" s="131" t="s">
        <v>2993</v>
      </c>
      <c r="K249" s="82"/>
    </row>
    <row r="250" spans="2:11" ht="11.25">
      <c r="B250" s="81"/>
      <c r="C250" s="130" t="s">
        <v>46</v>
      </c>
      <c r="D250" s="131"/>
      <c r="E250" s="131">
        <v>8</v>
      </c>
      <c r="F250" s="131">
        <v>7</v>
      </c>
      <c r="G250" s="131">
        <v>7</v>
      </c>
      <c r="H250" s="131">
        <v>7</v>
      </c>
      <c r="I250" s="131">
        <v>5</v>
      </c>
      <c r="J250" s="131" t="s">
        <v>1412</v>
      </c>
      <c r="K250" s="82"/>
    </row>
    <row r="251" spans="2:11" ht="11.25">
      <c r="B251" s="81"/>
      <c r="C251" s="130" t="s">
        <v>79</v>
      </c>
      <c r="D251" s="131"/>
      <c r="E251" s="131">
        <v>5</v>
      </c>
      <c r="F251" s="131">
        <v>8</v>
      </c>
      <c r="G251" s="131">
        <v>7</v>
      </c>
      <c r="H251" s="131">
        <v>8</v>
      </c>
      <c r="I251" s="131">
        <v>8</v>
      </c>
      <c r="J251" s="131" t="s">
        <v>1413</v>
      </c>
      <c r="K251" s="82"/>
    </row>
    <row r="252" spans="2:11" ht="11.25">
      <c r="B252" s="81"/>
      <c r="C252" s="130" t="s">
        <v>631</v>
      </c>
      <c r="D252" s="131"/>
      <c r="E252" s="131">
        <v>1</v>
      </c>
      <c r="F252" s="131">
        <v>1</v>
      </c>
      <c r="G252" s="131">
        <v>1</v>
      </c>
      <c r="H252" s="131">
        <v>1</v>
      </c>
      <c r="I252" s="131">
        <v>1</v>
      </c>
      <c r="J252" s="131" t="s">
        <v>1414</v>
      </c>
      <c r="K252" s="82"/>
    </row>
    <row r="253" spans="2:11" ht="11.25">
      <c r="B253" s="81"/>
      <c r="C253" s="130" t="s">
        <v>632</v>
      </c>
      <c r="D253" s="131"/>
      <c r="E253" s="131">
        <v>1</v>
      </c>
      <c r="F253" s="131">
        <v>1</v>
      </c>
      <c r="G253" s="131">
        <v>1</v>
      </c>
      <c r="H253" s="131">
        <v>1</v>
      </c>
      <c r="I253" s="131">
        <v>1</v>
      </c>
      <c r="J253" s="131" t="s">
        <v>1415</v>
      </c>
      <c r="K253" s="82"/>
    </row>
    <row r="254" spans="2:11" ht="11.25">
      <c r="B254" s="81"/>
      <c r="C254" s="130" t="s">
        <v>633</v>
      </c>
      <c r="D254" s="131"/>
      <c r="E254" s="131">
        <v>1</v>
      </c>
      <c r="F254" s="131">
        <v>1</v>
      </c>
      <c r="G254" s="131">
        <v>1</v>
      </c>
      <c r="H254" s="131">
        <v>1</v>
      </c>
      <c r="I254" s="131">
        <v>1</v>
      </c>
      <c r="J254" s="131" t="s">
        <v>1416</v>
      </c>
      <c r="K254" s="82"/>
    </row>
    <row r="255" spans="2:11" ht="11.25">
      <c r="B255" s="81"/>
      <c r="C255" s="130" t="s">
        <v>1468</v>
      </c>
      <c r="D255" s="131"/>
      <c r="E255" s="131">
        <v>1</v>
      </c>
      <c r="F255" s="131">
        <v>1</v>
      </c>
      <c r="G255" s="131">
        <v>1</v>
      </c>
      <c r="H255" s="131">
        <v>1</v>
      </c>
      <c r="I255" s="131">
        <v>1</v>
      </c>
      <c r="J255" s="131" t="s">
        <v>1417</v>
      </c>
      <c r="K255" s="82"/>
    </row>
    <row r="256" spans="2:11" ht="11.25">
      <c r="B256" s="81"/>
      <c r="C256" s="130" t="s">
        <v>3231</v>
      </c>
      <c r="D256" s="131"/>
      <c r="E256" s="131">
        <v>1</v>
      </c>
      <c r="F256" s="131">
        <v>1</v>
      </c>
      <c r="G256" s="131">
        <v>1</v>
      </c>
      <c r="H256" s="131">
        <v>1</v>
      </c>
      <c r="I256" s="131">
        <v>1</v>
      </c>
      <c r="J256" s="131" t="s">
        <v>1418</v>
      </c>
      <c r="K256" s="82"/>
    </row>
    <row r="257" spans="1:11" ht="11.25">
      <c r="B257" s="81"/>
      <c r="C257" s="130" t="s">
        <v>3232</v>
      </c>
      <c r="D257" s="131"/>
      <c r="E257" s="131">
        <v>1</v>
      </c>
      <c r="F257" s="131">
        <v>1</v>
      </c>
      <c r="G257" s="131">
        <v>1</v>
      </c>
      <c r="H257" s="131">
        <v>1</v>
      </c>
      <c r="I257" s="131">
        <v>1</v>
      </c>
      <c r="J257" s="131" t="s">
        <v>1419</v>
      </c>
      <c r="K257" s="82"/>
    </row>
    <row r="258" spans="1:11" ht="11.25"/>
    <row r="259" spans="1:11" ht="11.25"/>
    <row r="260" spans="1:11" ht="11.25">
      <c r="B260" s="18"/>
      <c r="C260" s="18"/>
      <c r="D260" s="18"/>
      <c r="E260" s="18"/>
      <c r="F260" s="18"/>
      <c r="G260" s="18"/>
      <c r="H260" s="18"/>
      <c r="I260" s="18"/>
      <c r="J260" s="18"/>
      <c r="K260" s="18"/>
    </row>
    <row r="261" spans="1:11" ht="11.25">
      <c r="B261" s="18"/>
      <c r="C261" s="18"/>
      <c r="D261" s="18"/>
      <c r="E261" s="18"/>
      <c r="F261" s="18"/>
      <c r="G261" s="18"/>
      <c r="H261" s="18"/>
      <c r="I261" s="18"/>
      <c r="J261" s="18"/>
      <c r="K261" s="18"/>
    </row>
    <row r="262" spans="1:11" ht="11.25">
      <c r="A262" s="2" t="s">
        <v>1305</v>
      </c>
      <c r="B262" s="18"/>
      <c r="C262" s="18"/>
      <c r="D262" s="18"/>
      <c r="E262" s="18"/>
      <c r="F262" s="18"/>
      <c r="G262" s="18"/>
      <c r="H262" s="18"/>
      <c r="I262" s="18"/>
      <c r="J262" s="18"/>
      <c r="K262" s="18"/>
    </row>
    <row r="263" spans="1:11" ht="11.25">
      <c r="B263" s="18" t="s">
        <v>3293</v>
      </c>
      <c r="C263" s="2">
        <v>-2</v>
      </c>
      <c r="D263" s="2">
        <v>-1</v>
      </c>
      <c r="E263" s="2">
        <v>0</v>
      </c>
      <c r="F263" s="2">
        <v>1</v>
      </c>
      <c r="G263" s="2">
        <v>2</v>
      </c>
      <c r="H263" s="2">
        <v>3</v>
      </c>
      <c r="I263" s="2">
        <v>4</v>
      </c>
      <c r="J263" s="2">
        <v>5</v>
      </c>
      <c r="K263" s="18"/>
    </row>
    <row r="264" spans="1:11" ht="11.25">
      <c r="B264" s="232" t="s">
        <v>42</v>
      </c>
      <c r="C264" s="131">
        <v>80000</v>
      </c>
      <c r="D264" s="131">
        <v>80000</v>
      </c>
      <c r="E264" s="131">
        <v>80000</v>
      </c>
      <c r="F264" s="131">
        <v>80000</v>
      </c>
      <c r="G264" s="131">
        <f>1.5*F264</f>
        <v>120000</v>
      </c>
      <c r="H264" s="131">
        <f>0.5*G264</f>
        <v>60000</v>
      </c>
      <c r="I264" s="131">
        <v>60000</v>
      </c>
      <c r="J264" s="131">
        <v>60000</v>
      </c>
      <c r="K264" s="18" t="s">
        <v>1311</v>
      </c>
    </row>
    <row r="265" spans="1:11" ht="11.25">
      <c r="B265" s="232" t="s">
        <v>43</v>
      </c>
      <c r="C265" s="131">
        <v>20000</v>
      </c>
      <c r="D265" s="131">
        <v>20000</v>
      </c>
      <c r="E265" s="131">
        <v>20000</v>
      </c>
      <c r="F265" s="131">
        <v>20000</v>
      </c>
      <c r="G265" s="131">
        <f>1.5*F265</f>
        <v>30000</v>
      </c>
      <c r="H265" s="131">
        <f>0.5*G265</f>
        <v>15000</v>
      </c>
      <c r="I265" s="131">
        <v>15000</v>
      </c>
      <c r="J265" s="131">
        <v>15000</v>
      </c>
      <c r="K265" s="18" t="s">
        <v>1312</v>
      </c>
    </row>
    <row r="266" spans="1:11" ht="11.25">
      <c r="B266" s="390" t="s">
        <v>44</v>
      </c>
      <c r="C266" s="131">
        <v>50000</v>
      </c>
      <c r="D266" s="131">
        <v>50000</v>
      </c>
      <c r="E266" s="131">
        <v>50000</v>
      </c>
      <c r="F266" s="131">
        <v>50000</v>
      </c>
      <c r="G266" s="131">
        <f>1.5*F266</f>
        <v>75000</v>
      </c>
      <c r="H266" s="131">
        <f>0.5*G266</f>
        <v>37500</v>
      </c>
      <c r="I266" s="131">
        <v>37500</v>
      </c>
      <c r="J266" s="131">
        <v>37500</v>
      </c>
      <c r="K266" s="18" t="s">
        <v>1313</v>
      </c>
    </row>
    <row r="267" spans="1:11" ht="11.25">
      <c r="B267" s="18"/>
      <c r="C267" s="18"/>
      <c r="D267" s="18"/>
      <c r="E267" s="18"/>
      <c r="F267" s="18"/>
      <c r="G267" s="18"/>
      <c r="H267" s="18"/>
      <c r="I267" s="18"/>
      <c r="J267" s="18"/>
      <c r="K267" s="18"/>
    </row>
    <row r="268" spans="1:11" ht="11.25">
      <c r="B268" s="18" t="s">
        <v>635</v>
      </c>
    </row>
    <row r="269" spans="1:11" ht="11.25">
      <c r="B269" s="390" t="s">
        <v>942</v>
      </c>
      <c r="C269" s="131">
        <v>1000</v>
      </c>
      <c r="D269" s="131">
        <v>1000</v>
      </c>
      <c r="E269" s="131">
        <v>5000</v>
      </c>
      <c r="F269" s="131">
        <v>8000</v>
      </c>
      <c r="G269" s="131">
        <v>11000</v>
      </c>
      <c r="H269" s="131">
        <v>6000</v>
      </c>
      <c r="I269" s="131">
        <v>6000</v>
      </c>
      <c r="J269" s="131">
        <v>6000</v>
      </c>
      <c r="K269" s="18" t="s">
        <v>2013</v>
      </c>
    </row>
    <row r="270" spans="1:11" ht="11.25">
      <c r="B270" s="390" t="s">
        <v>943</v>
      </c>
      <c r="C270" s="131">
        <v>1000</v>
      </c>
      <c r="D270" s="131">
        <v>1000</v>
      </c>
      <c r="E270" s="131">
        <v>5000</v>
      </c>
      <c r="F270" s="131">
        <v>8000</v>
      </c>
      <c r="G270" s="131">
        <v>11000</v>
      </c>
      <c r="H270" s="131">
        <v>6000</v>
      </c>
      <c r="I270" s="131">
        <v>6000</v>
      </c>
      <c r="J270" s="131">
        <v>6000</v>
      </c>
      <c r="K270" s="18" t="s">
        <v>1268</v>
      </c>
    </row>
    <row r="271" spans="1:11" ht="11.25">
      <c r="B271" s="390" t="s">
        <v>944</v>
      </c>
      <c r="C271" s="131">
        <v>1000</v>
      </c>
      <c r="D271" s="131">
        <v>1000</v>
      </c>
      <c r="E271" s="131">
        <v>5000</v>
      </c>
      <c r="F271" s="131">
        <v>8000</v>
      </c>
      <c r="G271" s="131">
        <v>11000</v>
      </c>
      <c r="H271" s="131">
        <v>6000</v>
      </c>
      <c r="I271" s="131">
        <v>6000</v>
      </c>
      <c r="J271" s="131">
        <v>6000</v>
      </c>
      <c r="K271" s="18" t="s">
        <v>1267</v>
      </c>
    </row>
    <row r="272" spans="1:11" ht="11.25">
      <c r="B272" s="18"/>
      <c r="C272" s="18"/>
      <c r="D272" s="18"/>
      <c r="E272" s="18"/>
      <c r="F272" s="18"/>
      <c r="G272" s="18"/>
      <c r="H272" s="18"/>
      <c r="I272" s="18"/>
      <c r="J272" s="18"/>
      <c r="K272" s="18"/>
    </row>
    <row r="273" spans="1:11" ht="11.25">
      <c r="B273" s="18"/>
      <c r="C273" s="18"/>
      <c r="D273" s="18"/>
      <c r="E273" s="18"/>
      <c r="F273" s="18"/>
      <c r="G273" s="18"/>
      <c r="H273" s="18"/>
      <c r="I273" s="18"/>
      <c r="J273" s="18"/>
    </row>
    <row r="274" spans="1:11" ht="11.25">
      <c r="A274" s="2" t="s">
        <v>3055</v>
      </c>
      <c r="B274" s="18"/>
      <c r="C274" s="2">
        <v>-2</v>
      </c>
      <c r="D274" s="2">
        <v>-1</v>
      </c>
      <c r="E274" s="2">
        <v>0</v>
      </c>
      <c r="F274" s="2">
        <v>1</v>
      </c>
      <c r="G274" s="2">
        <v>2</v>
      </c>
      <c r="H274" s="2">
        <v>3</v>
      </c>
      <c r="I274" s="2">
        <v>4</v>
      </c>
      <c r="J274" s="2">
        <v>5</v>
      </c>
    </row>
    <row r="275" spans="1:11" ht="11.25">
      <c r="B275" t="str">
        <f>DataNameEmp4</f>
        <v>Director / EM</v>
      </c>
      <c r="C275" s="130">
        <v>80</v>
      </c>
      <c r="D275" s="130">
        <v>80</v>
      </c>
      <c r="E275" s="130">
        <v>80</v>
      </c>
      <c r="F275" s="130">
        <v>80</v>
      </c>
      <c r="G275" s="130">
        <v>80</v>
      </c>
      <c r="H275" s="130">
        <v>80</v>
      </c>
      <c r="I275" s="130">
        <v>80</v>
      </c>
      <c r="J275" s="130">
        <v>80</v>
      </c>
      <c r="K275" s="18" t="s">
        <v>3056</v>
      </c>
    </row>
    <row r="276" spans="1:11" ht="11.25">
      <c r="B276" t="str">
        <f>DataNameEmp3</f>
        <v>PM / Analyst</v>
      </c>
      <c r="C276" s="130">
        <v>120</v>
      </c>
      <c r="D276" s="130">
        <v>120</v>
      </c>
      <c r="E276" s="130">
        <v>120</v>
      </c>
      <c r="F276" s="130">
        <v>120</v>
      </c>
      <c r="G276" s="130">
        <v>120</v>
      </c>
      <c r="H276" s="130">
        <v>120</v>
      </c>
      <c r="I276" s="130">
        <v>120</v>
      </c>
      <c r="J276" s="130">
        <v>120</v>
      </c>
      <c r="K276" s="18" t="s">
        <v>375</v>
      </c>
    </row>
    <row r="277" spans="1:11" ht="11.25">
      <c r="B277" t="str">
        <f>DataNameEmp2</f>
        <v>Technical</v>
      </c>
      <c r="C277" s="130">
        <v>120</v>
      </c>
      <c r="D277" s="130">
        <v>120</v>
      </c>
      <c r="E277" s="130">
        <v>120</v>
      </c>
      <c r="F277" s="130">
        <v>120</v>
      </c>
      <c r="G277" s="130">
        <v>120</v>
      </c>
      <c r="H277" s="130">
        <v>120</v>
      </c>
      <c r="I277" s="130">
        <v>120</v>
      </c>
      <c r="J277" s="130">
        <v>120</v>
      </c>
      <c r="K277" s="18" t="s">
        <v>3058</v>
      </c>
    </row>
    <row r="278" spans="1:11" ht="11.25">
      <c r="B278" t="str">
        <f>DataNameEmp1</f>
        <v>Offshore</v>
      </c>
      <c r="C278" s="130">
        <v>120</v>
      </c>
      <c r="D278" s="130">
        <v>120</v>
      </c>
      <c r="E278" s="130">
        <v>120</v>
      </c>
      <c r="F278" s="130">
        <v>120</v>
      </c>
      <c r="G278" s="130">
        <v>120</v>
      </c>
      <c r="H278" s="130">
        <v>120</v>
      </c>
      <c r="I278" s="130">
        <v>120</v>
      </c>
      <c r="J278" s="130">
        <v>120</v>
      </c>
      <c r="K278" s="18" t="s">
        <v>3057</v>
      </c>
    </row>
    <row r="279" spans="1:11" ht="11.25">
      <c r="B279" t="str">
        <f>DataNameEmp6</f>
        <v>Sales</v>
      </c>
      <c r="C279" s="130">
        <v>120</v>
      </c>
      <c r="D279" s="130">
        <v>120</v>
      </c>
      <c r="E279" s="130">
        <v>120</v>
      </c>
      <c r="F279" s="130">
        <v>120</v>
      </c>
      <c r="G279" s="130">
        <v>120</v>
      </c>
      <c r="H279" s="130">
        <v>120</v>
      </c>
      <c r="I279" s="130">
        <v>120</v>
      </c>
      <c r="J279" s="130">
        <v>120</v>
      </c>
      <c r="K279" s="18" t="s">
        <v>376</v>
      </c>
    </row>
    <row r="280" spans="1:11" ht="11.25">
      <c r="B280" s="18"/>
      <c r="C280" s="18">
        <f>SUM(C275:C279)</f>
        <v>560</v>
      </c>
      <c r="D280" s="18">
        <f t="shared" ref="D280:J280" si="40">SUM(D275:D279)</f>
        <v>560</v>
      </c>
      <c r="E280" s="18">
        <f t="shared" si="40"/>
        <v>560</v>
      </c>
      <c r="F280" s="18">
        <f t="shared" si="40"/>
        <v>560</v>
      </c>
      <c r="G280" s="18">
        <f t="shared" si="40"/>
        <v>560</v>
      </c>
      <c r="H280" s="18">
        <f t="shared" si="40"/>
        <v>560</v>
      </c>
      <c r="I280" s="18">
        <f t="shared" si="40"/>
        <v>560</v>
      </c>
      <c r="J280" s="18">
        <f t="shared" si="40"/>
        <v>560</v>
      </c>
      <c r="K280" s="18" t="s">
        <v>385</v>
      </c>
    </row>
    <row r="281" spans="1:11" ht="11.25">
      <c r="B281" s="18"/>
      <c r="C281" s="18"/>
      <c r="D281" s="18"/>
      <c r="E281" s="18"/>
      <c r="F281" s="18"/>
      <c r="G281" s="18"/>
      <c r="H281" s="18"/>
      <c r="I281" s="18"/>
      <c r="J281" s="18"/>
      <c r="K281" s="18"/>
    </row>
    <row r="282" spans="1:11" ht="11.25">
      <c r="A282" s="2" t="s">
        <v>379</v>
      </c>
      <c r="B282" s="18"/>
      <c r="C282" s="2">
        <v>-2</v>
      </c>
      <c r="D282" s="2">
        <v>-1</v>
      </c>
      <c r="E282" s="2">
        <v>0</v>
      </c>
      <c r="F282" s="2">
        <v>1</v>
      </c>
      <c r="G282" s="2">
        <v>2</v>
      </c>
      <c r="H282" s="2">
        <v>3</v>
      </c>
      <c r="I282" s="2">
        <v>4</v>
      </c>
      <c r="J282" s="2">
        <v>5</v>
      </c>
    </row>
    <row r="283" spans="1:11" ht="11.25">
      <c r="B283" t="str">
        <f>DataNameEmp4</f>
        <v>Director / EM</v>
      </c>
      <c r="C283" s="130">
        <v>4250</v>
      </c>
      <c r="D283" s="130">
        <v>4250</v>
      </c>
      <c r="E283" s="130">
        <v>4250</v>
      </c>
      <c r="F283" s="130">
        <v>4250</v>
      </c>
      <c r="G283" s="130">
        <v>4250</v>
      </c>
      <c r="H283" s="130">
        <v>4250</v>
      </c>
      <c r="I283" s="130">
        <v>4250</v>
      </c>
      <c r="J283" s="130">
        <v>4250</v>
      </c>
      <c r="K283" s="18" t="s">
        <v>380</v>
      </c>
    </row>
    <row r="284" spans="1:11" ht="11.25">
      <c r="B284" t="str">
        <f>DataNameEmp3</f>
        <v>PM / Analyst</v>
      </c>
      <c r="C284" s="130">
        <v>4250</v>
      </c>
      <c r="D284" s="130">
        <v>4250</v>
      </c>
      <c r="E284" s="130">
        <v>4250</v>
      </c>
      <c r="F284" s="130">
        <v>4250</v>
      </c>
      <c r="G284" s="130">
        <v>4250</v>
      </c>
      <c r="H284" s="130">
        <v>4250</v>
      </c>
      <c r="I284" s="130">
        <v>4250</v>
      </c>
      <c r="J284" s="130">
        <v>4250</v>
      </c>
      <c r="K284" s="18" t="s">
        <v>381</v>
      </c>
    </row>
    <row r="285" spans="1:11" ht="11.25">
      <c r="B285" t="str">
        <f>DataNameEmp2</f>
        <v>Technical</v>
      </c>
      <c r="C285" s="130">
        <v>4250</v>
      </c>
      <c r="D285" s="130">
        <v>4250</v>
      </c>
      <c r="E285" s="130">
        <v>4250</v>
      </c>
      <c r="F285" s="130">
        <v>4250</v>
      </c>
      <c r="G285" s="130">
        <v>4250</v>
      </c>
      <c r="H285" s="130">
        <v>4250</v>
      </c>
      <c r="I285" s="130">
        <v>4250</v>
      </c>
      <c r="J285" s="130">
        <v>4250</v>
      </c>
      <c r="K285" s="18" t="s">
        <v>382</v>
      </c>
    </row>
    <row r="286" spans="1:11" ht="11.25">
      <c r="B286" t="str">
        <f>DataNameEmp1</f>
        <v>Offshore</v>
      </c>
      <c r="C286" s="130">
        <v>1000</v>
      </c>
      <c r="D286" s="130">
        <v>1000</v>
      </c>
      <c r="E286" s="130">
        <v>1000</v>
      </c>
      <c r="F286" s="130">
        <v>1000</v>
      </c>
      <c r="G286" s="130">
        <v>1000</v>
      </c>
      <c r="H286" s="130">
        <v>1000</v>
      </c>
      <c r="I286" s="130">
        <v>1000</v>
      </c>
      <c r="J286" s="130">
        <v>1000</v>
      </c>
      <c r="K286" s="18" t="s">
        <v>383</v>
      </c>
    </row>
    <row r="287" spans="1:11" ht="11.25">
      <c r="B287" t="str">
        <f>DataNameEmp6</f>
        <v>Sales</v>
      </c>
      <c r="C287" s="130">
        <v>1500</v>
      </c>
      <c r="D287" s="130">
        <v>1500</v>
      </c>
      <c r="E287" s="130">
        <v>1500</v>
      </c>
      <c r="F287" s="130">
        <v>1500</v>
      </c>
      <c r="G287" s="130">
        <v>1500</v>
      </c>
      <c r="H287" s="130">
        <v>1500</v>
      </c>
      <c r="I287" s="130">
        <v>1500</v>
      </c>
      <c r="J287" s="130">
        <v>1500</v>
      </c>
      <c r="K287" s="18" t="s">
        <v>384</v>
      </c>
    </row>
    <row r="288" spans="1:11" ht="11.25">
      <c r="B288" s="18"/>
      <c r="C288" s="18"/>
      <c r="D288" s="18"/>
      <c r="E288" s="18"/>
      <c r="F288" s="18"/>
      <c r="G288" s="18"/>
      <c r="H288" s="18"/>
      <c r="I288" s="18"/>
      <c r="J288" s="18"/>
    </row>
    <row r="289" spans="1:20" ht="11.25">
      <c r="B289" s="18"/>
      <c r="C289" s="18"/>
      <c r="D289" s="18"/>
      <c r="E289" s="18"/>
      <c r="F289" s="18"/>
      <c r="G289" s="18"/>
      <c r="H289" s="18"/>
      <c r="I289" s="18"/>
      <c r="J289" s="18"/>
    </row>
    <row r="290" spans="1:20" ht="11.25">
      <c r="B290" s="18"/>
      <c r="C290" s="18"/>
      <c r="D290" s="18"/>
      <c r="E290" s="18"/>
      <c r="F290" s="18"/>
      <c r="G290" s="18"/>
      <c r="H290" s="18"/>
      <c r="I290" s="18"/>
      <c r="J290" s="18"/>
    </row>
    <row r="291" spans="1:20" ht="11.25">
      <c r="A291" s="2" t="s">
        <v>1510</v>
      </c>
      <c r="C291" s="2">
        <f>C99</f>
        <v>-2</v>
      </c>
      <c r="D291" s="2">
        <f t="shared" ref="D291:J291" si="41">D99</f>
        <v>-1</v>
      </c>
      <c r="E291" s="2">
        <f t="shared" si="41"/>
        <v>0</v>
      </c>
      <c r="F291" s="2">
        <f t="shared" si="41"/>
        <v>1</v>
      </c>
      <c r="G291" s="2">
        <f t="shared" si="41"/>
        <v>2</v>
      </c>
      <c r="H291" s="2">
        <f t="shared" si="41"/>
        <v>3</v>
      </c>
      <c r="I291" s="2">
        <f t="shared" si="41"/>
        <v>4</v>
      </c>
      <c r="J291" s="2">
        <f t="shared" si="41"/>
        <v>5</v>
      </c>
    </row>
    <row r="292" spans="1:20" ht="11.25">
      <c r="B292" t="s">
        <v>630</v>
      </c>
      <c r="C292" s="11">
        <f t="shared" ref="C292:J292" si="42">IF(xxYear&gt;=C$291,C$87,HLOOKUP(C$291,$E$78:$J$83,xxYear+2,TRUE))</f>
        <v>90</v>
      </c>
      <c r="D292" s="11">
        <f t="shared" si="42"/>
        <v>95</v>
      </c>
      <c r="E292" s="11">
        <f t="shared" si="42"/>
        <v>100</v>
      </c>
      <c r="F292" s="11">
        <f t="shared" si="42"/>
        <v>110</v>
      </c>
      <c r="G292" s="11">
        <f t="shared" si="42"/>
        <v>102</v>
      </c>
      <c r="H292" s="11">
        <f t="shared" si="42"/>
        <v>102</v>
      </c>
      <c r="I292" s="11">
        <f t="shared" si="42"/>
        <v>102</v>
      </c>
      <c r="J292" s="11">
        <f t="shared" si="42"/>
        <v>102</v>
      </c>
    </row>
    <row r="293" spans="1:20" ht="11.25">
      <c r="B293" t="s">
        <v>360</v>
      </c>
      <c r="C293" s="11">
        <f t="shared" ref="C293:J293" si="43">IF(xxYear&gt;=C$291,C$100,HLOOKUP(C$291,$E$91:$J$96,xxYear+2,TRUE))</f>
        <v>100</v>
      </c>
      <c r="D293" s="11">
        <f t="shared" si="43"/>
        <v>100</v>
      </c>
      <c r="E293" s="11">
        <f t="shared" si="43"/>
        <v>100</v>
      </c>
      <c r="F293" s="11">
        <f t="shared" si="43"/>
        <v>101</v>
      </c>
      <c r="G293" s="11">
        <f t="shared" si="43"/>
        <v>202</v>
      </c>
      <c r="H293" s="11">
        <f t="shared" si="43"/>
        <v>202</v>
      </c>
      <c r="I293" s="11">
        <f t="shared" si="43"/>
        <v>202</v>
      </c>
      <c r="J293" s="11">
        <f t="shared" si="43"/>
        <v>202</v>
      </c>
    </row>
    <row r="294" spans="1:20" ht="11.25"/>
    <row r="295" spans="1:20" ht="11.25"/>
    <row r="296" spans="1:20" ht="11.25">
      <c r="A296" s="2" t="s">
        <v>4174</v>
      </c>
    </row>
    <row r="297" spans="1:20" ht="12" thickBot="1">
      <c r="C297" t="s">
        <v>4207</v>
      </c>
      <c r="D297" t="s">
        <v>1572</v>
      </c>
      <c r="E297" t="s">
        <v>2134</v>
      </c>
      <c r="S297" s="75"/>
      <c r="T297" s="75"/>
    </row>
    <row r="298" spans="1:20" ht="11.25">
      <c r="A298" t="s">
        <v>1573</v>
      </c>
      <c r="B298" s="112">
        <v>1</v>
      </c>
      <c r="C298" s="113" t="s">
        <v>2219</v>
      </c>
      <c r="D298" s="330">
        <v>450000000</v>
      </c>
      <c r="E298" s="325">
        <f>INDEX(cbalY1V1H1COS,xxIndexTeam)</f>
        <v>325550542.67778766</v>
      </c>
      <c r="F298">
        <v>0.93</v>
      </c>
      <c r="G298" s="422">
        <f>F298*D298</f>
        <v>418500000</v>
      </c>
      <c r="H298" s="271"/>
      <c r="S298" s="75"/>
      <c r="T298" s="75"/>
    </row>
    <row r="299" spans="1:20" ht="11.25">
      <c r="A299" t="s">
        <v>1574</v>
      </c>
      <c r="B299" s="81">
        <v>2</v>
      </c>
      <c r="C299" s="18" t="s">
        <v>2220</v>
      </c>
      <c r="D299" s="331">
        <v>900000000</v>
      </c>
      <c r="E299" s="326">
        <f>INDEX(cbalY1V1H2COS,xxIndexTeam)</f>
        <v>694548449.36338568</v>
      </c>
      <c r="F299">
        <v>0.95</v>
      </c>
      <c r="G299" s="422">
        <f t="shared" ref="G299:G324" si="44">F299*D299</f>
        <v>855000000</v>
      </c>
      <c r="S299" s="75"/>
      <c r="T299" s="75"/>
    </row>
    <row r="300" spans="1:20" ht="11.25">
      <c r="A300" t="s">
        <v>1575</v>
      </c>
      <c r="B300" s="81">
        <v>3</v>
      </c>
      <c r="C300" s="18" t="s">
        <v>2221</v>
      </c>
      <c r="D300" s="331">
        <v>250000000</v>
      </c>
      <c r="E300" s="326">
        <f>INDEX(cbalY1V1H3COS,xxIndexTeam)</f>
        <v>178029821.23532209</v>
      </c>
      <c r="F300" s="171">
        <v>0.9</v>
      </c>
      <c r="G300" s="422">
        <f t="shared" si="44"/>
        <v>225000000</v>
      </c>
      <c r="S300" s="75"/>
      <c r="T300" s="75"/>
    </row>
    <row r="301" spans="1:20" ht="11.25">
      <c r="A301" t="s">
        <v>1576</v>
      </c>
      <c r="B301" s="81">
        <v>4</v>
      </c>
      <c r="C301" s="18" t="s">
        <v>4327</v>
      </c>
      <c r="D301" s="331">
        <v>400000000</v>
      </c>
      <c r="E301" s="326">
        <f>INDEX(cbalY1V2H1COS,xxIndexTeam)</f>
        <v>294342637.77573168</v>
      </c>
      <c r="F301">
        <v>0.93</v>
      </c>
      <c r="G301" s="422">
        <f t="shared" si="44"/>
        <v>372000000</v>
      </c>
      <c r="S301" s="75"/>
      <c r="T301" s="75"/>
    </row>
    <row r="302" spans="1:20" ht="11.25">
      <c r="A302" t="s">
        <v>2773</v>
      </c>
      <c r="B302" s="81">
        <v>5</v>
      </c>
      <c r="C302" s="18" t="s">
        <v>2222</v>
      </c>
      <c r="D302" s="331">
        <v>600000000</v>
      </c>
      <c r="E302" s="326">
        <f>INDEX(cbalY1V2H2COS,xxIndexTeam)</f>
        <v>467329337.08191752</v>
      </c>
      <c r="F302">
        <v>0.95</v>
      </c>
      <c r="G302" s="422">
        <f t="shared" si="44"/>
        <v>570000000</v>
      </c>
      <c r="S302" s="75"/>
      <c r="T302" s="75"/>
    </row>
    <row r="303" spans="1:20" ht="11.25">
      <c r="A303" t="s">
        <v>2774</v>
      </c>
      <c r="B303" s="81">
        <v>6</v>
      </c>
      <c r="C303" s="18" t="s">
        <v>1075</v>
      </c>
      <c r="D303" s="331">
        <v>200000000</v>
      </c>
      <c r="E303" s="326">
        <f>INDEX(cbalY1V2H3COS,xxIndexTeam)</f>
        <v>146220726.18176523</v>
      </c>
      <c r="F303" s="171">
        <v>0.9</v>
      </c>
      <c r="G303" s="422">
        <f t="shared" si="44"/>
        <v>180000000</v>
      </c>
      <c r="S303" s="75"/>
      <c r="T303" s="75"/>
    </row>
    <row r="304" spans="1:20" ht="11.25">
      <c r="A304" t="s">
        <v>751</v>
      </c>
      <c r="B304" s="81">
        <v>7</v>
      </c>
      <c r="C304" s="18" t="s">
        <v>1076</v>
      </c>
      <c r="D304" s="331">
        <v>400000000</v>
      </c>
      <c r="E304" s="326">
        <f>INDEX(cbalY1V3H1COS,xxIndexTeam)</f>
        <v>304993883.14819902</v>
      </c>
      <c r="F304">
        <v>0.93</v>
      </c>
      <c r="G304" s="422">
        <f t="shared" si="44"/>
        <v>372000000</v>
      </c>
      <c r="S304" s="75"/>
      <c r="T304" s="75"/>
    </row>
    <row r="305" spans="1:20" ht="11.25">
      <c r="A305" t="s">
        <v>752</v>
      </c>
      <c r="B305" s="81">
        <v>8</v>
      </c>
      <c r="C305" s="18" t="s">
        <v>1077</v>
      </c>
      <c r="D305" s="331">
        <v>500000000</v>
      </c>
      <c r="E305" s="326">
        <f>INDEX(cbalY1V3H2COS,xxIndexTeam)</f>
        <v>389441114.23493099</v>
      </c>
      <c r="F305">
        <v>0.95</v>
      </c>
      <c r="G305" s="422">
        <f t="shared" si="44"/>
        <v>475000000</v>
      </c>
      <c r="S305" s="75"/>
      <c r="T305" s="75"/>
    </row>
    <row r="306" spans="1:20" ht="11.25">
      <c r="A306" t="s">
        <v>753</v>
      </c>
      <c r="B306" s="81">
        <v>9</v>
      </c>
      <c r="C306" s="18" t="s">
        <v>1078</v>
      </c>
      <c r="D306" s="331">
        <v>150000000</v>
      </c>
      <c r="E306" s="326">
        <f>INDEX(cbalY1V3H3COS,xxIndexTeam)</f>
        <v>106817892.74119274</v>
      </c>
      <c r="F306" s="171">
        <v>0.9</v>
      </c>
      <c r="G306" s="422">
        <f t="shared" si="44"/>
        <v>135000000</v>
      </c>
      <c r="S306" s="75"/>
      <c r="T306" s="75"/>
    </row>
    <row r="307" spans="1:20" ht="11.25">
      <c r="A307" t="s">
        <v>754</v>
      </c>
      <c r="B307" s="81">
        <v>10</v>
      </c>
      <c r="C307" s="18" t="s">
        <v>2607</v>
      </c>
      <c r="D307" s="331">
        <v>400000000</v>
      </c>
      <c r="E307" s="326">
        <f>INDEX(cbalY2V1H1COS,xxIndexTeam)</f>
        <v>302189500.77564824</v>
      </c>
      <c r="F307">
        <v>0.93</v>
      </c>
      <c r="G307" s="422">
        <f>F307*D307</f>
        <v>372000000</v>
      </c>
      <c r="S307" s="75"/>
      <c r="T307" s="75"/>
    </row>
    <row r="308" spans="1:20" ht="11.25">
      <c r="A308" t="s">
        <v>3676</v>
      </c>
      <c r="B308" s="81">
        <v>11</v>
      </c>
      <c r="C308" s="18" t="s">
        <v>2608</v>
      </c>
      <c r="D308" s="331">
        <v>600000000</v>
      </c>
      <c r="E308" s="326">
        <f>INDEX(cbalY2V1H2COS,xxIndexTeam)</f>
        <v>467329337.08191752</v>
      </c>
      <c r="F308">
        <v>0.95</v>
      </c>
      <c r="G308" s="422">
        <f t="shared" si="44"/>
        <v>570000000</v>
      </c>
      <c r="S308" s="75"/>
      <c r="T308" s="75"/>
    </row>
    <row r="309" spans="1:20" ht="11.25">
      <c r="A309" t="s">
        <v>3677</v>
      </c>
      <c r="B309" s="81">
        <v>12</v>
      </c>
      <c r="C309" s="18" t="s">
        <v>2609</v>
      </c>
      <c r="D309" s="331">
        <v>200000000</v>
      </c>
      <c r="E309" s="326">
        <f>INDEX(cbalY2V1H3COS,xxIndexTeam)</f>
        <v>146220726.18176523</v>
      </c>
      <c r="F309" s="171">
        <v>0.9</v>
      </c>
      <c r="G309" s="422">
        <f t="shared" si="44"/>
        <v>180000000</v>
      </c>
      <c r="S309" s="75"/>
      <c r="T309" s="75"/>
    </row>
    <row r="310" spans="1:20" ht="11.25">
      <c r="A310" t="s">
        <v>3009</v>
      </c>
      <c r="B310" s="81">
        <v>13</v>
      </c>
      <c r="C310" s="18" t="s">
        <v>2213</v>
      </c>
      <c r="D310" s="331">
        <v>400000000</v>
      </c>
      <c r="E310" s="326">
        <f>INDEX(cbalY2V2H1COS,xxIndexTeam)</f>
        <v>304993883.14819902</v>
      </c>
      <c r="F310">
        <v>0.93</v>
      </c>
      <c r="G310" s="422">
        <f t="shared" si="44"/>
        <v>372000000</v>
      </c>
      <c r="S310" s="75"/>
      <c r="T310" s="75"/>
    </row>
    <row r="311" spans="1:20" ht="11.25">
      <c r="A311" t="s">
        <v>3010</v>
      </c>
      <c r="B311" s="81">
        <v>14</v>
      </c>
      <c r="C311" s="18" t="s">
        <v>2214</v>
      </c>
      <c r="D311" s="331">
        <v>500000000</v>
      </c>
      <c r="E311" s="326">
        <f>INDEX(cbalY2V2H2COS,xxIndexTeam)</f>
        <v>375840733.71901274</v>
      </c>
      <c r="F311">
        <v>0.95</v>
      </c>
      <c r="G311" s="422">
        <f t="shared" si="44"/>
        <v>475000000</v>
      </c>
      <c r="S311" s="75"/>
      <c r="T311" s="75"/>
    </row>
    <row r="312" spans="1:20" ht="11.25">
      <c r="A312" t="s">
        <v>3011</v>
      </c>
      <c r="B312" s="81">
        <v>15</v>
      </c>
      <c r="C312" s="18" t="s">
        <v>2215</v>
      </c>
      <c r="D312" s="331">
        <v>300000000</v>
      </c>
      <c r="E312" s="326">
        <f>INDEX(cbalY2V2H3COS,xxIndexTeam)</f>
        <v>219331089.27264789</v>
      </c>
      <c r="F312" s="171">
        <v>0.9</v>
      </c>
      <c r="G312" s="422">
        <f t="shared" si="44"/>
        <v>270000000</v>
      </c>
      <c r="S312" s="75"/>
      <c r="T312" s="75"/>
    </row>
    <row r="313" spans="1:20" ht="11.25">
      <c r="A313" t="s">
        <v>3012</v>
      </c>
      <c r="B313" s="81">
        <v>16</v>
      </c>
      <c r="C313" s="18" t="s">
        <v>2216</v>
      </c>
      <c r="D313" s="331">
        <v>600000000</v>
      </c>
      <c r="E313" s="326">
        <f>INDEX(cbalY2V3H1COS,xxIndexTeam)</f>
        <v>441513956.663598</v>
      </c>
      <c r="F313">
        <v>0.93</v>
      </c>
      <c r="G313" s="422">
        <f t="shared" si="44"/>
        <v>558000000</v>
      </c>
      <c r="S313" s="75"/>
      <c r="T313" s="75"/>
    </row>
    <row r="314" spans="1:20" ht="11.25">
      <c r="A314" t="s">
        <v>3080</v>
      </c>
      <c r="B314" s="81">
        <v>17</v>
      </c>
      <c r="C314" s="18" t="s">
        <v>2217</v>
      </c>
      <c r="D314" s="331">
        <v>500000000</v>
      </c>
      <c r="E314" s="326">
        <f>INDEX(cbalY2V3H2COS,xxIndexTeam)</f>
        <v>389441114.23493099</v>
      </c>
      <c r="F314">
        <v>0.95</v>
      </c>
      <c r="G314" s="422">
        <f t="shared" si="44"/>
        <v>475000000</v>
      </c>
      <c r="S314" s="75"/>
      <c r="T314" s="75"/>
    </row>
    <row r="315" spans="1:20" ht="11.25">
      <c r="A315" t="s">
        <v>3081</v>
      </c>
      <c r="B315" s="81">
        <v>18</v>
      </c>
      <c r="C315" s="18" t="s">
        <v>2218</v>
      </c>
      <c r="D315" s="331">
        <v>300000000</v>
      </c>
      <c r="E315" s="326">
        <f>INDEX(cbalY2V3H3COS,xxIndexTeam)</f>
        <v>219331089.27264789</v>
      </c>
      <c r="F315" s="171">
        <v>0.9</v>
      </c>
      <c r="G315" s="422">
        <f t="shared" si="44"/>
        <v>270000000</v>
      </c>
      <c r="S315" s="75"/>
      <c r="T315" s="75"/>
    </row>
    <row r="316" spans="1:20" ht="11.25">
      <c r="A316" t="s">
        <v>201</v>
      </c>
      <c r="B316" s="81">
        <v>19</v>
      </c>
      <c r="C316" s="18" t="s">
        <v>127</v>
      </c>
      <c r="D316" s="331">
        <v>200000000</v>
      </c>
      <c r="E316" s="326">
        <f>INDEX(cbalY3V1H1COS,xxIndexTeam)</f>
        <v>151094750.38782454</v>
      </c>
      <c r="F316">
        <v>0.93</v>
      </c>
      <c r="G316" s="422">
        <f>F316*D316</f>
        <v>186000000</v>
      </c>
      <c r="S316" s="75"/>
      <c r="T316" s="75"/>
    </row>
    <row r="317" spans="1:20" ht="11.25">
      <c r="A317" t="s">
        <v>202</v>
      </c>
      <c r="B317" s="81">
        <v>20</v>
      </c>
      <c r="C317" s="18" t="s">
        <v>128</v>
      </c>
      <c r="D317" s="331">
        <v>500000000</v>
      </c>
      <c r="E317" s="326">
        <f>INDEX(cbalY3V1H2COS,xxIndexTeam)</f>
        <v>375840733.71901274</v>
      </c>
      <c r="F317">
        <v>0.95</v>
      </c>
      <c r="G317" s="422">
        <f t="shared" si="44"/>
        <v>475000000</v>
      </c>
      <c r="S317" s="75"/>
      <c r="T317" s="75"/>
    </row>
    <row r="318" spans="1:20" ht="11.25">
      <c r="A318" t="s">
        <v>3877</v>
      </c>
      <c r="B318" s="81">
        <v>21</v>
      </c>
      <c r="C318" s="18" t="s">
        <v>129</v>
      </c>
      <c r="D318" s="331">
        <v>150000000</v>
      </c>
      <c r="E318" s="326">
        <f>INDEX(cbalY3V1H3COS,xxIndexTeam)</f>
        <v>106817892.74119274</v>
      </c>
      <c r="F318" s="171">
        <v>0.9</v>
      </c>
      <c r="G318" s="422">
        <f t="shared" si="44"/>
        <v>135000000</v>
      </c>
      <c r="S318" s="75"/>
      <c r="T318" s="75"/>
    </row>
    <row r="319" spans="1:20" ht="11.25">
      <c r="A319" t="s">
        <v>3878</v>
      </c>
      <c r="B319" s="81">
        <v>22</v>
      </c>
      <c r="C319" s="18" t="s">
        <v>130</v>
      </c>
      <c r="D319" s="331">
        <v>400000000</v>
      </c>
      <c r="E319" s="326">
        <f>INDEX(cbalY3V2H1COS,xxIndexTeam)</f>
        <v>294342637.77573168</v>
      </c>
      <c r="F319">
        <v>0.93</v>
      </c>
      <c r="G319" s="422">
        <f t="shared" si="44"/>
        <v>372000000</v>
      </c>
      <c r="S319" s="75"/>
      <c r="T319" s="75"/>
    </row>
    <row r="320" spans="1:20" ht="11.25">
      <c r="A320" t="s">
        <v>3879</v>
      </c>
      <c r="B320" s="81">
        <v>23</v>
      </c>
      <c r="C320" s="18" t="s">
        <v>2602</v>
      </c>
      <c r="D320" s="331">
        <v>500000000</v>
      </c>
      <c r="E320" s="326">
        <f>INDEX(cbalY3V2H2COS,xxIndexTeam)</f>
        <v>385860249.64632517</v>
      </c>
      <c r="F320">
        <v>0.95</v>
      </c>
      <c r="G320" s="422">
        <f t="shared" si="44"/>
        <v>475000000</v>
      </c>
      <c r="S320" s="75"/>
      <c r="T320" s="75"/>
    </row>
    <row r="321" spans="1:20" ht="11.25">
      <c r="A321" t="s">
        <v>3880</v>
      </c>
      <c r="B321" s="81">
        <v>24</v>
      </c>
      <c r="C321" s="18" t="s">
        <v>2603</v>
      </c>
      <c r="D321" s="331">
        <v>400000000</v>
      </c>
      <c r="E321" s="326">
        <f>INDEX(cbalY3V2H3COS,xxIndexTeam)</f>
        <v>295155370.78857934</v>
      </c>
      <c r="F321" s="171">
        <v>0.9</v>
      </c>
      <c r="G321" s="422">
        <f t="shared" si="44"/>
        <v>360000000</v>
      </c>
      <c r="S321" s="75"/>
      <c r="T321" s="75"/>
    </row>
    <row r="322" spans="1:20" ht="11.25">
      <c r="A322" t="s">
        <v>3881</v>
      </c>
      <c r="B322" s="81">
        <v>25</v>
      </c>
      <c r="C322" s="18" t="s">
        <v>2604</v>
      </c>
      <c r="D322" s="331">
        <v>500000000</v>
      </c>
      <c r="E322" s="326">
        <f>INDEX(cbalY3V3H1COS,xxIndexTeam)</f>
        <v>367928297.21966529</v>
      </c>
      <c r="F322">
        <v>0.93</v>
      </c>
      <c r="G322" s="422">
        <f t="shared" si="44"/>
        <v>465000000</v>
      </c>
      <c r="S322" s="75"/>
      <c r="T322" s="75"/>
    </row>
    <row r="323" spans="1:20" ht="11.25">
      <c r="A323" t="s">
        <v>2131</v>
      </c>
      <c r="B323" s="81">
        <v>26</v>
      </c>
      <c r="C323" s="18" t="s">
        <v>2605</v>
      </c>
      <c r="D323" s="331">
        <v>700000000</v>
      </c>
      <c r="E323" s="326">
        <f>INDEX(cbalY3V3H2COS,xxIndexTeam)</f>
        <v>526177027.20661712</v>
      </c>
      <c r="F323">
        <v>0.95</v>
      </c>
      <c r="G323" s="422">
        <f t="shared" si="44"/>
        <v>665000000</v>
      </c>
      <c r="S323" s="75"/>
      <c r="T323" s="75"/>
    </row>
    <row r="324" spans="1:20" ht="12" thickBot="1">
      <c r="A324" t="s">
        <v>2132</v>
      </c>
      <c r="B324" s="83">
        <v>27</v>
      </c>
      <c r="C324" s="84" t="s">
        <v>2606</v>
      </c>
      <c r="D324" s="332">
        <v>400000000</v>
      </c>
      <c r="E324" s="327">
        <f>INDEX(cbalY3V3H3COS,xxIndexTeam)</f>
        <v>284847713.97651482</v>
      </c>
      <c r="F324" s="171">
        <v>0.9</v>
      </c>
      <c r="G324" s="422">
        <f t="shared" si="44"/>
        <v>360000000</v>
      </c>
      <c r="S324" s="75"/>
      <c r="T324" s="75"/>
    </row>
    <row r="325" spans="1:20" ht="11.25">
      <c r="E325" s="2" t="s">
        <v>2133</v>
      </c>
      <c r="S325" s="75"/>
      <c r="T325" s="75"/>
    </row>
    <row r="326" spans="1:20" ht="11.25">
      <c r="S326" s="75"/>
      <c r="T326" s="75"/>
    </row>
    <row r="327" spans="1:20" ht="11.25">
      <c r="S327" s="75"/>
      <c r="T327" s="75"/>
    </row>
    <row r="328" spans="1:20" ht="11.25">
      <c r="S328" s="75"/>
      <c r="T328" s="75"/>
    </row>
    <row r="329" spans="1:20" ht="11.25">
      <c r="S329" s="75"/>
      <c r="T329" s="75"/>
    </row>
    <row r="330" spans="1:20" ht="11.25">
      <c r="S330" s="75"/>
      <c r="T330" s="75"/>
    </row>
    <row r="331" spans="1:20" ht="11.25">
      <c r="S331" s="75"/>
      <c r="T331" s="75"/>
    </row>
    <row r="332" spans="1:20" ht="11.25">
      <c r="B332" s="2"/>
      <c r="C332" s="2"/>
      <c r="D332" s="28"/>
      <c r="E332" s="3"/>
      <c r="F332" s="3"/>
      <c r="G332" s="3"/>
      <c r="H332" s="3"/>
      <c r="I332" s="3"/>
      <c r="J332" s="3"/>
      <c r="S332" s="75"/>
      <c r="T332" s="75"/>
    </row>
    <row r="333" spans="1:20" ht="11.25">
      <c r="A333" s="773"/>
      <c r="B333" s="34" t="s">
        <v>4621</v>
      </c>
      <c r="C333" s="52"/>
      <c r="D333" s="52"/>
      <c r="E333" s="53"/>
      <c r="F333" s="65" t="s">
        <v>3811</v>
      </c>
      <c r="G333" s="52"/>
      <c r="H333" s="52"/>
      <c r="I333" s="52"/>
      <c r="J333" s="53"/>
      <c r="S333" s="75"/>
      <c r="T333" s="75"/>
    </row>
    <row r="334" spans="1:20" ht="11.25">
      <c r="A334" s="773"/>
      <c r="B334" s="34" t="s">
        <v>4627</v>
      </c>
      <c r="C334" s="58"/>
      <c r="D334" s="58" t="s">
        <v>1878</v>
      </c>
      <c r="E334" s="59" t="s">
        <v>1879</v>
      </c>
      <c r="F334" s="65">
        <v>0</v>
      </c>
      <c r="G334" s="52">
        <v>1</v>
      </c>
      <c r="H334" s="52">
        <v>2</v>
      </c>
      <c r="I334" s="52">
        <v>3</v>
      </c>
      <c r="J334" s="53">
        <v>4</v>
      </c>
      <c r="S334" s="75"/>
      <c r="T334" s="75"/>
    </row>
    <row r="335" spans="1:20" ht="11.25">
      <c r="A335" s="773"/>
      <c r="B335" s="829">
        <v>0</v>
      </c>
      <c r="C335" s="440">
        <f t="shared" ref="C335:C345" si="45">INDEX(F335:J335,xxYear+1)</f>
        <v>0</v>
      </c>
      <c r="D335" s="833">
        <f t="shared" ref="D335:D345" si="46">B336-B335</f>
        <v>0.1</v>
      </c>
      <c r="E335" s="834">
        <f t="shared" ref="E335:E345" si="47">C336-C335</f>
        <v>0</v>
      </c>
      <c r="F335" s="524">
        <v>0</v>
      </c>
      <c r="G335" s="524">
        <v>0</v>
      </c>
      <c r="H335" s="524">
        <v>0</v>
      </c>
      <c r="I335" s="524">
        <v>0</v>
      </c>
      <c r="J335" s="524">
        <v>0</v>
      </c>
      <c r="S335" s="75"/>
      <c r="T335" s="75"/>
    </row>
    <row r="336" spans="1:20" ht="11.25">
      <c r="A336" s="773"/>
      <c r="B336" s="830">
        <v>0.1</v>
      </c>
      <c r="C336" s="440">
        <f t="shared" si="45"/>
        <v>0</v>
      </c>
      <c r="D336" s="828">
        <f t="shared" si="46"/>
        <v>0.1</v>
      </c>
      <c r="E336" s="835">
        <f t="shared" si="47"/>
        <v>5.0000000000000001E-3</v>
      </c>
      <c r="F336" s="525">
        <v>0</v>
      </c>
      <c r="G336" s="525">
        <v>0</v>
      </c>
      <c r="H336" s="525">
        <v>0</v>
      </c>
      <c r="I336" s="525">
        <v>0</v>
      </c>
      <c r="J336" s="525">
        <v>0</v>
      </c>
      <c r="S336" s="75"/>
      <c r="T336" s="75"/>
    </row>
    <row r="337" spans="1:20" ht="11.25">
      <c r="A337" s="773"/>
      <c r="B337" s="830">
        <v>0.2</v>
      </c>
      <c r="C337" s="440">
        <f t="shared" si="45"/>
        <v>5.0000000000000001E-3</v>
      </c>
      <c r="D337" s="828">
        <f t="shared" si="46"/>
        <v>9.9999999999999978E-2</v>
      </c>
      <c r="E337" s="835">
        <f t="shared" si="47"/>
        <v>9.9999999999999985E-3</v>
      </c>
      <c r="F337" s="525">
        <v>5.0000000000000001E-3</v>
      </c>
      <c r="G337" s="525">
        <v>5.0000000000000001E-3</v>
      </c>
      <c r="H337" s="525">
        <v>5.0000000000000001E-3</v>
      </c>
      <c r="I337" s="525">
        <v>5.0000000000000001E-3</v>
      </c>
      <c r="J337" s="525">
        <v>5.0000000000000001E-3</v>
      </c>
      <c r="S337" s="75"/>
      <c r="T337" s="75"/>
    </row>
    <row r="338" spans="1:20" ht="11.25">
      <c r="A338" s="773"/>
      <c r="B338" s="830">
        <v>0.3</v>
      </c>
      <c r="C338" s="440">
        <f t="shared" si="45"/>
        <v>1.4999999999999999E-2</v>
      </c>
      <c r="D338" s="828">
        <f t="shared" si="46"/>
        <v>0.10000000000000003</v>
      </c>
      <c r="E338" s="835">
        <f t="shared" si="47"/>
        <v>7.4999999999999997E-3</v>
      </c>
      <c r="F338" s="525">
        <v>1.4999999999999999E-2</v>
      </c>
      <c r="G338" s="525">
        <v>1.4999999999999999E-2</v>
      </c>
      <c r="H338" s="525">
        <v>1.4999999999999999E-2</v>
      </c>
      <c r="I338" s="525">
        <v>1.4999999999999999E-2</v>
      </c>
      <c r="J338" s="525">
        <v>1.4999999999999999E-2</v>
      </c>
      <c r="S338" s="75"/>
      <c r="T338" s="75"/>
    </row>
    <row r="339" spans="1:20" ht="11.25">
      <c r="A339" s="773"/>
      <c r="B339" s="830">
        <v>0.4</v>
      </c>
      <c r="C339" s="440">
        <f t="shared" si="45"/>
        <v>2.2499999999999999E-2</v>
      </c>
      <c r="D339" s="828">
        <f t="shared" si="46"/>
        <v>9.9999999999999978E-2</v>
      </c>
      <c r="E339" s="835">
        <f t="shared" si="47"/>
        <v>-7.4999999999999997E-3</v>
      </c>
      <c r="F339" s="525">
        <v>2.2499999999999999E-2</v>
      </c>
      <c r="G339" s="525">
        <v>2.2499999999999999E-2</v>
      </c>
      <c r="H339" s="525">
        <v>2.2499999999999999E-2</v>
      </c>
      <c r="I339" s="525">
        <v>2.2499999999999999E-2</v>
      </c>
      <c r="J339" s="525">
        <v>2.2499999999999999E-2</v>
      </c>
      <c r="S339" s="75"/>
      <c r="T339" s="75"/>
    </row>
    <row r="340" spans="1:20" ht="11.25">
      <c r="A340" s="773"/>
      <c r="B340" s="830">
        <v>0.5</v>
      </c>
      <c r="C340" s="440">
        <f t="shared" si="45"/>
        <v>1.4999999999999999E-2</v>
      </c>
      <c r="D340" s="828">
        <f t="shared" si="46"/>
        <v>9.9999999999999978E-2</v>
      </c>
      <c r="E340" s="835">
        <f t="shared" si="47"/>
        <v>-4.9999999999999992E-3</v>
      </c>
      <c r="F340" s="525">
        <v>1.4999999999999999E-2</v>
      </c>
      <c r="G340" s="525">
        <v>1.4999999999999999E-2</v>
      </c>
      <c r="H340" s="525">
        <v>1.4999999999999999E-2</v>
      </c>
      <c r="I340" s="525">
        <v>1.4999999999999999E-2</v>
      </c>
      <c r="J340" s="525">
        <v>1.4999999999999999E-2</v>
      </c>
      <c r="S340" s="75"/>
      <c r="T340" s="75"/>
    </row>
    <row r="341" spans="1:20" ht="11.25">
      <c r="A341" s="773"/>
      <c r="B341" s="830">
        <v>0.6</v>
      </c>
      <c r="C341" s="440">
        <f t="shared" si="45"/>
        <v>0.01</v>
      </c>
      <c r="D341" s="828">
        <f t="shared" si="46"/>
        <v>9.9999999999999978E-2</v>
      </c>
      <c r="E341" s="835">
        <f t="shared" si="47"/>
        <v>0</v>
      </c>
      <c r="F341" s="525">
        <v>0.01</v>
      </c>
      <c r="G341" s="525">
        <v>0.01</v>
      </c>
      <c r="H341" s="525">
        <v>0.01</v>
      </c>
      <c r="I341" s="525">
        <v>0.01</v>
      </c>
      <c r="J341" s="525">
        <v>0.01</v>
      </c>
      <c r="S341" s="75"/>
      <c r="T341" s="75"/>
    </row>
    <row r="342" spans="1:20" ht="11.25">
      <c r="A342" s="773"/>
      <c r="B342" s="830">
        <v>0.7</v>
      </c>
      <c r="C342" s="440">
        <f t="shared" si="45"/>
        <v>0.01</v>
      </c>
      <c r="D342" s="828">
        <f t="shared" si="46"/>
        <v>0.10000000000000009</v>
      </c>
      <c r="E342" s="835">
        <f t="shared" si="47"/>
        <v>-0.01</v>
      </c>
      <c r="F342" s="525">
        <v>0.01</v>
      </c>
      <c r="G342" s="525">
        <v>0.01</v>
      </c>
      <c r="H342" s="525">
        <v>0.01</v>
      </c>
      <c r="I342" s="525">
        <v>0.01</v>
      </c>
      <c r="J342" s="525">
        <v>0.01</v>
      </c>
      <c r="S342" s="75"/>
      <c r="T342" s="75"/>
    </row>
    <row r="343" spans="1:20" ht="11.25">
      <c r="A343" s="773"/>
      <c r="B343" s="830">
        <v>0.8</v>
      </c>
      <c r="C343" s="440">
        <f t="shared" si="45"/>
        <v>0</v>
      </c>
      <c r="D343" s="828">
        <f t="shared" si="46"/>
        <v>9.9999999999999978E-2</v>
      </c>
      <c r="E343" s="835">
        <f t="shared" si="47"/>
        <v>0</v>
      </c>
      <c r="F343" s="525">
        <v>0</v>
      </c>
      <c r="G343" s="525">
        <v>0</v>
      </c>
      <c r="H343" s="525">
        <v>0</v>
      </c>
      <c r="I343" s="525">
        <v>0</v>
      </c>
      <c r="J343" s="525">
        <v>0</v>
      </c>
      <c r="S343" s="75"/>
      <c r="T343" s="75"/>
    </row>
    <row r="344" spans="1:20" ht="11.25">
      <c r="A344" s="773"/>
      <c r="B344" s="830">
        <v>0.9</v>
      </c>
      <c r="C344" s="440">
        <f t="shared" si="45"/>
        <v>0</v>
      </c>
      <c r="D344" s="828">
        <f t="shared" si="46"/>
        <v>9.9999999999999978E-2</v>
      </c>
      <c r="E344" s="835">
        <f t="shared" si="47"/>
        <v>0</v>
      </c>
      <c r="F344" s="525">
        <v>0</v>
      </c>
      <c r="G344" s="525">
        <v>0</v>
      </c>
      <c r="H344" s="525">
        <v>0</v>
      </c>
      <c r="I344" s="525">
        <v>0</v>
      </c>
      <c r="J344" s="525">
        <v>0</v>
      </c>
      <c r="S344" s="75"/>
      <c r="T344" s="75"/>
    </row>
    <row r="345" spans="1:20" ht="11.25">
      <c r="A345" s="773"/>
      <c r="B345" s="831">
        <v>1</v>
      </c>
      <c r="C345" s="121">
        <f t="shared" si="45"/>
        <v>0</v>
      </c>
      <c r="D345" s="836">
        <f t="shared" si="46"/>
        <v>-1</v>
      </c>
      <c r="E345" s="837">
        <f t="shared" si="47"/>
        <v>0</v>
      </c>
      <c r="F345" s="832">
        <v>0</v>
      </c>
      <c r="G345" s="832">
        <v>0</v>
      </c>
      <c r="H345" s="832">
        <v>0</v>
      </c>
      <c r="I345" s="832">
        <v>0</v>
      </c>
      <c r="J345" s="832">
        <v>0</v>
      </c>
      <c r="S345" s="75"/>
      <c r="T345" s="75"/>
    </row>
    <row r="346" spans="1:20" ht="11.25">
      <c r="A346" s="773"/>
      <c r="B346" s="3"/>
      <c r="C346" s="342"/>
      <c r="D346" s="343"/>
      <c r="E346" s="38"/>
      <c r="F346" s="38"/>
      <c r="G346" s="38"/>
      <c r="H346" s="38"/>
      <c r="I346" s="38"/>
      <c r="J346" s="344"/>
      <c r="S346" s="75"/>
      <c r="T346" s="75"/>
    </row>
    <row r="347" spans="1:20" ht="11.25">
      <c r="A347" s="773"/>
      <c r="C347" s="65" t="s">
        <v>4605</v>
      </c>
      <c r="D347" s="838"/>
      <c r="E347" s="840">
        <f>decEmp4BusALocalPer</f>
        <v>0</v>
      </c>
      <c r="F347" s="840">
        <f>decEmp4BusALocalPer</f>
        <v>0</v>
      </c>
      <c r="G347" s="840">
        <f>decEmp4BusALocalPer</f>
        <v>0</v>
      </c>
      <c r="H347" s="840">
        <f>decEmp4BusALocalPer</f>
        <v>0</v>
      </c>
      <c r="I347" s="840">
        <f>decEmp4BusALocalPer</f>
        <v>0</v>
      </c>
      <c r="J347" s="97"/>
      <c r="S347" s="75"/>
      <c r="T347" s="75"/>
    </row>
    <row r="348" spans="1:20" ht="11.25">
      <c r="A348" s="773"/>
      <c r="C348" s="54" t="s">
        <v>3084</v>
      </c>
      <c r="D348" s="27"/>
      <c r="E348" s="839">
        <f>decEmp3BusALocalPer</f>
        <v>0</v>
      </c>
      <c r="F348" s="839">
        <f>decEmp3BusALocalPer</f>
        <v>0</v>
      </c>
      <c r="G348" s="839">
        <f>decEmp3BusALocalPer</f>
        <v>0</v>
      </c>
      <c r="H348" s="839">
        <f>decEmp3BusALocalPer</f>
        <v>0</v>
      </c>
      <c r="I348" s="839">
        <f>decEmp3BusALocalPer</f>
        <v>0</v>
      </c>
      <c r="J348" s="133"/>
      <c r="S348" s="75"/>
      <c r="T348" s="75"/>
    </row>
    <row r="349" spans="1:20" ht="11.25">
      <c r="A349" s="773"/>
      <c r="C349" s="54" t="s">
        <v>3085</v>
      </c>
      <c r="D349" s="27"/>
      <c r="E349" s="839">
        <f>decEmp2BusALocalPer</f>
        <v>0</v>
      </c>
      <c r="F349" s="839">
        <f>decEmp2BusALocalPer</f>
        <v>0</v>
      </c>
      <c r="G349" s="839">
        <f>decEmp2BusALocalPer</f>
        <v>0</v>
      </c>
      <c r="H349" s="839">
        <f>decEmp2BusALocalPer</f>
        <v>0</v>
      </c>
      <c r="I349" s="839">
        <f>decEmp2BusALocalPer</f>
        <v>0</v>
      </c>
      <c r="J349" s="133"/>
      <c r="S349" s="75"/>
      <c r="T349" s="75"/>
    </row>
    <row r="350" spans="1:20" ht="11.25">
      <c r="A350" s="773"/>
      <c r="C350" s="54" t="s">
        <v>3086</v>
      </c>
      <c r="D350" s="27"/>
      <c r="E350" s="839">
        <f>decEmp1BusALocalPer</f>
        <v>0</v>
      </c>
      <c r="F350" s="839">
        <f>decEmp1BusALocalPer</f>
        <v>0</v>
      </c>
      <c r="G350" s="839">
        <f>decEmp1BusALocalPer</f>
        <v>0</v>
      </c>
      <c r="H350" s="839">
        <f>decEmp1BusALocalPer</f>
        <v>0</v>
      </c>
      <c r="I350" s="839">
        <f>decEmp1BusALocalPer</f>
        <v>0</v>
      </c>
      <c r="J350" s="133"/>
      <c r="S350" s="75"/>
      <c r="T350" s="75"/>
    </row>
    <row r="351" spans="1:20" ht="11.25">
      <c r="A351" s="773"/>
      <c r="C351" s="54" t="s">
        <v>4605</v>
      </c>
      <c r="D351" s="28"/>
      <c r="E351" s="456">
        <f t="shared" ref="E351:I354" si="48">VLOOKUP(E347,DataTableLocalBusARelationship,2,1)+((E347-VLOOKUP(E347,DataTableLocalBusARelationship,1,1))/VLOOKUP(E347,DataTableLocalBusARelationship,3,1))*VLOOKUP(E347,DataTableLocalBusARelationship,4,1)</f>
        <v>0</v>
      </c>
      <c r="F351" s="456">
        <f t="shared" si="48"/>
        <v>0</v>
      </c>
      <c r="G351" s="456">
        <f t="shared" si="48"/>
        <v>0</v>
      </c>
      <c r="H351" s="456">
        <f t="shared" si="48"/>
        <v>0</v>
      </c>
      <c r="I351" s="456">
        <f t="shared" si="48"/>
        <v>0</v>
      </c>
      <c r="J351" s="180" t="s">
        <v>4623</v>
      </c>
    </row>
    <row r="352" spans="1:20" ht="11.25">
      <c r="A352" s="773"/>
      <c r="C352" s="54" t="s">
        <v>3084</v>
      </c>
      <c r="D352" s="28"/>
      <c r="E352" s="456">
        <f t="shared" si="48"/>
        <v>0</v>
      </c>
      <c r="F352" s="456">
        <f t="shared" si="48"/>
        <v>0</v>
      </c>
      <c r="G352" s="456">
        <f t="shared" si="48"/>
        <v>0</v>
      </c>
      <c r="H352" s="456">
        <f t="shared" si="48"/>
        <v>0</v>
      </c>
      <c r="I352" s="456">
        <f t="shared" si="48"/>
        <v>0</v>
      </c>
      <c r="J352" s="180" t="s">
        <v>4624</v>
      </c>
    </row>
    <row r="353" spans="1:20" ht="11.25">
      <c r="A353" s="773"/>
      <c r="C353" s="54" t="s">
        <v>3085</v>
      </c>
      <c r="D353" s="28"/>
      <c r="E353" s="456">
        <f t="shared" si="48"/>
        <v>0</v>
      </c>
      <c r="F353" s="456">
        <f t="shared" si="48"/>
        <v>0</v>
      </c>
      <c r="G353" s="456">
        <f t="shared" si="48"/>
        <v>0</v>
      </c>
      <c r="H353" s="456">
        <f t="shared" si="48"/>
        <v>0</v>
      </c>
      <c r="I353" s="456">
        <f t="shared" si="48"/>
        <v>0</v>
      </c>
      <c r="J353" s="180" t="s">
        <v>4625</v>
      </c>
    </row>
    <row r="354" spans="1:20" ht="11.25">
      <c r="A354" s="773"/>
      <c r="C354" s="56" t="s">
        <v>3086</v>
      </c>
      <c r="D354" s="29"/>
      <c r="E354" s="66">
        <f t="shared" si="48"/>
        <v>0</v>
      </c>
      <c r="F354" s="66">
        <f t="shared" si="48"/>
        <v>0</v>
      </c>
      <c r="G354" s="66">
        <f t="shared" si="48"/>
        <v>0</v>
      </c>
      <c r="H354" s="66">
        <f t="shared" si="48"/>
        <v>0</v>
      </c>
      <c r="I354" s="66">
        <f t="shared" si="48"/>
        <v>0</v>
      </c>
      <c r="J354" s="180" t="s">
        <v>4626</v>
      </c>
    </row>
    <row r="355" spans="1:20" ht="11.25">
      <c r="C355" s="355"/>
      <c r="D355" s="28"/>
      <c r="E355" s="356"/>
      <c r="F355" s="356"/>
      <c r="G355" s="356"/>
      <c r="H355" s="356"/>
      <c r="I355" s="356"/>
      <c r="J355" s="27"/>
    </row>
    <row r="356" spans="1:20" ht="11.25">
      <c r="B356" s="34" t="s">
        <v>1277</v>
      </c>
      <c r="C356" s="52"/>
      <c r="D356" s="52"/>
      <c r="E356" s="53"/>
      <c r="F356" s="65" t="s">
        <v>3811</v>
      </c>
      <c r="G356" s="52"/>
      <c r="H356" s="52"/>
      <c r="I356" s="52"/>
      <c r="J356" s="53"/>
      <c r="S356" s="75"/>
      <c r="T356" s="75"/>
    </row>
    <row r="357" spans="1:20" ht="11.25">
      <c r="B357" s="34"/>
      <c r="C357" s="58"/>
      <c r="D357" s="58" t="s">
        <v>1878</v>
      </c>
      <c r="E357" s="59" t="s">
        <v>1879</v>
      </c>
      <c r="F357" s="65">
        <v>0</v>
      </c>
      <c r="G357" s="52">
        <v>1</v>
      </c>
      <c r="H357" s="52">
        <v>2</v>
      </c>
      <c r="I357" s="52">
        <v>3</v>
      </c>
      <c r="J357" s="53">
        <v>4</v>
      </c>
      <c r="S357" s="75"/>
      <c r="T357" s="75"/>
    </row>
    <row r="358" spans="1:20" ht="11.25">
      <c r="B358" s="347">
        <v>0</v>
      </c>
      <c r="C358" s="440">
        <f t="shared" ref="C358:C368" si="49">INDEX(F358:J358,xxYear+1)</f>
        <v>0</v>
      </c>
      <c r="D358" s="349">
        <f t="shared" ref="D358:E368" si="50">B359-B358</f>
        <v>100</v>
      </c>
      <c r="E358" s="436">
        <f t="shared" si="50"/>
        <v>0.01</v>
      </c>
      <c r="F358" s="526">
        <v>0</v>
      </c>
      <c r="G358" s="435">
        <v>0</v>
      </c>
      <c r="H358" s="435">
        <v>0</v>
      </c>
      <c r="I358" s="435">
        <v>0</v>
      </c>
      <c r="J358" s="439">
        <v>0</v>
      </c>
      <c r="S358" s="75"/>
      <c r="T358" s="75"/>
    </row>
    <row r="359" spans="1:20" ht="11.25">
      <c r="B359" s="335">
        <v>100</v>
      </c>
      <c r="C359" s="440">
        <f t="shared" si="49"/>
        <v>0.01</v>
      </c>
      <c r="D359" s="337">
        <f t="shared" si="50"/>
        <v>100</v>
      </c>
      <c r="E359" s="437">
        <f t="shared" si="50"/>
        <v>0.01</v>
      </c>
      <c r="F359" s="526">
        <v>0.01</v>
      </c>
      <c r="G359" s="526">
        <v>0.01</v>
      </c>
      <c r="H359" s="526">
        <v>0.01</v>
      </c>
      <c r="I359" s="526">
        <v>0.01</v>
      </c>
      <c r="J359" s="526">
        <v>0.01</v>
      </c>
      <c r="S359" s="75"/>
      <c r="T359" s="75"/>
    </row>
    <row r="360" spans="1:20" ht="11.25">
      <c r="B360" s="335">
        <v>200</v>
      </c>
      <c r="C360" s="440">
        <f t="shared" si="49"/>
        <v>0.02</v>
      </c>
      <c r="D360" s="337">
        <f t="shared" si="50"/>
        <v>100</v>
      </c>
      <c r="E360" s="437">
        <f t="shared" si="50"/>
        <v>9.9999999999999985E-3</v>
      </c>
      <c r="F360" s="526">
        <v>0.02</v>
      </c>
      <c r="G360" s="526">
        <v>0.02</v>
      </c>
      <c r="H360" s="526">
        <v>0.02</v>
      </c>
      <c r="I360" s="526">
        <v>0.02</v>
      </c>
      <c r="J360" s="526">
        <v>0.02</v>
      </c>
      <c r="S360" s="75"/>
      <c r="T360" s="75"/>
    </row>
    <row r="361" spans="1:20" ht="11.25">
      <c r="B361" s="335">
        <v>300</v>
      </c>
      <c r="C361" s="440">
        <f t="shared" si="49"/>
        <v>0.03</v>
      </c>
      <c r="D361" s="337">
        <f t="shared" si="50"/>
        <v>100</v>
      </c>
      <c r="E361" s="437">
        <f t="shared" si="50"/>
        <v>1.0000000000000002E-2</v>
      </c>
      <c r="F361" s="526">
        <v>0.03</v>
      </c>
      <c r="G361" s="526">
        <v>0.03</v>
      </c>
      <c r="H361" s="526">
        <v>0.03</v>
      </c>
      <c r="I361" s="526">
        <v>0.03</v>
      </c>
      <c r="J361" s="526">
        <v>0.03</v>
      </c>
      <c r="S361" s="75"/>
      <c r="T361" s="75"/>
    </row>
    <row r="362" spans="1:20" ht="11.25">
      <c r="B362" s="335">
        <v>400</v>
      </c>
      <c r="C362" s="440">
        <f t="shared" si="49"/>
        <v>0.04</v>
      </c>
      <c r="D362" s="337">
        <f t="shared" si="50"/>
        <v>100</v>
      </c>
      <c r="E362" s="437">
        <f t="shared" si="50"/>
        <v>1.0000000000000002E-2</v>
      </c>
      <c r="F362" s="526">
        <v>0.04</v>
      </c>
      <c r="G362" s="526">
        <v>0.04</v>
      </c>
      <c r="H362" s="526">
        <v>0.04</v>
      </c>
      <c r="I362" s="526">
        <v>0.04</v>
      </c>
      <c r="J362" s="526">
        <v>0.04</v>
      </c>
      <c r="S362" s="75"/>
      <c r="T362" s="75"/>
    </row>
    <row r="363" spans="1:20" ht="11.25">
      <c r="B363" s="335">
        <v>500</v>
      </c>
      <c r="C363" s="440">
        <f t="shared" si="49"/>
        <v>0.05</v>
      </c>
      <c r="D363" s="337">
        <f t="shared" si="50"/>
        <v>200</v>
      </c>
      <c r="E363" s="437">
        <f t="shared" si="50"/>
        <v>9.999999999999995E-3</v>
      </c>
      <c r="F363" s="526">
        <v>0.05</v>
      </c>
      <c r="G363" s="526">
        <v>0.05</v>
      </c>
      <c r="H363" s="526">
        <v>0.05</v>
      </c>
      <c r="I363" s="526">
        <v>0.05</v>
      </c>
      <c r="J363" s="526">
        <v>0.05</v>
      </c>
      <c r="S363" s="75"/>
      <c r="T363" s="75"/>
    </row>
    <row r="364" spans="1:20" ht="11.25">
      <c r="B364" s="335">
        <v>700</v>
      </c>
      <c r="C364" s="440">
        <f t="shared" si="49"/>
        <v>0.06</v>
      </c>
      <c r="D364" s="337">
        <f t="shared" si="50"/>
        <v>200</v>
      </c>
      <c r="E364" s="437">
        <f t="shared" si="50"/>
        <v>1.0000000000000009E-2</v>
      </c>
      <c r="F364" s="526">
        <v>0.06</v>
      </c>
      <c r="G364" s="526">
        <v>0.06</v>
      </c>
      <c r="H364" s="526">
        <v>0.06</v>
      </c>
      <c r="I364" s="526">
        <v>0.06</v>
      </c>
      <c r="J364" s="526">
        <v>0.06</v>
      </c>
      <c r="S364" s="75"/>
      <c r="T364" s="75"/>
    </row>
    <row r="365" spans="1:20" ht="11.25">
      <c r="B365" s="335">
        <v>900</v>
      </c>
      <c r="C365" s="440">
        <f t="shared" si="49"/>
        <v>7.0000000000000007E-2</v>
      </c>
      <c r="D365" s="337">
        <f t="shared" si="50"/>
        <v>300</v>
      </c>
      <c r="E365" s="437">
        <f t="shared" si="50"/>
        <v>9.999999999999995E-3</v>
      </c>
      <c r="F365" s="526">
        <v>7.0000000000000007E-2</v>
      </c>
      <c r="G365" s="526">
        <v>7.0000000000000007E-2</v>
      </c>
      <c r="H365" s="526">
        <v>7.0000000000000007E-2</v>
      </c>
      <c r="I365" s="526">
        <v>7.0000000000000007E-2</v>
      </c>
      <c r="J365" s="526">
        <v>7.0000000000000007E-2</v>
      </c>
      <c r="S365" s="75"/>
      <c r="T365" s="75"/>
    </row>
    <row r="366" spans="1:20" ht="11.25">
      <c r="B366" s="335">
        <v>1200</v>
      </c>
      <c r="C366" s="440">
        <f t="shared" si="49"/>
        <v>0.08</v>
      </c>
      <c r="D366" s="337">
        <f t="shared" si="50"/>
        <v>300</v>
      </c>
      <c r="E366" s="437">
        <f t="shared" si="50"/>
        <v>9.999999999999995E-3</v>
      </c>
      <c r="F366" s="526">
        <v>0.08</v>
      </c>
      <c r="G366" s="526">
        <v>0.08</v>
      </c>
      <c r="H366" s="526">
        <v>0.08</v>
      </c>
      <c r="I366" s="526">
        <v>0.08</v>
      </c>
      <c r="J366" s="526">
        <v>0.08</v>
      </c>
      <c r="S366" s="75"/>
      <c r="T366" s="75"/>
    </row>
    <row r="367" spans="1:20" ht="11.25">
      <c r="B367" s="335">
        <v>1500</v>
      </c>
      <c r="C367" s="440">
        <f t="shared" si="49"/>
        <v>0.09</v>
      </c>
      <c r="D367" s="337">
        <f t="shared" si="50"/>
        <v>8500</v>
      </c>
      <c r="E367" s="437">
        <f t="shared" si="50"/>
        <v>1.0000000000000009E-2</v>
      </c>
      <c r="F367" s="526">
        <v>0.09</v>
      </c>
      <c r="G367" s="526">
        <v>0.09</v>
      </c>
      <c r="H367" s="526">
        <v>0.09</v>
      </c>
      <c r="I367" s="526">
        <v>0.09</v>
      </c>
      <c r="J367" s="526">
        <v>0.09</v>
      </c>
      <c r="S367" s="75"/>
      <c r="T367" s="75"/>
    </row>
    <row r="368" spans="1:20" ht="11.25">
      <c r="B368" s="352">
        <v>10000</v>
      </c>
      <c r="C368" s="121">
        <f t="shared" si="49"/>
        <v>0.1</v>
      </c>
      <c r="D368" s="340">
        <f t="shared" si="50"/>
        <v>-10000</v>
      </c>
      <c r="E368" s="438">
        <f t="shared" si="50"/>
        <v>-0.1</v>
      </c>
      <c r="F368" s="526">
        <v>0.1</v>
      </c>
      <c r="G368" s="526">
        <v>0.1</v>
      </c>
      <c r="H368" s="526">
        <v>0.1</v>
      </c>
      <c r="I368" s="526">
        <v>0.1</v>
      </c>
      <c r="J368" s="526">
        <v>0.1</v>
      </c>
      <c r="S368" s="75"/>
      <c r="T368" s="75"/>
    </row>
    <row r="369" spans="2:20" ht="11.25">
      <c r="B369" s="3"/>
      <c r="C369" s="342"/>
      <c r="D369" s="343"/>
      <c r="E369" s="38"/>
      <c r="F369" s="38"/>
      <c r="G369" s="38"/>
      <c r="H369" s="38"/>
      <c r="I369" s="38"/>
      <c r="J369" s="344"/>
      <c r="S369" s="75"/>
      <c r="T369" s="75"/>
    </row>
    <row r="370" spans="2:20" ht="11.25">
      <c r="C370" s="32" t="s">
        <v>1880</v>
      </c>
      <c r="D370" s="33"/>
      <c r="E370" s="345">
        <f>cbalTotalGeneralTrainingHrsCompleted</f>
        <v>560</v>
      </c>
      <c r="F370" s="345">
        <f>cbalTotalGeneralTrainingHrsCompleted</f>
        <v>560</v>
      </c>
      <c r="G370" s="345">
        <f>cbalTotalGeneralTrainingHrsCompleted</f>
        <v>560</v>
      </c>
      <c r="H370" s="345">
        <f>cbalTotalGeneralTrainingHrsCompleted</f>
        <v>560</v>
      </c>
      <c r="I370" s="345">
        <f>cbalTotalGeneralTrainingHrsCompleted</f>
        <v>560</v>
      </c>
      <c r="J370" s="97"/>
      <c r="S370" s="75"/>
      <c r="T370" s="75"/>
    </row>
    <row r="371" spans="2:20" ht="11.25">
      <c r="C371" s="30" t="s">
        <v>2096</v>
      </c>
      <c r="D371" s="29"/>
      <c r="E371" s="66">
        <f>VLOOKUP(E370,DataPageTable1,2,1)+((E370-VLOOKUP(E370,DataPageTable1,1,1))/VLOOKUP(E370,DataPageTable1,3,1))*VLOOKUP(E370,DataPageTable1,4,1)</f>
        <v>5.2999999999999999E-2</v>
      </c>
      <c r="F371" s="66">
        <f>VLOOKUP(F370,DataPageTable1,2,1)+((F370-VLOOKUP(F370,DataPageTable1,1,1))/VLOOKUP(F370,DataPageTable1,3,1))*VLOOKUP(F370,DataPageTable1,4,1)</f>
        <v>5.2999999999999999E-2</v>
      </c>
      <c r="G371" s="66">
        <f>VLOOKUP(G370,DataPageTable1,2,1)+((G370-VLOOKUP(G370,DataPageTable1,1,1))/VLOOKUP(G370,DataPageTable1,3,1))*VLOOKUP(G370,DataPageTable1,4,1)</f>
        <v>5.2999999999999999E-2</v>
      </c>
      <c r="H371" s="66">
        <f>VLOOKUP(H370,DataPageTable1,2,1)+((H370-VLOOKUP(H370,DataPageTable1,1,1))/VLOOKUP(H370,DataPageTable1,3,1))*VLOOKUP(H370,DataPageTable1,4,1)</f>
        <v>5.2999999999999999E-2</v>
      </c>
      <c r="I371" s="66">
        <f>VLOOKUP(I370,DataPageTable1,2,1)+((I370-VLOOKUP(I370,DataPageTable1,1,1))/VLOOKUP(I370,DataPageTable1,3,1))*VLOOKUP(I370,DataPageTable1,4,1)</f>
        <v>5.2999999999999999E-2</v>
      </c>
      <c r="J371" s="31" t="s">
        <v>3205</v>
      </c>
    </row>
    <row r="372" spans="2:20" ht="11.25">
      <c r="C372" s="355"/>
      <c r="D372" s="28"/>
      <c r="E372" s="356"/>
      <c r="F372" s="356"/>
      <c r="G372" s="356"/>
      <c r="H372" s="356"/>
      <c r="I372" s="356"/>
      <c r="J372" s="27"/>
    </row>
    <row r="373" spans="2:20" ht="11.25">
      <c r="B373" s="2"/>
      <c r="C373" s="2"/>
      <c r="D373" s="28"/>
      <c r="E373" s="3"/>
      <c r="F373" s="3"/>
      <c r="G373" s="3"/>
      <c r="H373" s="3"/>
      <c r="I373" s="3"/>
      <c r="J373" s="3"/>
      <c r="S373" s="75"/>
      <c r="T373" s="75"/>
    </row>
    <row r="374" spans="2:20" ht="11.25">
      <c r="B374" s="34" t="s">
        <v>3206</v>
      </c>
      <c r="C374" s="52"/>
      <c r="D374" s="52"/>
      <c r="E374" s="53"/>
      <c r="F374" s="65" t="s">
        <v>3811</v>
      </c>
      <c r="G374" s="52"/>
      <c r="H374" s="52"/>
      <c r="I374" s="52"/>
      <c r="J374" s="53"/>
      <c r="S374" s="75"/>
      <c r="T374" s="75"/>
    </row>
    <row r="375" spans="2:20" ht="11.25">
      <c r="B375" s="334"/>
      <c r="C375" s="58"/>
      <c r="D375" s="58" t="s">
        <v>1878</v>
      </c>
      <c r="E375" s="59" t="s">
        <v>1879</v>
      </c>
      <c r="F375" s="334">
        <v>0</v>
      </c>
      <c r="G375" s="58">
        <v>1</v>
      </c>
      <c r="H375" s="58">
        <v>2</v>
      </c>
      <c r="I375" s="58">
        <v>3</v>
      </c>
      <c r="J375" s="59">
        <v>4</v>
      </c>
      <c r="S375" s="75"/>
      <c r="T375" s="75"/>
    </row>
    <row r="376" spans="2:20" ht="11.25">
      <c r="B376" s="347">
        <v>0</v>
      </c>
      <c r="C376" s="348">
        <f>INDEX(F376:J376,xxYear+1)</f>
        <v>0</v>
      </c>
      <c r="D376" s="349">
        <f t="shared" ref="D376:D386" si="51">B377-B376</f>
        <v>9</v>
      </c>
      <c r="E376" s="350">
        <f t="shared" ref="E376:E386" si="52">C377-C376</f>
        <v>50</v>
      </c>
      <c r="F376" s="348">
        <v>0</v>
      </c>
      <c r="G376" s="348">
        <v>0</v>
      </c>
      <c r="H376" s="348">
        <v>0</v>
      </c>
      <c r="I376" s="348">
        <v>0</v>
      </c>
      <c r="J376" s="351">
        <v>0</v>
      </c>
      <c r="S376" s="75"/>
      <c r="T376" s="75"/>
    </row>
    <row r="377" spans="2:20" ht="11.25">
      <c r="B377" s="335">
        <v>9</v>
      </c>
      <c r="C377" s="336">
        <f>INDEX(F377:J377,xxYear+1)</f>
        <v>50</v>
      </c>
      <c r="D377" s="337">
        <f t="shared" si="51"/>
        <v>9</v>
      </c>
      <c r="E377" s="338">
        <f t="shared" si="52"/>
        <v>9</v>
      </c>
      <c r="F377" s="336">
        <v>50</v>
      </c>
      <c r="G377" s="336">
        <v>50</v>
      </c>
      <c r="H377" s="336">
        <v>50</v>
      </c>
      <c r="I377" s="336">
        <v>50</v>
      </c>
      <c r="J377" s="339">
        <v>50</v>
      </c>
      <c r="S377" s="75"/>
      <c r="T377" s="75"/>
    </row>
    <row r="378" spans="2:20" ht="11.25">
      <c r="B378" s="335">
        <v>18</v>
      </c>
      <c r="C378" s="336">
        <f>INDEX(F378:J378,xxYear+1)</f>
        <v>59</v>
      </c>
      <c r="D378" s="337">
        <f t="shared" si="51"/>
        <v>9</v>
      </c>
      <c r="E378" s="338">
        <f t="shared" si="52"/>
        <v>9</v>
      </c>
      <c r="F378" s="336">
        <v>59</v>
      </c>
      <c r="G378" s="336">
        <v>59</v>
      </c>
      <c r="H378" s="336">
        <v>59</v>
      </c>
      <c r="I378" s="336">
        <v>59</v>
      </c>
      <c r="J378" s="339">
        <v>59</v>
      </c>
      <c r="S378" s="75"/>
      <c r="T378" s="75"/>
    </row>
    <row r="379" spans="2:20" ht="11.25">
      <c r="B379" s="335">
        <v>27</v>
      </c>
      <c r="C379" s="336">
        <f>INDEX(F379:J379,xxYear+1)</f>
        <v>68</v>
      </c>
      <c r="D379" s="337">
        <f t="shared" si="51"/>
        <v>9</v>
      </c>
      <c r="E379" s="338">
        <f t="shared" si="52"/>
        <v>26</v>
      </c>
      <c r="F379" s="336">
        <v>68</v>
      </c>
      <c r="G379" s="336">
        <v>68</v>
      </c>
      <c r="H379" s="336">
        <v>68</v>
      </c>
      <c r="I379" s="336">
        <v>68</v>
      </c>
      <c r="J379" s="339">
        <v>68</v>
      </c>
      <c r="S379" s="75"/>
      <c r="T379" s="75"/>
    </row>
    <row r="380" spans="2:20" ht="11.25">
      <c r="B380" s="335">
        <v>36</v>
      </c>
      <c r="C380" s="336">
        <v>94</v>
      </c>
      <c r="D380" s="337">
        <f t="shared" si="51"/>
        <v>9</v>
      </c>
      <c r="E380" s="338">
        <f t="shared" si="52"/>
        <v>-8</v>
      </c>
      <c r="F380" s="336">
        <v>77</v>
      </c>
      <c r="G380" s="336">
        <v>77</v>
      </c>
      <c r="H380" s="336">
        <v>77</v>
      </c>
      <c r="I380" s="336">
        <v>77</v>
      </c>
      <c r="J380" s="339">
        <v>77</v>
      </c>
      <c r="S380" s="75"/>
      <c r="T380" s="75"/>
    </row>
    <row r="381" spans="2:20" ht="11.25">
      <c r="B381" s="335">
        <v>45</v>
      </c>
      <c r="C381" s="336">
        <f t="shared" ref="C381:C386" si="53">INDEX(F381:J381,xxYear+1)</f>
        <v>86</v>
      </c>
      <c r="D381" s="337">
        <f t="shared" si="51"/>
        <v>9</v>
      </c>
      <c r="E381" s="338">
        <f t="shared" si="52"/>
        <v>9</v>
      </c>
      <c r="F381" s="336">
        <v>86</v>
      </c>
      <c r="G381" s="336">
        <v>86</v>
      </c>
      <c r="H381" s="336">
        <v>86</v>
      </c>
      <c r="I381" s="336">
        <v>86</v>
      </c>
      <c r="J381" s="339">
        <v>86</v>
      </c>
      <c r="S381" s="75"/>
      <c r="T381" s="75"/>
    </row>
    <row r="382" spans="2:20" ht="11.25">
      <c r="B382" s="335">
        <v>54</v>
      </c>
      <c r="C382" s="336">
        <f t="shared" si="53"/>
        <v>95</v>
      </c>
      <c r="D382" s="337">
        <f t="shared" si="51"/>
        <v>9</v>
      </c>
      <c r="E382" s="338">
        <f t="shared" si="52"/>
        <v>9</v>
      </c>
      <c r="F382" s="336">
        <v>95</v>
      </c>
      <c r="G382" s="336">
        <v>95</v>
      </c>
      <c r="H382" s="336">
        <v>95</v>
      </c>
      <c r="I382" s="336">
        <v>95</v>
      </c>
      <c r="J382" s="339">
        <v>95</v>
      </c>
      <c r="S382" s="75"/>
      <c r="T382" s="75"/>
    </row>
    <row r="383" spans="2:20" ht="11.25">
      <c r="B383" s="335">
        <v>63</v>
      </c>
      <c r="C383" s="336">
        <f t="shared" si="53"/>
        <v>104</v>
      </c>
      <c r="D383" s="337">
        <f t="shared" si="51"/>
        <v>9</v>
      </c>
      <c r="E383" s="338">
        <f t="shared" si="52"/>
        <v>9</v>
      </c>
      <c r="F383" s="336">
        <v>104</v>
      </c>
      <c r="G383" s="336">
        <v>104</v>
      </c>
      <c r="H383" s="336">
        <v>104</v>
      </c>
      <c r="I383" s="336">
        <v>104</v>
      </c>
      <c r="J383" s="339">
        <v>104</v>
      </c>
      <c r="S383" s="75"/>
      <c r="T383" s="75"/>
    </row>
    <row r="384" spans="2:20" ht="11.25">
      <c r="B384" s="335">
        <v>72</v>
      </c>
      <c r="C384" s="336">
        <f t="shared" si="53"/>
        <v>113</v>
      </c>
      <c r="D384" s="337">
        <f t="shared" si="51"/>
        <v>9</v>
      </c>
      <c r="E384" s="338">
        <f t="shared" si="52"/>
        <v>9</v>
      </c>
      <c r="F384" s="336">
        <v>113</v>
      </c>
      <c r="G384" s="336">
        <v>113</v>
      </c>
      <c r="H384" s="336">
        <v>113</v>
      </c>
      <c r="I384" s="336">
        <v>113</v>
      </c>
      <c r="J384" s="339">
        <v>113</v>
      </c>
      <c r="S384" s="75"/>
      <c r="T384" s="75"/>
    </row>
    <row r="385" spans="2:20" ht="11.25">
      <c r="B385" s="335">
        <v>81</v>
      </c>
      <c r="C385" s="336">
        <f t="shared" si="53"/>
        <v>122</v>
      </c>
      <c r="D385" s="337">
        <f t="shared" si="51"/>
        <v>9</v>
      </c>
      <c r="E385" s="338">
        <f t="shared" si="52"/>
        <v>9</v>
      </c>
      <c r="F385" s="336">
        <v>122</v>
      </c>
      <c r="G385" s="336">
        <v>122</v>
      </c>
      <c r="H385" s="336">
        <v>122</v>
      </c>
      <c r="I385" s="336">
        <v>122</v>
      </c>
      <c r="J385" s="339">
        <v>122</v>
      </c>
      <c r="S385" s="75"/>
      <c r="T385" s="75"/>
    </row>
    <row r="386" spans="2:20" ht="11.25">
      <c r="B386" s="352">
        <v>90</v>
      </c>
      <c r="C386" s="353">
        <f t="shared" si="53"/>
        <v>131</v>
      </c>
      <c r="D386" s="340">
        <f t="shared" si="51"/>
        <v>-90</v>
      </c>
      <c r="E386" s="341">
        <f t="shared" si="52"/>
        <v>-131</v>
      </c>
      <c r="F386" s="353">
        <v>131</v>
      </c>
      <c r="G386" s="353">
        <v>131</v>
      </c>
      <c r="H386" s="353">
        <v>131</v>
      </c>
      <c r="I386" s="353">
        <v>131</v>
      </c>
      <c r="J386" s="354">
        <v>131</v>
      </c>
      <c r="S386" s="75"/>
      <c r="T386" s="75"/>
    </row>
    <row r="387" spans="2:20" ht="11.25">
      <c r="B387" s="3"/>
      <c r="C387" s="342"/>
      <c r="D387" s="343"/>
      <c r="E387" s="38"/>
      <c r="F387" s="38"/>
      <c r="G387" s="38"/>
      <c r="H387" s="38"/>
      <c r="I387" s="38"/>
      <c r="J387" s="344"/>
      <c r="S387" s="75"/>
      <c r="T387" s="75"/>
    </row>
    <row r="388" spans="2:20" ht="11.25">
      <c r="C388" s="32" t="s">
        <v>1880</v>
      </c>
      <c r="D388" s="33"/>
      <c r="E388" s="345"/>
      <c r="F388" s="345"/>
      <c r="G388" s="345"/>
      <c r="H388" s="345"/>
      <c r="I388" s="345"/>
      <c r="J388" s="97"/>
      <c r="S388" s="75"/>
      <c r="T388" s="75"/>
    </row>
    <row r="389" spans="2:20" ht="11.25">
      <c r="C389" s="30" t="s">
        <v>2096</v>
      </c>
      <c r="D389" s="29"/>
      <c r="E389" s="346">
        <f>VLOOKUP(E388,DataPageTable2,2,1)+((E388-VLOOKUP(E388,DataPageTable2,1,1))/VLOOKUP(E388,DataPageTable2,3,1))*VLOOKUP(E388,DataPageTable2,4,1)</f>
        <v>0</v>
      </c>
      <c r="F389" s="346">
        <f>VLOOKUP(F388,DataPageTable2,2,1)+((F388-VLOOKUP(F388,DataPageTable2,1,1))/VLOOKUP(F388,DataPageTable2,3,1))*VLOOKUP(F388,DataPageTable2,4,1)</f>
        <v>0</v>
      </c>
      <c r="G389" s="346">
        <f>VLOOKUP(G388,DataPageTable2,2,1)+((G388-VLOOKUP(G388,DataPageTable2,1,1))/VLOOKUP(G388,DataPageTable2,3,1))*VLOOKUP(G388,DataPageTable2,4,1)</f>
        <v>0</v>
      </c>
      <c r="H389" s="346">
        <f>VLOOKUP(H388,DataPageTable2,2,1)+((H388-VLOOKUP(H388,DataPageTable2,1,1))/VLOOKUP(H388,DataPageTable2,3,1))*VLOOKUP(H388,DataPageTable2,4,1)</f>
        <v>0</v>
      </c>
      <c r="I389" s="346">
        <f>VLOOKUP(I388,DataPageTable2,2,1)+((I388-VLOOKUP(I388,DataPageTable2,1,1))/VLOOKUP(I388,DataPageTable2,3,1))*VLOOKUP(I388,DataPageTable2,4,1)</f>
        <v>0</v>
      </c>
      <c r="J389" s="31"/>
    </row>
    <row r="390" spans="2:20" ht="11.25">
      <c r="C390" s="355"/>
      <c r="D390" s="28"/>
      <c r="E390" s="356"/>
      <c r="F390" s="356"/>
      <c r="G390" s="356"/>
      <c r="H390" s="356"/>
      <c r="I390" s="356"/>
      <c r="J390" s="27"/>
    </row>
    <row r="391" spans="2:20" ht="11.25">
      <c r="B391" s="34" t="s">
        <v>1093</v>
      </c>
      <c r="C391" s="52"/>
      <c r="D391" s="52"/>
      <c r="E391" s="53"/>
      <c r="F391" s="65" t="s">
        <v>3811</v>
      </c>
      <c r="G391" s="52"/>
      <c r="H391" s="52"/>
      <c r="I391" s="52"/>
      <c r="J391" s="53"/>
      <c r="S391" s="75"/>
      <c r="T391" s="75"/>
    </row>
    <row r="392" spans="2:20" ht="11.25">
      <c r="B392" s="34"/>
      <c r="C392" s="58"/>
      <c r="D392" s="58" t="s">
        <v>1878</v>
      </c>
      <c r="E392" s="59" t="s">
        <v>1879</v>
      </c>
      <c r="F392" s="65">
        <v>0</v>
      </c>
      <c r="G392" s="52">
        <v>1</v>
      </c>
      <c r="H392" s="52">
        <v>2</v>
      </c>
      <c r="I392" s="52">
        <v>3</v>
      </c>
      <c r="J392" s="53">
        <v>4</v>
      </c>
      <c r="S392" s="75"/>
      <c r="T392" s="75"/>
    </row>
    <row r="393" spans="2:20" ht="11.25">
      <c r="B393" s="459">
        <v>0</v>
      </c>
      <c r="C393" s="435">
        <f t="shared" ref="C393:C403" si="54">INDEX(F393:J393,xxYear+1)</f>
        <v>0</v>
      </c>
      <c r="D393" s="349">
        <f t="shared" ref="D393:D402" si="55">B394-B393</f>
        <v>1000</v>
      </c>
      <c r="E393" s="436">
        <f t="shared" ref="E393:E402" si="56">C394-C393</f>
        <v>7.4999999999999997E-3</v>
      </c>
      <c r="F393" s="462">
        <v>0</v>
      </c>
      <c r="G393" s="463">
        <v>0</v>
      </c>
      <c r="H393" s="463">
        <v>0</v>
      </c>
      <c r="I393" s="463">
        <v>0</v>
      </c>
      <c r="J393" s="464">
        <v>0</v>
      </c>
      <c r="S393" s="75"/>
      <c r="T393" s="75"/>
    </row>
    <row r="394" spans="2:20" ht="11.25">
      <c r="B394" s="460">
        <v>1000</v>
      </c>
      <c r="C394" s="440">
        <f t="shared" si="54"/>
        <v>7.4999999999999997E-3</v>
      </c>
      <c r="D394" s="337">
        <f t="shared" si="55"/>
        <v>1000</v>
      </c>
      <c r="E394" s="437">
        <f t="shared" si="56"/>
        <v>7.4999999999999997E-3</v>
      </c>
      <c r="F394" s="465">
        <v>7.4999999999999997E-3</v>
      </c>
      <c r="G394" s="466">
        <v>7.4999999999999997E-3</v>
      </c>
      <c r="H394" s="466">
        <v>7.4999999999999997E-3</v>
      </c>
      <c r="I394" s="466">
        <v>7.4999999999999997E-3</v>
      </c>
      <c r="J394" s="467">
        <v>7.4999999999999997E-3</v>
      </c>
      <c r="S394" s="75"/>
      <c r="T394" s="75"/>
    </row>
    <row r="395" spans="2:20" ht="11.25">
      <c r="B395" s="460">
        <v>2000</v>
      </c>
      <c r="C395" s="440">
        <f t="shared" si="54"/>
        <v>1.4999999999999999E-2</v>
      </c>
      <c r="D395" s="337">
        <f t="shared" si="55"/>
        <v>1000</v>
      </c>
      <c r="E395" s="437">
        <f t="shared" si="56"/>
        <v>2.2499999999999999E-2</v>
      </c>
      <c r="F395" s="465">
        <v>1.4999999999999999E-2</v>
      </c>
      <c r="G395" s="466">
        <v>1.4999999999999999E-2</v>
      </c>
      <c r="H395" s="466">
        <v>1.4999999999999999E-2</v>
      </c>
      <c r="I395" s="466">
        <v>1.4999999999999999E-2</v>
      </c>
      <c r="J395" s="467">
        <v>1.4999999999999999E-2</v>
      </c>
      <c r="S395" s="75"/>
      <c r="T395" s="75"/>
    </row>
    <row r="396" spans="2:20" ht="11.25">
      <c r="B396" s="460">
        <v>3000</v>
      </c>
      <c r="C396" s="440">
        <f t="shared" si="54"/>
        <v>3.7499999999999999E-2</v>
      </c>
      <c r="D396" s="337">
        <f t="shared" si="55"/>
        <v>1000</v>
      </c>
      <c r="E396" s="437">
        <f t="shared" si="56"/>
        <v>1.2500000000000004E-2</v>
      </c>
      <c r="F396" s="465">
        <v>3.7499999999999999E-2</v>
      </c>
      <c r="G396" s="466">
        <v>3.7499999999999999E-2</v>
      </c>
      <c r="H396" s="466">
        <v>3.7499999999999999E-2</v>
      </c>
      <c r="I396" s="466">
        <v>3.7499999999999999E-2</v>
      </c>
      <c r="J396" s="467">
        <v>3.7499999999999999E-2</v>
      </c>
      <c r="S396" s="75"/>
      <c r="T396" s="75"/>
    </row>
    <row r="397" spans="2:20" ht="11.25">
      <c r="B397" s="460">
        <v>4000</v>
      </c>
      <c r="C397" s="440">
        <f t="shared" si="54"/>
        <v>0.05</v>
      </c>
      <c r="D397" s="337">
        <f t="shared" si="55"/>
        <v>1000</v>
      </c>
      <c r="E397" s="437">
        <f t="shared" si="56"/>
        <v>1.3249999999999998E-2</v>
      </c>
      <c r="F397" s="465">
        <v>0.05</v>
      </c>
      <c r="G397" s="466">
        <v>0.05</v>
      </c>
      <c r="H397" s="466">
        <v>0.05</v>
      </c>
      <c r="I397" s="466">
        <v>0.05</v>
      </c>
      <c r="J397" s="467">
        <v>0.05</v>
      </c>
      <c r="S397" s="75"/>
      <c r="T397" s="75"/>
    </row>
    <row r="398" spans="2:20" ht="11.25">
      <c r="B398" s="460">
        <v>5000</v>
      </c>
      <c r="C398" s="440">
        <f t="shared" si="54"/>
        <v>6.3250000000000001E-2</v>
      </c>
      <c r="D398" s="337">
        <f t="shared" si="55"/>
        <v>2000</v>
      </c>
      <c r="E398" s="437">
        <f t="shared" si="56"/>
        <v>1.6750000000000001E-2</v>
      </c>
      <c r="F398" s="465">
        <v>6.3250000000000001E-2</v>
      </c>
      <c r="G398" s="466">
        <v>6.3250000000000001E-2</v>
      </c>
      <c r="H398" s="466">
        <v>6.3250000000000001E-2</v>
      </c>
      <c r="I398" s="466">
        <v>6.3250000000000001E-2</v>
      </c>
      <c r="J398" s="467">
        <v>6.3250000000000001E-2</v>
      </c>
      <c r="S398" s="75"/>
      <c r="T398" s="75"/>
    </row>
    <row r="399" spans="2:20" ht="11.25">
      <c r="B399" s="460">
        <v>7000</v>
      </c>
      <c r="C399" s="440">
        <f t="shared" si="54"/>
        <v>0.08</v>
      </c>
      <c r="D399" s="337">
        <f t="shared" si="55"/>
        <v>2000</v>
      </c>
      <c r="E399" s="437">
        <f t="shared" si="56"/>
        <v>1.4416666666666703E-2</v>
      </c>
      <c r="F399" s="465">
        <v>0.08</v>
      </c>
      <c r="G399" s="466">
        <v>0.08</v>
      </c>
      <c r="H399" s="466">
        <v>0.08</v>
      </c>
      <c r="I399" s="466">
        <v>0.08</v>
      </c>
      <c r="J399" s="467">
        <v>0.08</v>
      </c>
      <c r="S399" s="75"/>
      <c r="T399" s="75"/>
    </row>
    <row r="400" spans="2:20" ht="11.25">
      <c r="B400" s="460">
        <v>9000</v>
      </c>
      <c r="C400" s="440">
        <f t="shared" si="54"/>
        <v>9.4416666666666704E-2</v>
      </c>
      <c r="D400" s="337">
        <f t="shared" si="55"/>
        <v>3000</v>
      </c>
      <c r="E400" s="437">
        <f t="shared" si="56"/>
        <v>1.5000000000000291E-2</v>
      </c>
      <c r="F400" s="465">
        <v>9.4416666666666704E-2</v>
      </c>
      <c r="G400" s="466">
        <v>9.4416666666666704E-2</v>
      </c>
      <c r="H400" s="466">
        <v>9.4416666666666704E-2</v>
      </c>
      <c r="I400" s="466">
        <v>9.4416666666666704E-2</v>
      </c>
      <c r="J400" s="467">
        <v>9.4416666666666704E-2</v>
      </c>
      <c r="S400" s="75"/>
      <c r="T400" s="75"/>
    </row>
    <row r="401" spans="2:20" ht="11.25">
      <c r="B401" s="460">
        <v>12000</v>
      </c>
      <c r="C401" s="440">
        <f t="shared" si="54"/>
        <v>0.109416666666667</v>
      </c>
      <c r="D401" s="337">
        <f t="shared" si="55"/>
        <v>3000</v>
      </c>
      <c r="E401" s="437">
        <f t="shared" si="56"/>
        <v>1.4999999999999999E-2</v>
      </c>
      <c r="F401" s="465">
        <v>0.109416666666667</v>
      </c>
      <c r="G401" s="466">
        <v>0.109416666666667</v>
      </c>
      <c r="H401" s="466">
        <v>0.109416666666667</v>
      </c>
      <c r="I401" s="466">
        <v>0.109416666666667</v>
      </c>
      <c r="J401" s="467">
        <v>0.109416666666667</v>
      </c>
      <c r="S401" s="75"/>
      <c r="T401" s="75"/>
    </row>
    <row r="402" spans="2:20" ht="11.25">
      <c r="B402" s="460">
        <v>15000</v>
      </c>
      <c r="C402" s="440">
        <f t="shared" si="54"/>
        <v>0.12441666666666699</v>
      </c>
      <c r="D402" s="337">
        <f t="shared" si="55"/>
        <v>85000</v>
      </c>
      <c r="E402" s="437">
        <f t="shared" si="56"/>
        <v>1.4999999999999999E-2</v>
      </c>
      <c r="F402" s="465">
        <v>0.12441666666666699</v>
      </c>
      <c r="G402" s="466">
        <v>0.12441666666666699</v>
      </c>
      <c r="H402" s="466">
        <v>0.12441666666666699</v>
      </c>
      <c r="I402" s="466">
        <v>0.12441666666666699</v>
      </c>
      <c r="J402" s="467">
        <v>0.12441666666666699</v>
      </c>
      <c r="S402" s="75"/>
      <c r="T402" s="75"/>
    </row>
    <row r="403" spans="2:20" ht="11.25">
      <c r="B403" s="461">
        <v>100000</v>
      </c>
      <c r="C403" s="121">
        <f t="shared" si="54"/>
        <v>0.13941666666666699</v>
      </c>
      <c r="D403" s="340">
        <f>B406-B403</f>
        <v>-100000</v>
      </c>
      <c r="E403" s="438">
        <f>C406-C403</f>
        <v>-0.13941666666666699</v>
      </c>
      <c r="F403" s="468">
        <v>0.13941666666666699</v>
      </c>
      <c r="G403" s="122">
        <v>0.13941666666666699</v>
      </c>
      <c r="H403" s="122">
        <v>0.13941666666666699</v>
      </c>
      <c r="I403" s="122">
        <v>0.13941666666666699</v>
      </c>
      <c r="J403" s="469">
        <v>0.13941666666666699</v>
      </c>
      <c r="S403" s="75"/>
      <c r="T403" s="75"/>
    </row>
    <row r="404" spans="2:20" ht="11.25">
      <c r="S404" s="75"/>
      <c r="T404" s="75"/>
    </row>
    <row r="405" spans="2:20" ht="11.25">
      <c r="S405" s="75"/>
      <c r="T405" s="75"/>
    </row>
    <row r="406" spans="2:20" ht="11.25">
      <c r="B406" s="3"/>
      <c r="C406" s="342"/>
      <c r="D406" s="343"/>
      <c r="E406" s="38"/>
      <c r="F406" s="38"/>
      <c r="G406" s="38"/>
      <c r="H406" s="38"/>
      <c r="I406" s="38"/>
      <c r="J406" s="344"/>
      <c r="S406" s="75"/>
      <c r="T406" s="75"/>
    </row>
    <row r="407" spans="2:20" ht="11.25">
      <c r="C407" s="32" t="s">
        <v>1095</v>
      </c>
      <c r="D407" s="33"/>
      <c r="E407" s="458">
        <f>(capBid1Emp4HrsRFQ*paramEmp4ProductivityCoef)+(capBid1Emp3HrsRFQ*paramEmp3ProductivityCoef)+(capBid1Emp2HrsRFQ*paramEmp2ProductivityCoef)</f>
        <v>4105.7404439035618</v>
      </c>
      <c r="F407" s="458">
        <f>(capBid1Emp4HrsRFQ*paramEmp4ProductivityCoef)+(capBid1Emp3HrsRFQ*paramEmp3ProductivityCoef)+(capBid1Emp2HrsRFQ*paramEmp2ProductivityCoef)</f>
        <v>4105.7404439035618</v>
      </c>
      <c r="G407" s="458">
        <f>(capBid1Emp4HrsRFQ*paramEmp4ProductivityCoef)+(capBid1Emp3HrsRFQ*paramEmp3ProductivityCoef)+(capBid1Emp2HrsRFQ*paramEmp2ProductivityCoef)</f>
        <v>4105.7404439035618</v>
      </c>
      <c r="H407" s="458">
        <f>(capBid1Emp4HrsRFQ*paramEmp4ProductivityCoef)+(capBid1Emp3HrsRFQ*paramEmp3ProductivityCoef)+(capBid1Emp2HrsRFQ*paramEmp2ProductivityCoef)</f>
        <v>4105.7404439035618</v>
      </c>
      <c r="I407" s="458">
        <f>(capBid1Emp4HrsRFQ*paramEmp4ProductivityCoef)+(capBid1Emp3HrsRFQ*paramEmp3ProductivityCoef)+(capBid1Emp2HrsRFQ*paramEmp2ProductivityCoef)</f>
        <v>4105.7404439035618</v>
      </c>
      <c r="J407" s="97"/>
      <c r="S407" s="75"/>
      <c r="T407" s="75"/>
    </row>
    <row r="408" spans="2:20" ht="11.25">
      <c r="C408" s="30"/>
      <c r="D408" s="29"/>
      <c r="E408" s="66">
        <f>VLOOKUP(E407,DataPageTable3,2,1)+((E407-VLOOKUP(E407,DataPageTable3,1,1))/VLOOKUP(E407,DataPageTable3,3,1))*VLOOKUP(E407,DataPageTable3,4,1)</f>
        <v>5.1401060881722194E-2</v>
      </c>
      <c r="F408" s="66">
        <f>VLOOKUP(F407,DataPageTable3,2,1)+((F407-VLOOKUP(F407,DataPageTable3,1,1))/VLOOKUP(F407,DataPageTable3,3,1))*VLOOKUP(F407,DataPageTable3,4,1)</f>
        <v>5.1401060881722194E-2</v>
      </c>
      <c r="G408" s="66">
        <f>VLOOKUP(G407,DataPageTable3,2,1)+((G407-VLOOKUP(G407,DataPageTable3,1,1))/VLOOKUP(G407,DataPageTable3,3,1))*VLOOKUP(G407,DataPageTable3,4,1)</f>
        <v>5.1401060881722194E-2</v>
      </c>
      <c r="H408" s="66">
        <f>VLOOKUP(H407,DataPageTable3,2,1)+((H407-VLOOKUP(H407,DataPageTable3,1,1))/VLOOKUP(H407,DataPageTable3,3,1))*VLOOKUP(H407,DataPageTable3,4,1)</f>
        <v>5.1401060881722194E-2</v>
      </c>
      <c r="I408" s="66">
        <f>VLOOKUP(I407,DataPageTable3,2,1)+((I407-VLOOKUP(I407,DataPageTable3,1,1))/VLOOKUP(I407,DataPageTable3,3,1))*VLOOKUP(I407,DataPageTable3,4,1)</f>
        <v>5.1401060881722194E-2</v>
      </c>
      <c r="J408" s="31" t="s">
        <v>1094</v>
      </c>
    </row>
    <row r="409" spans="2:20" ht="11.25">
      <c r="C409" s="355"/>
      <c r="D409" s="28"/>
      <c r="E409" s="456"/>
      <c r="F409" s="456"/>
      <c r="G409" s="456"/>
      <c r="H409" s="456"/>
      <c r="I409" s="456"/>
      <c r="J409" s="27"/>
    </row>
    <row r="410" spans="2:20" ht="11.25">
      <c r="C410" s="32" t="s">
        <v>1096</v>
      </c>
      <c r="D410" s="33"/>
      <c r="E410" s="458">
        <f>(capBid2Emp4HrsRFQ*paramEmp4ProductivityCoef)+(capBid2Emp3HrsRFQ*paramEmp3ProductivityCoef)+(capBid2Emp2HrsRFQ*paramEmp2ProductivityCoef)</f>
        <v>0</v>
      </c>
      <c r="F410" s="458">
        <f>(capBid2Emp4HrsRFQ*paramEmp4ProductivityCoef)+(capBid2Emp3HrsRFQ*paramEmp3ProductivityCoef)+(capBid2Emp2HrsRFQ*paramEmp2ProductivityCoef)</f>
        <v>0</v>
      </c>
      <c r="G410" s="458">
        <f>(capBid2Emp4HrsRFQ*paramEmp4ProductivityCoef)+(capBid2Emp3HrsRFQ*paramEmp3ProductivityCoef)+(capBid2Emp2HrsRFQ*paramEmp2ProductivityCoef)</f>
        <v>0</v>
      </c>
      <c r="H410" s="458">
        <f>(capBid2Emp4HrsRFQ*paramEmp4ProductivityCoef)+(capBid2Emp3HrsRFQ*paramEmp3ProductivityCoef)+(capBid2Emp2HrsRFQ*paramEmp2ProductivityCoef)</f>
        <v>0</v>
      </c>
      <c r="I410" s="458">
        <f>(capBid2Emp4HrsRFQ*paramEmp4ProductivityCoef)+(capBid2Emp3HrsRFQ*paramEmp3ProductivityCoef)+(capBid2Emp2HrsRFQ*paramEmp2ProductivityCoef)</f>
        <v>0</v>
      </c>
      <c r="J410" s="97"/>
      <c r="S410" s="75"/>
      <c r="T410" s="75"/>
    </row>
    <row r="411" spans="2:20" ht="11.25">
      <c r="C411" s="30"/>
      <c r="D411" s="29"/>
      <c r="E411" s="39">
        <f>VLOOKUP(E410,DataPageTable3,2,1)+((E410-VLOOKUP(E410,DataPageTable3,1,1))/VLOOKUP(E410,DataPageTable3,3,1))*VLOOKUP(E410,DataPageTable3,4,1)</f>
        <v>0</v>
      </c>
      <c r="F411" s="39">
        <f>VLOOKUP(F410,DataPageTable3,2,1)+((F410-VLOOKUP(F410,DataPageTable3,1,1))/VLOOKUP(F410,DataPageTable3,3,1))*VLOOKUP(F410,DataPageTable3,4,1)</f>
        <v>0</v>
      </c>
      <c r="G411" s="39">
        <f>VLOOKUP(G410,DataPageTable3,2,1)+((G410-VLOOKUP(G410,DataPageTable3,1,1))/VLOOKUP(G410,DataPageTable3,3,1))*VLOOKUP(G410,DataPageTable3,4,1)</f>
        <v>0</v>
      </c>
      <c r="H411" s="39">
        <f>VLOOKUP(H410,DataPageTable3,2,1)+((H410-VLOOKUP(H410,DataPageTable3,1,1))/VLOOKUP(H410,DataPageTable3,3,1))*VLOOKUP(H410,DataPageTable3,4,1)</f>
        <v>0</v>
      </c>
      <c r="I411" s="39">
        <f>VLOOKUP(I410,DataPageTable3,2,1)+((I410-VLOOKUP(I410,DataPageTable3,1,1))/VLOOKUP(I410,DataPageTable3,3,1))*VLOOKUP(I410,DataPageTable3,4,1)</f>
        <v>0</v>
      </c>
      <c r="J411" s="31" t="s">
        <v>1099</v>
      </c>
    </row>
    <row r="412" spans="2:20" ht="11.25">
      <c r="C412" s="355"/>
      <c r="D412" s="28"/>
      <c r="E412" s="456"/>
      <c r="F412" s="456"/>
      <c r="G412" s="456"/>
      <c r="H412" s="456"/>
      <c r="I412" s="456"/>
      <c r="J412" s="27"/>
    </row>
    <row r="413" spans="2:20" ht="11.25">
      <c r="C413" s="32" t="s">
        <v>1097</v>
      </c>
      <c r="D413" s="33"/>
      <c r="E413" s="458">
        <f>(capBid3Emp4HrsRFQ*paramEmp4ProductivityCoef)+(capBid3Emp3HrsRFQ*paramEmp3ProductivityCoef)+(capBid3Emp2HrsRFQ*paramEmp2ProductivityCoef)</f>
        <v>0</v>
      </c>
      <c r="F413" s="458">
        <f>(capBid3Emp4HrsRFQ*paramEmp4ProductivityCoef)+(capBid3Emp3HrsRFQ*paramEmp3ProductivityCoef)+(capBid3Emp2HrsRFQ*paramEmp2ProductivityCoef)</f>
        <v>0</v>
      </c>
      <c r="G413" s="458">
        <f>(capBid3Emp4HrsRFQ*paramEmp4ProductivityCoef)+(capBid3Emp3HrsRFQ*paramEmp3ProductivityCoef)+(capBid3Emp2HrsRFQ*paramEmp2ProductivityCoef)</f>
        <v>0</v>
      </c>
      <c r="H413" s="458">
        <f>(capBid3Emp4HrsRFQ*paramEmp4ProductivityCoef)+(capBid3Emp3HrsRFQ*paramEmp3ProductivityCoef)+(capBid3Emp2HrsRFQ*paramEmp2ProductivityCoef)</f>
        <v>0</v>
      </c>
      <c r="I413" s="458">
        <f>(capBid3Emp4HrsRFQ*paramEmp4ProductivityCoef)+(capBid3Emp3HrsRFQ*paramEmp3ProductivityCoef)+(capBid3Emp2HrsRFQ*paramEmp2ProductivityCoef)</f>
        <v>0</v>
      </c>
      <c r="J413" s="97"/>
      <c r="S413" s="75"/>
      <c r="T413" s="75"/>
    </row>
    <row r="414" spans="2:20" ht="11.25">
      <c r="C414" s="30"/>
      <c r="D414" s="29"/>
      <c r="E414" s="39">
        <f>VLOOKUP(E413,DataPageTable3,2,1)+((E413-VLOOKUP(E413,DataPageTable3,1,1))/VLOOKUP(E413,DataPageTable3,3,1))*VLOOKUP(E413,DataPageTable3,4,1)</f>
        <v>0</v>
      </c>
      <c r="F414" s="39">
        <f>VLOOKUP(F413,DataPageTable3,2,1)+((F413-VLOOKUP(F413,DataPageTable3,1,1))/VLOOKUP(F413,DataPageTable3,3,1))*VLOOKUP(F413,DataPageTable3,4,1)</f>
        <v>0</v>
      </c>
      <c r="G414" s="39">
        <f>VLOOKUP(G413,DataPageTable3,2,1)+((G413-VLOOKUP(G413,DataPageTable3,1,1))/VLOOKUP(G413,DataPageTable3,3,1))*VLOOKUP(G413,DataPageTable3,4,1)</f>
        <v>0</v>
      </c>
      <c r="H414" s="39">
        <f>VLOOKUP(H413,DataPageTable3,2,1)+((H413-VLOOKUP(H413,DataPageTable3,1,1))/VLOOKUP(H413,DataPageTable3,3,1))*VLOOKUP(H413,DataPageTable3,4,1)</f>
        <v>0</v>
      </c>
      <c r="I414" s="39">
        <f>VLOOKUP(I413,DataPageTable3,2,1)+((I413-VLOOKUP(I413,DataPageTable3,1,1))/VLOOKUP(I413,DataPageTable3,3,1))*VLOOKUP(I413,DataPageTable3,4,1)</f>
        <v>0</v>
      </c>
      <c r="J414" s="31" t="s">
        <v>1098</v>
      </c>
    </row>
    <row r="415" spans="2:20" ht="11.25">
      <c r="C415" s="355"/>
      <c r="D415" s="28"/>
      <c r="E415" s="456"/>
      <c r="F415" s="456"/>
      <c r="G415" s="456"/>
      <c r="H415" s="456"/>
      <c r="I415" s="456"/>
      <c r="J415" s="27"/>
    </row>
    <row r="416" spans="2:20" ht="11.25">
      <c r="C416" s="32" t="s">
        <v>2796</v>
      </c>
      <c r="D416" s="33"/>
      <c r="E416" s="458">
        <f>(capBid4Emp4HrsRFQ*paramEmp4ProductivityCoef)+(capBid4Emp3HrsRFQ*paramEmp3ProductivityCoef)+(capBid4Emp2HrsRFQ*paramEmp2ProductivityCoef)</f>
        <v>0</v>
      </c>
      <c r="F416" s="458">
        <f>(capBid4Emp4HrsRFQ*paramEmp4ProductivityCoef)+(capBid4Emp3HrsRFQ*paramEmp3ProductivityCoef)+(capBid4Emp2HrsRFQ*paramEmp2ProductivityCoef)</f>
        <v>0</v>
      </c>
      <c r="G416" s="458">
        <f>(capBid4Emp4HrsRFQ*paramEmp4ProductivityCoef)+(capBid4Emp3HrsRFQ*paramEmp3ProductivityCoef)+(capBid4Emp2HrsRFQ*paramEmp2ProductivityCoef)</f>
        <v>0</v>
      </c>
      <c r="H416" s="458">
        <f>(capBid4Emp4HrsRFQ*paramEmp4ProductivityCoef)+(capBid4Emp3HrsRFQ*paramEmp3ProductivityCoef)+(capBid4Emp2HrsRFQ*paramEmp2ProductivityCoef)</f>
        <v>0</v>
      </c>
      <c r="I416" s="458">
        <f>(capBid4Emp4HrsRFQ*paramEmp4ProductivityCoef)+(capBid4Emp3HrsRFQ*paramEmp3ProductivityCoef)+(capBid4Emp2HrsRFQ*paramEmp2ProductivityCoef)</f>
        <v>0</v>
      </c>
      <c r="J416" s="97"/>
      <c r="S416" s="75"/>
      <c r="T416" s="75"/>
    </row>
    <row r="417" spans="3:20" ht="11.25">
      <c r="C417" s="30"/>
      <c r="D417" s="29"/>
      <c r="E417" s="39">
        <f>VLOOKUP(E416,DataPageTable3,2,1)+((E416-VLOOKUP(E416,DataPageTable3,1,1))/VLOOKUP(E416,DataPageTable3,3,1))*VLOOKUP(E416,DataPageTable3,4,1)</f>
        <v>0</v>
      </c>
      <c r="F417" s="39">
        <f>VLOOKUP(F416,DataPageTable3,2,1)+((F416-VLOOKUP(F416,DataPageTable3,1,1))/VLOOKUP(F416,DataPageTable3,3,1))*VLOOKUP(F416,DataPageTable3,4,1)</f>
        <v>0</v>
      </c>
      <c r="G417" s="39">
        <f>VLOOKUP(G416,DataPageTable3,2,1)+((G416-VLOOKUP(G416,DataPageTable3,1,1))/VLOOKUP(G416,DataPageTable3,3,1))*VLOOKUP(G416,DataPageTable3,4,1)</f>
        <v>0</v>
      </c>
      <c r="H417" s="39">
        <f>VLOOKUP(H416,DataPageTable3,2,1)+((H416-VLOOKUP(H416,DataPageTable3,1,1))/VLOOKUP(H416,DataPageTable3,3,1))*VLOOKUP(H416,DataPageTable3,4,1)</f>
        <v>0</v>
      </c>
      <c r="I417" s="39">
        <f>VLOOKUP(I416,DataPageTable3,2,1)+((I416-VLOOKUP(I416,DataPageTable3,1,1))/VLOOKUP(I416,DataPageTable3,3,1))*VLOOKUP(I416,DataPageTable3,4,1)</f>
        <v>0</v>
      </c>
      <c r="J417" s="31" t="s">
        <v>1100</v>
      </c>
    </row>
    <row r="418" spans="3:20" ht="11.25">
      <c r="C418" s="355"/>
      <c r="D418" s="28"/>
      <c r="E418" s="356"/>
      <c r="F418" s="356"/>
      <c r="G418" s="356"/>
      <c r="H418" s="356"/>
      <c r="I418" s="356"/>
      <c r="J418" s="27"/>
    </row>
    <row r="419" spans="3:20" ht="11.25">
      <c r="C419" s="32" t="s">
        <v>466</v>
      </c>
      <c r="D419" s="33"/>
      <c r="E419" s="458">
        <f>(capBid5Emp4HrsRFQ*paramEmp4ProductivityCoef)+(capBid5Emp3HrsRFQ*paramEmp3ProductivityCoef)+(capBid5Emp2HrsRFQ*paramEmp2ProductivityCoef)</f>
        <v>0</v>
      </c>
      <c r="F419" s="458">
        <f>(capBid5Emp4HrsRFQ*paramEmp4ProductivityCoef)+(capBid5Emp3HrsRFQ*paramEmp3ProductivityCoef)+(capBid5Emp2HrsRFQ*paramEmp2ProductivityCoef)</f>
        <v>0</v>
      </c>
      <c r="G419" s="458">
        <f>(capBid5Emp4HrsRFQ*paramEmp4ProductivityCoef)+(capBid5Emp3HrsRFQ*paramEmp3ProductivityCoef)+(capBid5Emp2HrsRFQ*paramEmp2ProductivityCoef)</f>
        <v>0</v>
      </c>
      <c r="H419" s="458">
        <f>(capBid5Emp4HrsRFQ*paramEmp4ProductivityCoef)+(capBid5Emp3HrsRFQ*paramEmp3ProductivityCoef)+(capBid5Emp2HrsRFQ*paramEmp2ProductivityCoef)</f>
        <v>0</v>
      </c>
      <c r="I419" s="458">
        <f>(capBid5Emp4HrsRFQ*paramEmp4ProductivityCoef)+(capBid5Emp3HrsRFQ*paramEmp3ProductivityCoef)+(capBid5Emp2HrsRFQ*paramEmp2ProductivityCoef)</f>
        <v>0</v>
      </c>
      <c r="J419" s="97"/>
      <c r="S419" s="75"/>
      <c r="T419" s="75"/>
    </row>
    <row r="420" spans="3:20" ht="11.25">
      <c r="C420" s="30"/>
      <c r="D420" s="29"/>
      <c r="E420" s="39">
        <f>VLOOKUP(E419,DataPageTable3,2,1)+((E419-VLOOKUP(E419,DataPageTable3,1,1))/VLOOKUP(E419,DataPageTable3,3,1))*VLOOKUP(E419,DataPageTable3,4,1)</f>
        <v>0</v>
      </c>
      <c r="F420" s="39">
        <f>VLOOKUP(F419,DataPageTable3,2,1)+((F419-VLOOKUP(F419,DataPageTable3,1,1))/VLOOKUP(F419,DataPageTable3,3,1))*VLOOKUP(F419,DataPageTable3,4,1)</f>
        <v>0</v>
      </c>
      <c r="G420" s="39">
        <f>VLOOKUP(G419,DataPageTable3,2,1)+((G419-VLOOKUP(G419,DataPageTable3,1,1))/VLOOKUP(G419,DataPageTable3,3,1))*VLOOKUP(G419,DataPageTable3,4,1)</f>
        <v>0</v>
      </c>
      <c r="H420" s="39">
        <f>VLOOKUP(H419,DataPageTable3,2,1)+((H419-VLOOKUP(H419,DataPageTable3,1,1))/VLOOKUP(H419,DataPageTable3,3,1))*VLOOKUP(H419,DataPageTable3,4,1)</f>
        <v>0</v>
      </c>
      <c r="I420" s="39">
        <f>VLOOKUP(I419,DataPageTable3,2,1)+((I419-VLOOKUP(I419,DataPageTable3,1,1))/VLOOKUP(I419,DataPageTable3,3,1))*VLOOKUP(I419,DataPageTable3,4,1)</f>
        <v>0</v>
      </c>
      <c r="J420" s="31" t="s">
        <v>457</v>
      </c>
    </row>
    <row r="421" spans="3:20" ht="11.25">
      <c r="C421" s="355"/>
      <c r="D421" s="28"/>
      <c r="E421" s="456"/>
      <c r="F421" s="456"/>
      <c r="G421" s="456"/>
      <c r="H421" s="456"/>
      <c r="I421" s="456"/>
      <c r="J421" s="27"/>
    </row>
    <row r="422" spans="3:20" ht="11.25">
      <c r="C422" s="32" t="s">
        <v>465</v>
      </c>
      <c r="D422" s="33"/>
      <c r="E422" s="458">
        <f>(capBid6Emp4HrsRFQ*paramEmp4ProductivityCoef)+(capBid6Emp3HrsRFQ*paramEmp3ProductivityCoef)+(capBid6Emp2HrsRFQ*paramEmp2ProductivityCoef)</f>
        <v>0</v>
      </c>
      <c r="F422" s="458">
        <f>(capBid6Emp4HrsRFQ*paramEmp4ProductivityCoef)+(capBid6Emp3HrsRFQ*paramEmp3ProductivityCoef)+(capBid6Emp2HrsRFQ*paramEmp2ProductivityCoef)</f>
        <v>0</v>
      </c>
      <c r="G422" s="458">
        <f>(capBid6Emp4HrsRFQ*paramEmp4ProductivityCoef)+(capBid6Emp3HrsRFQ*paramEmp3ProductivityCoef)+(capBid6Emp2HrsRFQ*paramEmp2ProductivityCoef)</f>
        <v>0</v>
      </c>
      <c r="H422" s="458">
        <f>(capBid6Emp4HrsRFQ*paramEmp4ProductivityCoef)+(capBid6Emp3HrsRFQ*paramEmp3ProductivityCoef)+(capBid6Emp2HrsRFQ*paramEmp2ProductivityCoef)</f>
        <v>0</v>
      </c>
      <c r="I422" s="458">
        <f>(capBid6Emp4HrsRFQ*paramEmp4ProductivityCoef)+(capBid6Emp3HrsRFQ*paramEmp3ProductivityCoef)+(capBid6Emp2HrsRFQ*paramEmp2ProductivityCoef)</f>
        <v>0</v>
      </c>
      <c r="J422" s="97"/>
      <c r="S422" s="75"/>
      <c r="T422" s="75"/>
    </row>
    <row r="423" spans="3:20" ht="11.25">
      <c r="C423" s="30"/>
      <c r="D423" s="29"/>
      <c r="E423" s="39">
        <f>VLOOKUP(E422,DataPageTable3,2,1)+((E422-VLOOKUP(E422,DataPageTable3,1,1))/VLOOKUP(E422,DataPageTable3,3,1))*VLOOKUP(E422,DataPageTable3,4,1)</f>
        <v>0</v>
      </c>
      <c r="F423" s="39">
        <f>VLOOKUP(F422,DataPageTable3,2,1)+((F422-VLOOKUP(F422,DataPageTable3,1,1))/VLOOKUP(F422,DataPageTable3,3,1))*VLOOKUP(F422,DataPageTable3,4,1)</f>
        <v>0</v>
      </c>
      <c r="G423" s="39">
        <f>VLOOKUP(G422,DataPageTable3,2,1)+((G422-VLOOKUP(G422,DataPageTable3,1,1))/VLOOKUP(G422,DataPageTable3,3,1))*VLOOKUP(G422,DataPageTable3,4,1)</f>
        <v>0</v>
      </c>
      <c r="H423" s="39">
        <f>VLOOKUP(H422,DataPageTable3,2,1)+((H422-VLOOKUP(H422,DataPageTable3,1,1))/VLOOKUP(H422,DataPageTable3,3,1))*VLOOKUP(H422,DataPageTable3,4,1)</f>
        <v>0</v>
      </c>
      <c r="I423" s="39">
        <f>VLOOKUP(I422,DataPageTable3,2,1)+((I422-VLOOKUP(I422,DataPageTable3,1,1))/VLOOKUP(I422,DataPageTable3,3,1))*VLOOKUP(I422,DataPageTable3,4,1)</f>
        <v>0</v>
      </c>
      <c r="J423" s="31" t="s">
        <v>458</v>
      </c>
    </row>
    <row r="424" spans="3:20" ht="11.25">
      <c r="C424" s="355"/>
      <c r="D424" s="28"/>
      <c r="E424" s="456"/>
      <c r="F424" s="456"/>
      <c r="G424" s="456"/>
      <c r="H424" s="456"/>
      <c r="I424" s="456"/>
      <c r="J424" s="27"/>
    </row>
    <row r="425" spans="3:20" ht="11.25">
      <c r="C425" s="32" t="s">
        <v>464</v>
      </c>
      <c r="D425" s="33"/>
      <c r="E425" s="458">
        <f>(capBid7Emp4HrsRFQ*paramEmp4ProductivityCoef)+(capBid7Emp3HrsRFQ*paramEmp3ProductivityCoef)+(capBid7Emp2HrsRFQ*paramEmp2ProductivityCoef)</f>
        <v>0</v>
      </c>
      <c r="F425" s="458">
        <f>(capBid7Emp4HrsRFQ*paramEmp4ProductivityCoef)+(capBid7Emp3HrsRFQ*paramEmp3ProductivityCoef)+(capBid7Emp2HrsRFQ*paramEmp2ProductivityCoef)</f>
        <v>0</v>
      </c>
      <c r="G425" s="458">
        <f>(capBid7Emp4HrsRFQ*paramEmp4ProductivityCoef)+(capBid7Emp3HrsRFQ*paramEmp3ProductivityCoef)+(capBid7Emp2HrsRFQ*paramEmp2ProductivityCoef)</f>
        <v>0</v>
      </c>
      <c r="H425" s="458">
        <f>(capBid7Emp4HrsRFQ*paramEmp4ProductivityCoef)+(capBid7Emp3HrsRFQ*paramEmp3ProductivityCoef)+(capBid7Emp2HrsRFQ*paramEmp2ProductivityCoef)</f>
        <v>0</v>
      </c>
      <c r="I425" s="458">
        <f>(capBid7Emp4HrsRFQ*paramEmp4ProductivityCoef)+(capBid7Emp3HrsRFQ*paramEmp3ProductivityCoef)+(capBid7Emp2HrsRFQ*paramEmp2ProductivityCoef)</f>
        <v>0</v>
      </c>
      <c r="J425" s="97"/>
      <c r="S425" s="75"/>
      <c r="T425" s="75"/>
    </row>
    <row r="426" spans="3:20" ht="11.25">
      <c r="C426" s="30"/>
      <c r="D426" s="29"/>
      <c r="E426" s="39">
        <f>VLOOKUP(E425,DataPageTable3,2,1)+((E425-VLOOKUP(E425,DataPageTable3,1,1))/VLOOKUP(E425,DataPageTable3,3,1))*VLOOKUP(E425,DataPageTable3,4,1)</f>
        <v>0</v>
      </c>
      <c r="F426" s="39">
        <f>VLOOKUP(F425,DataPageTable3,2,1)+((F425-VLOOKUP(F425,DataPageTable3,1,1))/VLOOKUP(F425,DataPageTable3,3,1))*VLOOKUP(F425,DataPageTable3,4,1)</f>
        <v>0</v>
      </c>
      <c r="G426" s="39">
        <f>VLOOKUP(G425,DataPageTable3,2,1)+((G425-VLOOKUP(G425,DataPageTable3,1,1))/VLOOKUP(G425,DataPageTable3,3,1))*VLOOKUP(G425,DataPageTable3,4,1)</f>
        <v>0</v>
      </c>
      <c r="H426" s="39">
        <f>VLOOKUP(H425,DataPageTable3,2,1)+((H425-VLOOKUP(H425,DataPageTable3,1,1))/VLOOKUP(H425,DataPageTable3,3,1))*VLOOKUP(H425,DataPageTable3,4,1)</f>
        <v>0</v>
      </c>
      <c r="I426" s="39">
        <f>VLOOKUP(I425,DataPageTable3,2,1)+((I425-VLOOKUP(I425,DataPageTable3,1,1))/VLOOKUP(I425,DataPageTable3,3,1))*VLOOKUP(I425,DataPageTable3,4,1)</f>
        <v>0</v>
      </c>
      <c r="J426" s="31" t="s">
        <v>459</v>
      </c>
    </row>
    <row r="427" spans="3:20" ht="11.25">
      <c r="C427" s="355"/>
      <c r="D427" s="28"/>
      <c r="E427" s="456"/>
      <c r="F427" s="456"/>
      <c r="G427" s="456"/>
      <c r="H427" s="456"/>
      <c r="I427" s="456"/>
      <c r="J427" s="27"/>
    </row>
    <row r="428" spans="3:20" ht="11.25">
      <c r="C428" s="32" t="s">
        <v>463</v>
      </c>
      <c r="D428" s="33"/>
      <c r="E428" s="458">
        <f>(capBid8Emp4HrsRFQ*paramEmp4ProductivityCoef)+(capBid8Emp3HrsRFQ*paramEmp3ProductivityCoef)+(capBid8Emp2HrsRFQ*paramEmp2ProductivityCoef)</f>
        <v>0</v>
      </c>
      <c r="F428" s="458">
        <f>(capBid8Emp4HrsRFQ*paramEmp4ProductivityCoef)+(capBid8Emp3HrsRFQ*paramEmp3ProductivityCoef)+(capBid8Emp2HrsRFQ*paramEmp2ProductivityCoef)</f>
        <v>0</v>
      </c>
      <c r="G428" s="458">
        <f>(capBid8Emp4HrsRFQ*paramEmp4ProductivityCoef)+(capBid8Emp3HrsRFQ*paramEmp3ProductivityCoef)+(capBid8Emp2HrsRFQ*paramEmp2ProductivityCoef)</f>
        <v>0</v>
      </c>
      <c r="H428" s="458">
        <f>(capBid8Emp4HrsRFQ*paramEmp4ProductivityCoef)+(capBid8Emp3HrsRFQ*paramEmp3ProductivityCoef)+(capBid8Emp2HrsRFQ*paramEmp2ProductivityCoef)</f>
        <v>0</v>
      </c>
      <c r="I428" s="458">
        <f>(capBid8Emp4HrsRFQ*paramEmp4ProductivityCoef)+(capBid8Emp3HrsRFQ*paramEmp3ProductivityCoef)+(capBid8Emp2HrsRFQ*paramEmp2ProductivityCoef)</f>
        <v>0</v>
      </c>
      <c r="J428" s="97"/>
      <c r="S428" s="75"/>
      <c r="T428" s="75"/>
    </row>
    <row r="429" spans="3:20" ht="11.25">
      <c r="C429" s="30"/>
      <c r="D429" s="29"/>
      <c r="E429" s="39">
        <f>VLOOKUP(E428,DataPageTable3,2,1)+((E428-VLOOKUP(E428,DataPageTable3,1,1))/VLOOKUP(E428,DataPageTable3,3,1))*VLOOKUP(E428,DataPageTable3,4,1)</f>
        <v>0</v>
      </c>
      <c r="F429" s="39">
        <f>VLOOKUP(F428,DataPageTable3,2,1)+((F428-VLOOKUP(F428,DataPageTable3,1,1))/VLOOKUP(F428,DataPageTable3,3,1))*VLOOKUP(F428,DataPageTable3,4,1)</f>
        <v>0</v>
      </c>
      <c r="G429" s="39">
        <f>VLOOKUP(G428,DataPageTable3,2,1)+((G428-VLOOKUP(G428,DataPageTable3,1,1))/VLOOKUP(G428,DataPageTable3,3,1))*VLOOKUP(G428,DataPageTable3,4,1)</f>
        <v>0</v>
      </c>
      <c r="H429" s="39">
        <f>VLOOKUP(H428,DataPageTable3,2,1)+((H428-VLOOKUP(H428,DataPageTable3,1,1))/VLOOKUP(H428,DataPageTable3,3,1))*VLOOKUP(H428,DataPageTable3,4,1)</f>
        <v>0</v>
      </c>
      <c r="I429" s="39">
        <f>VLOOKUP(I428,DataPageTable3,2,1)+((I428-VLOOKUP(I428,DataPageTable3,1,1))/VLOOKUP(I428,DataPageTable3,3,1))*VLOOKUP(I428,DataPageTable3,4,1)</f>
        <v>0</v>
      </c>
      <c r="J429" s="31" t="s">
        <v>460</v>
      </c>
    </row>
    <row r="430" spans="3:20" ht="11.25"/>
    <row r="431" spans="3:20" ht="11.25">
      <c r="C431" s="32" t="s">
        <v>462</v>
      </c>
      <c r="D431" s="33"/>
      <c r="E431" s="458">
        <f>(capBid9Emp4HrsRFQ*paramEmp4ProductivityCoef)+(capBid9Emp3HrsRFQ*paramEmp3ProductivityCoef)+(capBid9Emp2HrsRFQ*paramEmp2ProductivityCoef)</f>
        <v>0</v>
      </c>
      <c r="F431" s="458">
        <f>(capBid9Emp4HrsRFQ*paramEmp4ProductivityCoef)+(capBid9Emp3HrsRFQ*paramEmp3ProductivityCoef)+(capBid9Emp2HrsRFQ*paramEmp2ProductivityCoef)</f>
        <v>0</v>
      </c>
      <c r="G431" s="458">
        <f>(capBid9Emp4HrsRFQ*paramEmp4ProductivityCoef)+(capBid9Emp3HrsRFQ*paramEmp3ProductivityCoef)+(capBid9Emp2HrsRFQ*paramEmp2ProductivityCoef)</f>
        <v>0</v>
      </c>
      <c r="H431" s="458">
        <f>(capBid9Emp4HrsRFQ*paramEmp4ProductivityCoef)+(capBid9Emp3HrsRFQ*paramEmp3ProductivityCoef)+(capBid9Emp2HrsRFQ*paramEmp2ProductivityCoef)</f>
        <v>0</v>
      </c>
      <c r="I431" s="458">
        <f>(capBid9Emp4HrsRFQ*paramEmp4ProductivityCoef)+(capBid9Emp3HrsRFQ*paramEmp3ProductivityCoef)+(capBid9Emp2HrsRFQ*paramEmp2ProductivityCoef)</f>
        <v>0</v>
      </c>
      <c r="J431" s="97"/>
      <c r="S431" s="75"/>
      <c r="T431" s="75"/>
    </row>
    <row r="432" spans="3:20" ht="11.25">
      <c r="C432" s="30"/>
      <c r="D432" s="29"/>
      <c r="E432" s="39">
        <f>VLOOKUP(E431,DataPageTable3,2,1)+((E431-VLOOKUP(E431,DataPageTable3,1,1))/VLOOKUP(E431,DataPageTable3,3,1))*VLOOKUP(E431,DataPageTable3,4,1)</f>
        <v>0</v>
      </c>
      <c r="F432" s="39">
        <f>VLOOKUP(F431,DataPageTable3,2,1)+((F431-VLOOKUP(F431,DataPageTable3,1,1))/VLOOKUP(F431,DataPageTable3,3,1))*VLOOKUP(F431,DataPageTable3,4,1)</f>
        <v>0</v>
      </c>
      <c r="G432" s="39">
        <f>VLOOKUP(G431,DataPageTable3,2,1)+((G431-VLOOKUP(G431,DataPageTable3,1,1))/VLOOKUP(G431,DataPageTable3,3,1))*VLOOKUP(G431,DataPageTable3,4,1)</f>
        <v>0</v>
      </c>
      <c r="H432" s="39">
        <f>VLOOKUP(H431,DataPageTable3,2,1)+((H431-VLOOKUP(H431,DataPageTable3,1,1))/VLOOKUP(H431,DataPageTable3,3,1))*VLOOKUP(H431,DataPageTable3,4,1)</f>
        <v>0</v>
      </c>
      <c r="I432" s="39">
        <f>VLOOKUP(I431,DataPageTable3,2,1)+((I431-VLOOKUP(I431,DataPageTable3,1,1))/VLOOKUP(I431,DataPageTable3,3,1))*VLOOKUP(I431,DataPageTable3,4,1)</f>
        <v>0</v>
      </c>
      <c r="J432" s="31" t="s">
        <v>461</v>
      </c>
    </row>
    <row r="433" spans="2:20" ht="11.25">
      <c r="C433" s="355"/>
      <c r="D433" s="28"/>
      <c r="E433" s="457"/>
      <c r="F433" s="457"/>
      <c r="G433" s="457"/>
      <c r="H433" s="457"/>
      <c r="I433" s="457"/>
      <c r="J433" s="27"/>
    </row>
    <row r="434" spans="2:20" ht="11.25">
      <c r="B434" s="2"/>
      <c r="C434" s="2"/>
      <c r="D434" s="28"/>
      <c r="E434" s="3"/>
      <c r="F434" s="3"/>
      <c r="G434" s="3"/>
      <c r="H434" s="3"/>
      <c r="I434" s="3"/>
      <c r="J434" s="3"/>
      <c r="S434" s="75"/>
      <c r="T434" s="75"/>
    </row>
    <row r="435" spans="2:20" ht="11.25">
      <c r="B435" s="34" t="s">
        <v>4556</v>
      </c>
      <c r="C435" s="52"/>
      <c r="D435" s="52"/>
      <c r="E435" s="53"/>
      <c r="F435" s="65" t="s">
        <v>3811</v>
      </c>
      <c r="G435" s="52"/>
      <c r="H435" s="52"/>
      <c r="I435" s="52"/>
      <c r="J435" s="53"/>
      <c r="S435" s="75"/>
      <c r="T435" s="75"/>
    </row>
    <row r="436" spans="2:20" ht="11.25">
      <c r="B436" s="34"/>
      <c r="C436" s="58"/>
      <c r="D436" s="58" t="s">
        <v>1878</v>
      </c>
      <c r="E436" s="59" t="s">
        <v>1879</v>
      </c>
      <c r="F436" s="65">
        <v>0</v>
      </c>
      <c r="G436" s="52">
        <v>1</v>
      </c>
      <c r="H436" s="52">
        <v>2</v>
      </c>
      <c r="I436" s="52">
        <v>3</v>
      </c>
      <c r="J436" s="53">
        <v>4</v>
      </c>
      <c r="S436" s="75"/>
      <c r="T436" s="75"/>
    </row>
    <row r="437" spans="2:20" ht="11.25">
      <c r="B437" s="347">
        <v>0</v>
      </c>
      <c r="C437" s="526">
        <f t="shared" ref="C437:C447" si="57">INDEX(F437:J437,xxYear+1)</f>
        <v>0</v>
      </c>
      <c r="D437" s="349">
        <f t="shared" ref="D437:D447" si="58">B438-B437</f>
        <v>100</v>
      </c>
      <c r="E437" s="436">
        <f t="shared" ref="E437:E447" si="59">C438-C437</f>
        <v>6.0000000000000001E-3</v>
      </c>
      <c r="F437" s="524">
        <v>0</v>
      </c>
      <c r="G437" s="524">
        <v>0</v>
      </c>
      <c r="H437" s="524">
        <v>0</v>
      </c>
      <c r="I437" s="524">
        <v>0</v>
      </c>
      <c r="J437" s="524">
        <v>0</v>
      </c>
      <c r="S437" s="75"/>
      <c r="T437" s="75"/>
    </row>
    <row r="438" spans="2:20" ht="11.25">
      <c r="B438" s="335">
        <v>100</v>
      </c>
      <c r="C438" s="526">
        <f t="shared" si="57"/>
        <v>6.0000000000000001E-3</v>
      </c>
      <c r="D438" s="337">
        <f t="shared" si="58"/>
        <v>100</v>
      </c>
      <c r="E438" s="437">
        <f t="shared" si="59"/>
        <v>8.9999999999999993E-3</v>
      </c>
      <c r="F438" s="525">
        <v>6.0000000000000001E-3</v>
      </c>
      <c r="G438" s="525">
        <v>6.0000000000000001E-3</v>
      </c>
      <c r="H438" s="525">
        <v>6.0000000000000001E-3</v>
      </c>
      <c r="I438" s="525">
        <v>6.0000000000000001E-3</v>
      </c>
      <c r="J438" s="525">
        <v>6.0000000000000001E-3</v>
      </c>
      <c r="S438" s="75"/>
      <c r="T438" s="75"/>
    </row>
    <row r="439" spans="2:20" ht="11.25">
      <c r="B439" s="335">
        <v>200</v>
      </c>
      <c r="C439" s="526">
        <f t="shared" si="57"/>
        <v>1.4999999999999999E-2</v>
      </c>
      <c r="D439" s="337">
        <f t="shared" si="58"/>
        <v>100</v>
      </c>
      <c r="E439" s="437">
        <f t="shared" si="59"/>
        <v>7.5000000000000067E-4</v>
      </c>
      <c r="F439" s="525">
        <v>1.4999999999999999E-2</v>
      </c>
      <c r="G439" s="525">
        <v>1.4999999999999999E-2</v>
      </c>
      <c r="H439" s="525">
        <v>1.4999999999999999E-2</v>
      </c>
      <c r="I439" s="525">
        <v>1.4999999999999999E-2</v>
      </c>
      <c r="J439" s="525">
        <v>1.4999999999999999E-2</v>
      </c>
      <c r="S439" s="75"/>
      <c r="T439" s="75"/>
    </row>
    <row r="440" spans="2:20" ht="11.25">
      <c r="B440" s="335">
        <v>300</v>
      </c>
      <c r="C440" s="526">
        <f t="shared" si="57"/>
        <v>1.575E-2</v>
      </c>
      <c r="D440" s="337">
        <f t="shared" si="58"/>
        <v>100</v>
      </c>
      <c r="E440" s="437">
        <f t="shared" si="59"/>
        <v>7.5000000000000067E-4</v>
      </c>
      <c r="F440" s="525">
        <v>1.575E-2</v>
      </c>
      <c r="G440" s="525">
        <v>1.575E-2</v>
      </c>
      <c r="H440" s="525">
        <v>1.575E-2</v>
      </c>
      <c r="I440" s="525">
        <v>1.575E-2</v>
      </c>
      <c r="J440" s="525">
        <v>1.575E-2</v>
      </c>
      <c r="S440" s="75"/>
      <c r="T440" s="75"/>
    </row>
    <row r="441" spans="2:20" ht="11.25">
      <c r="B441" s="335">
        <v>400</v>
      </c>
      <c r="C441" s="526">
        <f t="shared" si="57"/>
        <v>1.6500000000000001E-2</v>
      </c>
      <c r="D441" s="337">
        <f t="shared" si="58"/>
        <v>100</v>
      </c>
      <c r="E441" s="437">
        <f t="shared" si="59"/>
        <v>1.4999999999999979E-3</v>
      </c>
      <c r="F441" s="525">
        <v>1.6500000000000001E-2</v>
      </c>
      <c r="G441" s="525">
        <v>1.6500000000000001E-2</v>
      </c>
      <c r="H441" s="525">
        <v>1.6500000000000001E-2</v>
      </c>
      <c r="I441" s="525">
        <v>1.6500000000000001E-2</v>
      </c>
      <c r="J441" s="525">
        <v>1.6500000000000001E-2</v>
      </c>
      <c r="S441" s="75"/>
      <c r="T441" s="75"/>
    </row>
    <row r="442" spans="2:20" ht="11.25">
      <c r="B442" s="335">
        <v>500</v>
      </c>
      <c r="C442" s="526">
        <f t="shared" si="57"/>
        <v>1.7999999999999999E-2</v>
      </c>
      <c r="D442" s="337">
        <f t="shared" si="58"/>
        <v>200</v>
      </c>
      <c r="E442" s="437">
        <f t="shared" si="59"/>
        <v>1.5000000000000013E-3</v>
      </c>
      <c r="F442" s="525">
        <v>1.7999999999999999E-2</v>
      </c>
      <c r="G442" s="525">
        <v>1.7999999999999999E-2</v>
      </c>
      <c r="H442" s="525">
        <v>1.7999999999999999E-2</v>
      </c>
      <c r="I442" s="525">
        <v>1.7999999999999999E-2</v>
      </c>
      <c r="J442" s="525">
        <v>1.7999999999999999E-2</v>
      </c>
      <c r="S442" s="75"/>
      <c r="T442" s="75"/>
    </row>
    <row r="443" spans="2:20" ht="11.25">
      <c r="B443" s="335">
        <v>700</v>
      </c>
      <c r="C443" s="526">
        <f t="shared" si="57"/>
        <v>1.95E-2</v>
      </c>
      <c r="D443" s="337">
        <f t="shared" si="58"/>
        <v>200</v>
      </c>
      <c r="E443" s="437">
        <f t="shared" si="59"/>
        <v>1.5000000000000013E-3</v>
      </c>
      <c r="F443" s="525">
        <v>1.95E-2</v>
      </c>
      <c r="G443" s="525">
        <v>1.95E-2</v>
      </c>
      <c r="H443" s="525">
        <v>1.95E-2</v>
      </c>
      <c r="I443" s="525">
        <v>1.95E-2</v>
      </c>
      <c r="J443" s="525">
        <v>1.95E-2</v>
      </c>
      <c r="S443" s="75"/>
      <c r="T443" s="75"/>
    </row>
    <row r="444" spans="2:20" ht="11.25">
      <c r="B444" s="335">
        <v>900</v>
      </c>
      <c r="C444" s="526">
        <f t="shared" si="57"/>
        <v>2.1000000000000001E-2</v>
      </c>
      <c r="D444" s="337">
        <f t="shared" si="58"/>
        <v>300</v>
      </c>
      <c r="E444" s="437">
        <f t="shared" si="59"/>
        <v>1.4999999999999979E-3</v>
      </c>
      <c r="F444" s="525">
        <v>2.1000000000000001E-2</v>
      </c>
      <c r="G444" s="525">
        <v>2.1000000000000001E-2</v>
      </c>
      <c r="H444" s="525">
        <v>2.1000000000000001E-2</v>
      </c>
      <c r="I444" s="525">
        <v>2.1000000000000001E-2</v>
      </c>
      <c r="J444" s="525">
        <v>2.1000000000000001E-2</v>
      </c>
      <c r="S444" s="75"/>
      <c r="T444" s="75"/>
    </row>
    <row r="445" spans="2:20" ht="11.25">
      <c r="B445" s="335">
        <v>1200</v>
      </c>
      <c r="C445" s="526">
        <f t="shared" si="57"/>
        <v>2.2499999999999999E-2</v>
      </c>
      <c r="D445" s="337">
        <f t="shared" si="58"/>
        <v>300</v>
      </c>
      <c r="E445" s="437">
        <f t="shared" si="59"/>
        <v>1.5000000000000013E-3</v>
      </c>
      <c r="F445" s="525">
        <v>2.2499999999999999E-2</v>
      </c>
      <c r="G445" s="525">
        <v>2.2499999999999999E-2</v>
      </c>
      <c r="H445" s="525">
        <v>2.2499999999999999E-2</v>
      </c>
      <c r="I445" s="525">
        <v>2.2499999999999999E-2</v>
      </c>
      <c r="J445" s="525">
        <v>2.2499999999999999E-2</v>
      </c>
      <c r="S445" s="75"/>
      <c r="T445" s="75"/>
    </row>
    <row r="446" spans="2:20" ht="11.25">
      <c r="B446" s="335">
        <v>1500</v>
      </c>
      <c r="C446" s="526">
        <f t="shared" si="57"/>
        <v>2.4E-2</v>
      </c>
      <c r="D446" s="337">
        <f t="shared" si="58"/>
        <v>500</v>
      </c>
      <c r="E446" s="437">
        <f t="shared" si="59"/>
        <v>1.5000000000000013E-3</v>
      </c>
      <c r="F446" s="525">
        <v>2.4E-2</v>
      </c>
      <c r="G446" s="525">
        <v>2.4E-2</v>
      </c>
      <c r="H446" s="525">
        <v>2.4E-2</v>
      </c>
      <c r="I446" s="525">
        <v>2.4E-2</v>
      </c>
      <c r="J446" s="525">
        <v>2.4E-2</v>
      </c>
      <c r="S446" s="75"/>
      <c r="T446" s="75"/>
    </row>
    <row r="447" spans="2:20" ht="11.25">
      <c r="B447" s="352">
        <v>2000</v>
      </c>
      <c r="C447" s="527">
        <f t="shared" si="57"/>
        <v>2.5500000000000002E-2</v>
      </c>
      <c r="D447" s="340">
        <f t="shared" si="58"/>
        <v>-2000</v>
      </c>
      <c r="E447" s="438">
        <f t="shared" si="59"/>
        <v>-2.5500000000000002E-2</v>
      </c>
      <c r="F447" s="525">
        <v>2.5500000000000002E-2</v>
      </c>
      <c r="G447" s="525">
        <v>2.5500000000000002E-2</v>
      </c>
      <c r="H447" s="525">
        <v>2.5500000000000002E-2</v>
      </c>
      <c r="I447" s="525">
        <v>2.5500000000000002E-2</v>
      </c>
      <c r="J447" s="525">
        <v>2.5500000000000002E-2</v>
      </c>
      <c r="S447" s="75"/>
      <c r="T447" s="75"/>
    </row>
    <row r="448" spans="2:20" ht="11.25">
      <c r="B448" s="3"/>
      <c r="C448" s="342"/>
      <c r="D448" s="343"/>
      <c r="E448" s="38"/>
      <c r="F448" s="38"/>
      <c r="G448" s="38"/>
      <c r="H448" s="38"/>
      <c r="I448" s="38"/>
      <c r="J448" s="344"/>
      <c r="S448" s="75"/>
      <c r="T448" s="75"/>
    </row>
    <row r="449" spans="3:20" ht="11.25">
      <c r="C449" s="32" t="str">
        <f>DataNameEmp1</f>
        <v>Offshore</v>
      </c>
      <c r="D449" s="33"/>
      <c r="E449" s="345">
        <f>cbalEmp1CumTrainingHrs</f>
        <v>480</v>
      </c>
      <c r="F449" s="345">
        <f>cbalEmp1CumTrainingHrs</f>
        <v>480</v>
      </c>
      <c r="G449" s="345">
        <f>cbalEmp1CumTrainingHrs</f>
        <v>480</v>
      </c>
      <c r="H449" s="345">
        <f>cbalEmp1CumTrainingHrs</f>
        <v>480</v>
      </c>
      <c r="I449" s="345">
        <f>cbalEmp1CumTrainingHrs</f>
        <v>480</v>
      </c>
      <c r="J449" s="97"/>
      <c r="S449" s="75"/>
      <c r="T449" s="75"/>
    </row>
    <row r="450" spans="3:20" ht="11.25">
      <c r="C450" s="30" t="s">
        <v>2096</v>
      </c>
      <c r="D450" s="29"/>
      <c r="E450" s="66">
        <f>VLOOKUP(E449,DataPageTable4,2,1)+((E449-VLOOKUP(E449,DataPageTable4,1,1))/VLOOKUP(E449,DataPageTable4,3,1))*VLOOKUP(E449,DataPageTable4,4,1)</f>
        <v>1.77E-2</v>
      </c>
      <c r="F450" s="66">
        <f>VLOOKUP(F449,DataPageTable4,2,1)+((F449-VLOOKUP(F449,DataPageTable4,1,1))/VLOOKUP(F449,DataPageTable4,3,1))*VLOOKUP(F449,DataPageTable4,4,1)</f>
        <v>1.77E-2</v>
      </c>
      <c r="G450" s="66">
        <f>VLOOKUP(G449,DataPageTable4,2,1)+((G449-VLOOKUP(G449,DataPageTable4,1,1))/VLOOKUP(G449,DataPageTable4,3,1))*VLOOKUP(G449,DataPageTable4,4,1)</f>
        <v>1.77E-2</v>
      </c>
      <c r="H450" s="66">
        <f>VLOOKUP(H449,DataPageTable4,2,1)+((H449-VLOOKUP(H449,DataPageTable4,1,1))/VLOOKUP(H449,DataPageTable4,3,1))*VLOOKUP(H449,DataPageTable4,4,1)</f>
        <v>1.77E-2</v>
      </c>
      <c r="I450" s="66">
        <f>VLOOKUP(I449,DataPageTable4,2,1)+((I449-VLOOKUP(I449,DataPageTable4,1,1))/VLOOKUP(I449,DataPageTable4,3,1))*VLOOKUP(I449,DataPageTable4,4,1)</f>
        <v>1.77E-2</v>
      </c>
      <c r="J450" s="31" t="s">
        <v>4557</v>
      </c>
    </row>
    <row r="451" spans="3:20" ht="11.25">
      <c r="C451" s="355"/>
      <c r="D451" s="28"/>
      <c r="E451" s="356"/>
      <c r="F451" s="356"/>
      <c r="G451" s="356"/>
      <c r="H451" s="356"/>
      <c r="I451" s="356"/>
      <c r="J451" s="27"/>
    </row>
    <row r="452" spans="3:20" ht="11.25">
      <c r="C452" s="32" t="str">
        <f>DataNameEmp2</f>
        <v>Technical</v>
      </c>
      <c r="D452" s="33"/>
      <c r="E452" s="345">
        <f>cbalEmp2CumTrainingHrs</f>
        <v>480</v>
      </c>
      <c r="F452" s="345">
        <f>cbalEmp2CumTrainingHrs</f>
        <v>480</v>
      </c>
      <c r="G452" s="345">
        <f>cbalEmp2CumTrainingHrs</f>
        <v>480</v>
      </c>
      <c r="H452" s="345">
        <f>cbalEmp2CumTrainingHrs</f>
        <v>480</v>
      </c>
      <c r="I452" s="345">
        <f>cbalEmp2CumTrainingHrs</f>
        <v>480</v>
      </c>
      <c r="J452" s="97"/>
    </row>
    <row r="453" spans="3:20" ht="11.25">
      <c r="C453" s="30" t="s">
        <v>2096</v>
      </c>
      <c r="D453" s="29"/>
      <c r="E453" s="66">
        <f>VLOOKUP(E452,DataPageTable4,2,1)+((E452-VLOOKUP(E452,DataPageTable4,1,1))/VLOOKUP(E452,DataPageTable4,3,1))*VLOOKUP(E452,DataPageTable4,4,1)</f>
        <v>1.77E-2</v>
      </c>
      <c r="F453" s="66">
        <f>VLOOKUP(F452,DataPageTable4,2,1)+((F452-VLOOKUP(F452,DataPageTable4,1,1))/VLOOKUP(F452,DataPageTable4,3,1))*VLOOKUP(F452,DataPageTable4,4,1)</f>
        <v>1.77E-2</v>
      </c>
      <c r="G453" s="66">
        <f>VLOOKUP(G452,DataPageTable4,2,1)+((G452-VLOOKUP(G452,DataPageTable4,1,1))/VLOOKUP(G452,DataPageTable4,3,1))*VLOOKUP(G452,DataPageTable4,4,1)</f>
        <v>1.77E-2</v>
      </c>
      <c r="H453" s="66">
        <f>VLOOKUP(H452,DataPageTable4,2,1)+((H452-VLOOKUP(H452,DataPageTable4,1,1))/VLOOKUP(H452,DataPageTable4,3,1))*VLOOKUP(H452,DataPageTable4,4,1)</f>
        <v>1.77E-2</v>
      </c>
      <c r="I453" s="66">
        <f>VLOOKUP(I452,DataPageTable4,2,1)+((I452-VLOOKUP(I452,DataPageTable4,1,1))/VLOOKUP(I452,DataPageTable4,3,1))*VLOOKUP(I452,DataPageTable4,4,1)</f>
        <v>1.77E-2</v>
      </c>
      <c r="J453" s="31" t="s">
        <v>3037</v>
      </c>
    </row>
    <row r="454" spans="3:20" ht="11.25">
      <c r="C454" s="355"/>
      <c r="D454" s="28"/>
      <c r="E454" s="356"/>
      <c r="F454" s="356"/>
      <c r="G454" s="356"/>
      <c r="H454" s="356"/>
      <c r="I454" s="356"/>
      <c r="J454" s="27"/>
    </row>
    <row r="455" spans="3:20" ht="11.25">
      <c r="C455" s="32" t="str">
        <f>DataNameEmp3</f>
        <v>PM / Analyst</v>
      </c>
      <c r="D455" s="33"/>
      <c r="E455" s="345">
        <f>cbalEmp3CumTrainingHrs</f>
        <v>480</v>
      </c>
      <c r="F455" s="345">
        <f>cbalEmp3CumTrainingHrs</f>
        <v>480</v>
      </c>
      <c r="G455" s="345">
        <f>cbalEmp3CumTrainingHrs</f>
        <v>480</v>
      </c>
      <c r="H455" s="345">
        <f>cbalEmp3CumTrainingHrs</f>
        <v>480</v>
      </c>
      <c r="I455" s="345">
        <f>cbalEmp3CumTrainingHrs</f>
        <v>480</v>
      </c>
      <c r="J455" s="97"/>
    </row>
    <row r="456" spans="3:20" ht="11.25">
      <c r="C456" s="30" t="s">
        <v>2096</v>
      </c>
      <c r="D456" s="29"/>
      <c r="E456" s="66">
        <f>VLOOKUP(E455,DataPageTable4,2,1)+((E455-VLOOKUP(E455,DataPageTable4,1,1))/VLOOKUP(E455,DataPageTable4,3,1))*VLOOKUP(E455,DataPageTable4,4,1)</f>
        <v>1.77E-2</v>
      </c>
      <c r="F456" s="66">
        <f>VLOOKUP(F455,DataPageTable4,2,1)+((F455-VLOOKUP(F455,DataPageTable4,1,1))/VLOOKUP(F455,DataPageTable4,3,1))*VLOOKUP(F455,DataPageTable4,4,1)</f>
        <v>1.77E-2</v>
      </c>
      <c r="G456" s="66">
        <f>VLOOKUP(G455,DataPageTable4,2,1)+((G455-VLOOKUP(G455,DataPageTable4,1,1))/VLOOKUP(G455,DataPageTable4,3,1))*VLOOKUP(G455,DataPageTable4,4,1)</f>
        <v>1.77E-2</v>
      </c>
      <c r="H456" s="66">
        <f>VLOOKUP(H455,DataPageTable4,2,1)+((H455-VLOOKUP(H455,DataPageTable4,1,1))/VLOOKUP(H455,DataPageTable4,3,1))*VLOOKUP(H455,DataPageTable4,4,1)</f>
        <v>1.77E-2</v>
      </c>
      <c r="I456" s="66">
        <f>VLOOKUP(I455,DataPageTable4,2,1)+((I455-VLOOKUP(I455,DataPageTable4,1,1))/VLOOKUP(I455,DataPageTable4,3,1))*VLOOKUP(I455,DataPageTable4,4,1)</f>
        <v>1.77E-2</v>
      </c>
      <c r="J456" s="31" t="s">
        <v>3943</v>
      </c>
    </row>
    <row r="457" spans="3:20" ht="11.25">
      <c r="C457" s="355"/>
      <c r="D457" s="28"/>
      <c r="E457" s="356"/>
      <c r="F457" s="356"/>
      <c r="G457" s="356"/>
      <c r="H457" s="356"/>
      <c r="I457" s="356"/>
      <c r="J457" s="27"/>
    </row>
    <row r="458" spans="3:20" ht="11.25">
      <c r="C458" s="32" t="str">
        <f>DataNameEmp4</f>
        <v>Director / EM</v>
      </c>
      <c r="D458" s="33"/>
      <c r="E458" s="345">
        <f>cbalEmp4CumTrainingHrs</f>
        <v>320</v>
      </c>
      <c r="F458" s="345">
        <f>cbalEmp4CumTrainingHrs</f>
        <v>320</v>
      </c>
      <c r="G458" s="345">
        <f>cbalEmp4CumTrainingHrs</f>
        <v>320</v>
      </c>
      <c r="H458" s="345">
        <f>cbalEmp4CumTrainingHrs</f>
        <v>320</v>
      </c>
      <c r="I458" s="345">
        <f>cbalEmp4CumTrainingHrs</f>
        <v>320</v>
      </c>
      <c r="J458" s="97"/>
    </row>
    <row r="459" spans="3:20" ht="11.25">
      <c r="C459" s="30" t="s">
        <v>2096</v>
      </c>
      <c r="D459" s="29"/>
      <c r="E459" s="66">
        <f>VLOOKUP(E458,DataPageTable4,2,1)+((E458-VLOOKUP(E458,DataPageTable4,1,1))/VLOOKUP(E458,DataPageTable4,3,1))*VLOOKUP(E458,DataPageTable4,4,1)</f>
        <v>1.5900000000000001E-2</v>
      </c>
      <c r="F459" s="66">
        <f>VLOOKUP(F458,DataPageTable4,2,1)+((F458-VLOOKUP(F458,DataPageTable4,1,1))/VLOOKUP(F458,DataPageTable4,3,1))*VLOOKUP(F458,DataPageTable4,4,1)</f>
        <v>1.5900000000000001E-2</v>
      </c>
      <c r="G459" s="66">
        <f>VLOOKUP(G458,DataPageTable4,2,1)+((G458-VLOOKUP(G458,DataPageTable4,1,1))/VLOOKUP(G458,DataPageTable4,3,1))*VLOOKUP(G458,DataPageTable4,4,1)</f>
        <v>1.5900000000000001E-2</v>
      </c>
      <c r="H459" s="66">
        <f>VLOOKUP(H458,DataPageTable4,2,1)+((H458-VLOOKUP(H458,DataPageTable4,1,1))/VLOOKUP(H458,DataPageTable4,3,1))*VLOOKUP(H458,DataPageTable4,4,1)</f>
        <v>1.5900000000000001E-2</v>
      </c>
      <c r="I459" s="66">
        <f>VLOOKUP(I458,DataPageTable4,2,1)+((I458-VLOOKUP(I458,DataPageTable4,1,1))/VLOOKUP(I458,DataPageTable4,3,1))*VLOOKUP(I458,DataPageTable4,4,1)</f>
        <v>1.5900000000000001E-2</v>
      </c>
      <c r="J459" s="31" t="s">
        <v>3944</v>
      </c>
    </row>
    <row r="460" spans="3:20" ht="11.25">
      <c r="C460" s="355"/>
      <c r="D460" s="28"/>
      <c r="E460" s="457"/>
      <c r="F460" s="457"/>
      <c r="G460" s="457"/>
      <c r="H460" s="457"/>
      <c r="I460" s="457"/>
      <c r="J460" s="27"/>
    </row>
    <row r="461" spans="3:20" ht="11.25">
      <c r="C461" s="32" t="str">
        <f>DataNameEmp6</f>
        <v>Sales</v>
      </c>
      <c r="D461" s="33"/>
      <c r="E461" s="345">
        <f>cbalEmp6CumTrainingHrs</f>
        <v>480</v>
      </c>
      <c r="F461" s="345">
        <f>cbalEmp6CumTrainingHrs</f>
        <v>480</v>
      </c>
      <c r="G461" s="345">
        <f>cbalEmp6CumTrainingHrs</f>
        <v>480</v>
      </c>
      <c r="H461" s="345">
        <f>cbalEmp6CumTrainingHrs</f>
        <v>480</v>
      </c>
      <c r="I461" s="345">
        <f>cbalEmp6CumTrainingHrs</f>
        <v>480</v>
      </c>
      <c r="J461" s="97"/>
    </row>
    <row r="462" spans="3:20" ht="11.25">
      <c r="C462" s="30" t="s">
        <v>2096</v>
      </c>
      <c r="D462" s="29"/>
      <c r="E462" s="66">
        <f>VLOOKUP(E461,DataPageTable4,2,1)+((E461-VLOOKUP(E461,DataPageTable4,1,1))/VLOOKUP(E461,DataPageTable4,3,1))*VLOOKUP(E461,DataPageTable4,4,1)</f>
        <v>1.77E-2</v>
      </c>
      <c r="F462" s="66">
        <f>VLOOKUP(F461,DataPageTable4,2,1)+((F461-VLOOKUP(F461,DataPageTable4,1,1))/VLOOKUP(F461,DataPageTable4,3,1))*VLOOKUP(F461,DataPageTable4,4,1)</f>
        <v>1.77E-2</v>
      </c>
      <c r="G462" s="66">
        <f>VLOOKUP(G461,DataPageTable4,2,1)+((G461-VLOOKUP(G461,DataPageTable4,1,1))/VLOOKUP(G461,DataPageTable4,3,1))*VLOOKUP(G461,DataPageTable4,4,1)</f>
        <v>1.77E-2</v>
      </c>
      <c r="H462" s="66">
        <f>VLOOKUP(H461,DataPageTable4,2,1)+((H461-VLOOKUP(H461,DataPageTable4,1,1))/VLOOKUP(H461,DataPageTable4,3,1))*VLOOKUP(H461,DataPageTable4,4,1)</f>
        <v>1.77E-2</v>
      </c>
      <c r="I462" s="66">
        <f>VLOOKUP(I461,DataPageTable4,2,1)+((I461-VLOOKUP(I461,DataPageTable4,1,1))/VLOOKUP(I461,DataPageTable4,3,1))*VLOOKUP(I461,DataPageTable4,4,1)</f>
        <v>1.77E-2</v>
      </c>
      <c r="J462" s="31" t="s">
        <v>3945</v>
      </c>
    </row>
    <row r="463" spans="3:20" ht="11.25">
      <c r="C463" s="355"/>
      <c r="D463" s="28"/>
      <c r="E463" s="457"/>
      <c r="F463" s="457"/>
      <c r="G463" s="457"/>
      <c r="H463" s="457"/>
      <c r="I463" s="457"/>
      <c r="J463" s="27"/>
    </row>
    <row r="464" spans="3:20" ht="11.25">
      <c r="C464" s="355"/>
      <c r="D464" s="28"/>
      <c r="E464" s="457"/>
      <c r="F464" s="682" t="s">
        <v>1650</v>
      </c>
      <c r="G464" s="457"/>
      <c r="H464" s="457"/>
      <c r="I464" s="457"/>
      <c r="J464" s="27"/>
    </row>
    <row r="465" spans="2:20" ht="11.25">
      <c r="B465" s="34" t="s">
        <v>1646</v>
      </c>
      <c r="C465" s="52"/>
      <c r="D465" s="52"/>
      <c r="E465" s="53"/>
      <c r="F465" s="65" t="s">
        <v>3811</v>
      </c>
      <c r="G465" s="52"/>
      <c r="H465" s="52"/>
      <c r="I465" s="52"/>
      <c r="J465" s="53"/>
      <c r="S465" s="75"/>
      <c r="T465" s="75"/>
    </row>
    <row r="466" spans="2:20" ht="11.25">
      <c r="B466" s="41" t="s">
        <v>1648</v>
      </c>
      <c r="C466" s="58" t="s">
        <v>603</v>
      </c>
      <c r="D466" s="58" t="s">
        <v>1878</v>
      </c>
      <c r="E466" s="59" t="s">
        <v>1879</v>
      </c>
      <c r="F466" s="65">
        <v>0</v>
      </c>
      <c r="G466" s="52">
        <v>1</v>
      </c>
      <c r="H466" s="52">
        <v>2</v>
      </c>
      <c r="I466" s="52">
        <v>3</v>
      </c>
      <c r="J466" s="53">
        <v>4</v>
      </c>
      <c r="S466" s="75"/>
      <c r="T466" s="75"/>
    </row>
    <row r="467" spans="2:20" ht="11.25">
      <c r="B467" s="347">
        <v>0</v>
      </c>
      <c r="C467" s="336">
        <f t="shared" ref="C467:C477" si="60">INDEX(F467:J467,xxYear+1)</f>
        <v>0</v>
      </c>
      <c r="D467" s="349">
        <f t="shared" ref="D467:D477" si="61">B468-B467</f>
        <v>50</v>
      </c>
      <c r="E467" s="436">
        <f t="shared" ref="E467:E477" si="62">C468-C467</f>
        <v>10000</v>
      </c>
      <c r="F467" s="680">
        <v>0</v>
      </c>
      <c r="G467" s="680">
        <v>0</v>
      </c>
      <c r="H467" s="680">
        <v>0</v>
      </c>
      <c r="I467" s="680">
        <v>0</v>
      </c>
      <c r="J467" s="680">
        <v>0</v>
      </c>
      <c r="S467" s="75"/>
      <c r="T467" s="75"/>
    </row>
    <row r="468" spans="2:20" ht="11.25">
      <c r="B468" s="335">
        <v>50</v>
      </c>
      <c r="C468" s="336">
        <f t="shared" si="60"/>
        <v>10000</v>
      </c>
      <c r="D468" s="337">
        <f t="shared" si="61"/>
        <v>50</v>
      </c>
      <c r="E468" s="437">
        <f t="shared" si="62"/>
        <v>5000</v>
      </c>
      <c r="F468" s="681">
        <v>10000</v>
      </c>
      <c r="G468" s="681">
        <v>10000</v>
      </c>
      <c r="H468" s="681">
        <v>10000</v>
      </c>
      <c r="I468" s="681">
        <v>10000</v>
      </c>
      <c r="J468" s="681">
        <v>10000</v>
      </c>
      <c r="S468" s="75"/>
      <c r="T468" s="75"/>
    </row>
    <row r="469" spans="2:20" ht="11.25">
      <c r="B469" s="335">
        <v>100</v>
      </c>
      <c r="C469" s="336">
        <f t="shared" si="60"/>
        <v>15000</v>
      </c>
      <c r="D469" s="337">
        <f t="shared" si="61"/>
        <v>50</v>
      </c>
      <c r="E469" s="437">
        <f t="shared" si="62"/>
        <v>5000</v>
      </c>
      <c r="F469" s="681">
        <v>15000</v>
      </c>
      <c r="G469" s="681">
        <v>15000</v>
      </c>
      <c r="H469" s="681">
        <v>15000</v>
      </c>
      <c r="I469" s="681">
        <v>15000</v>
      </c>
      <c r="J469" s="681">
        <v>15000</v>
      </c>
      <c r="S469" s="75"/>
      <c r="T469" s="75"/>
    </row>
    <row r="470" spans="2:20" ht="11.25">
      <c r="B470" s="335">
        <v>150</v>
      </c>
      <c r="C470" s="336">
        <f t="shared" si="60"/>
        <v>20000</v>
      </c>
      <c r="D470" s="337">
        <f t="shared" si="61"/>
        <v>50</v>
      </c>
      <c r="E470" s="437">
        <f t="shared" si="62"/>
        <v>5000</v>
      </c>
      <c r="F470" s="681">
        <v>20000</v>
      </c>
      <c r="G470" s="681">
        <v>20000</v>
      </c>
      <c r="H470" s="681">
        <v>20000</v>
      </c>
      <c r="I470" s="681">
        <v>20000</v>
      </c>
      <c r="J470" s="681">
        <v>20000</v>
      </c>
      <c r="S470" s="75"/>
      <c r="T470" s="75"/>
    </row>
    <row r="471" spans="2:20" ht="11.25">
      <c r="B471" s="335">
        <v>200</v>
      </c>
      <c r="C471" s="336">
        <f t="shared" si="60"/>
        <v>25000</v>
      </c>
      <c r="D471" s="337">
        <f t="shared" si="61"/>
        <v>100</v>
      </c>
      <c r="E471" s="437">
        <f t="shared" si="62"/>
        <v>5000</v>
      </c>
      <c r="F471" s="681">
        <v>25000</v>
      </c>
      <c r="G471" s="681">
        <v>25000</v>
      </c>
      <c r="H471" s="681">
        <v>25000</v>
      </c>
      <c r="I471" s="681">
        <v>25000</v>
      </c>
      <c r="J471" s="681">
        <v>25000</v>
      </c>
      <c r="S471" s="75"/>
      <c r="T471" s="75"/>
    </row>
    <row r="472" spans="2:20" ht="11.25">
      <c r="B472" s="335">
        <v>300</v>
      </c>
      <c r="C472" s="336">
        <f t="shared" si="60"/>
        <v>30000</v>
      </c>
      <c r="D472" s="337">
        <f t="shared" si="61"/>
        <v>50</v>
      </c>
      <c r="E472" s="437">
        <f t="shared" si="62"/>
        <v>5000</v>
      </c>
      <c r="F472" s="681">
        <v>30000</v>
      </c>
      <c r="G472" s="681">
        <v>30000</v>
      </c>
      <c r="H472" s="681">
        <v>30000</v>
      </c>
      <c r="I472" s="681">
        <v>30000</v>
      </c>
      <c r="J472" s="681">
        <v>30000</v>
      </c>
      <c r="S472" s="75"/>
      <c r="T472" s="75"/>
    </row>
    <row r="473" spans="2:20" ht="11.25">
      <c r="B473" s="335">
        <v>350</v>
      </c>
      <c r="C473" s="336">
        <f t="shared" si="60"/>
        <v>35000</v>
      </c>
      <c r="D473" s="337">
        <f t="shared" si="61"/>
        <v>50</v>
      </c>
      <c r="E473" s="437">
        <f t="shared" si="62"/>
        <v>5000</v>
      </c>
      <c r="F473" s="681">
        <v>35000</v>
      </c>
      <c r="G473" s="681">
        <v>35000</v>
      </c>
      <c r="H473" s="681">
        <v>35000</v>
      </c>
      <c r="I473" s="681">
        <v>35000</v>
      </c>
      <c r="J473" s="681">
        <v>35000</v>
      </c>
      <c r="S473" s="75"/>
      <c r="T473" s="75"/>
    </row>
    <row r="474" spans="2:20" ht="11.25">
      <c r="B474" s="335">
        <v>400</v>
      </c>
      <c r="C474" s="336">
        <f t="shared" si="60"/>
        <v>40000</v>
      </c>
      <c r="D474" s="337">
        <f t="shared" si="61"/>
        <v>50</v>
      </c>
      <c r="E474" s="437">
        <f t="shared" si="62"/>
        <v>5000</v>
      </c>
      <c r="F474" s="681">
        <v>40000</v>
      </c>
      <c r="G474" s="681">
        <v>40000</v>
      </c>
      <c r="H474" s="681">
        <v>40000</v>
      </c>
      <c r="I474" s="681">
        <v>40000</v>
      </c>
      <c r="J474" s="681">
        <v>40000</v>
      </c>
      <c r="S474" s="75"/>
      <c r="T474" s="75"/>
    </row>
    <row r="475" spans="2:20" ht="11.25">
      <c r="B475" s="335">
        <v>450</v>
      </c>
      <c r="C475" s="336">
        <f t="shared" si="60"/>
        <v>45000</v>
      </c>
      <c r="D475" s="337">
        <f t="shared" si="61"/>
        <v>50</v>
      </c>
      <c r="E475" s="437">
        <f t="shared" si="62"/>
        <v>5000</v>
      </c>
      <c r="F475" s="681">
        <v>45000</v>
      </c>
      <c r="G475" s="681">
        <v>45000</v>
      </c>
      <c r="H475" s="681">
        <v>45000</v>
      </c>
      <c r="I475" s="681">
        <v>45000</v>
      </c>
      <c r="J475" s="681">
        <v>45000</v>
      </c>
      <c r="S475" s="75"/>
      <c r="T475" s="75"/>
    </row>
    <row r="476" spans="2:20" ht="11.25">
      <c r="B476" s="335">
        <v>500</v>
      </c>
      <c r="C476" s="336">
        <f t="shared" si="60"/>
        <v>50000</v>
      </c>
      <c r="D476" s="337">
        <f t="shared" si="61"/>
        <v>50</v>
      </c>
      <c r="E476" s="437">
        <f t="shared" si="62"/>
        <v>5000</v>
      </c>
      <c r="F476" s="681">
        <v>50000</v>
      </c>
      <c r="G476" s="681">
        <v>50000</v>
      </c>
      <c r="H476" s="681">
        <v>50000</v>
      </c>
      <c r="I476" s="681">
        <v>50000</v>
      </c>
      <c r="J476" s="681">
        <v>50000</v>
      </c>
      <c r="S476" s="75"/>
      <c r="T476" s="75"/>
    </row>
    <row r="477" spans="2:20" ht="11.25">
      <c r="B477" s="352">
        <v>550</v>
      </c>
      <c r="C477" s="353">
        <f t="shared" si="60"/>
        <v>55000</v>
      </c>
      <c r="D477" s="340">
        <f t="shared" si="61"/>
        <v>-550</v>
      </c>
      <c r="E477" s="438">
        <f t="shared" si="62"/>
        <v>-55000</v>
      </c>
      <c r="F477" s="681">
        <v>55000</v>
      </c>
      <c r="G477" s="681">
        <v>55000</v>
      </c>
      <c r="H477" s="681">
        <v>55000</v>
      </c>
      <c r="I477" s="681">
        <v>55000</v>
      </c>
      <c r="J477" s="681">
        <v>55000</v>
      </c>
      <c r="S477" s="75"/>
      <c r="T477" s="75"/>
    </row>
    <row r="478" spans="2:20" ht="11.25">
      <c r="B478" s="3"/>
      <c r="C478" s="342"/>
      <c r="D478" s="343"/>
      <c r="E478" s="38"/>
      <c r="F478" s="38"/>
      <c r="G478" s="38"/>
      <c r="H478" s="38"/>
      <c r="I478" s="38"/>
      <c r="J478" s="344"/>
      <c r="S478" s="75"/>
      <c r="T478" s="75"/>
    </row>
    <row r="479" spans="2:20" ht="11.25">
      <c r="C479" s="32" t="s">
        <v>1645</v>
      </c>
      <c r="D479" s="33"/>
      <c r="E479" s="678">
        <f>decEmp4BusAHire+decEmp3BusAHire+decEmp2BusAHire+decEmp1BusAHire+decEmp7BusAHire+decEmp8BusAHire+decEmp9BusAHire+decEmp4BusBHire+decEmp3BusBHire+decEmp2BusBHire+decEmp1BusBHire+decEntWFHire</f>
        <v>580</v>
      </c>
      <c r="F479" s="678">
        <f>decEmp4BusAHire+decEmp3BusAHire+decEmp2BusAHire+decEmp1BusAHire+decEmp7BusAHire+decEmp8BusAHire+decEmp9BusAHire+decEmp4BusBHire+decEmp3BusBHire+decEmp2BusBHire+decEmp1BusBHire+decEntWFHire</f>
        <v>580</v>
      </c>
      <c r="G479" s="678">
        <f>decEmp4BusAHire+decEmp3BusAHire+decEmp2BusAHire+decEmp1BusAHire+decEmp7BusAHire+decEmp8BusAHire+decEmp9BusAHire+decEmp4BusBHire+decEmp3BusBHire+decEmp2BusBHire+decEmp1BusBHire+decEntWFHire</f>
        <v>580</v>
      </c>
      <c r="H479" s="678">
        <f>decEmp4BusAHire+decEmp3BusAHire+decEmp2BusAHire+decEmp1BusAHire+decEmp7BusAHire+decEmp8BusAHire+decEmp9BusAHire+decEmp4BusBHire+decEmp3BusBHire+decEmp2BusBHire+decEmp1BusBHire+decEntWFHire</f>
        <v>580</v>
      </c>
      <c r="I479" s="678">
        <f>decEmp4BusAHire+decEmp3BusAHire+decEmp2BusAHire+decEmp1BusAHire+decEmp7BusAHire+decEmp8BusAHire+decEmp9BusAHire+decEmp4BusBHire+decEmp3BusBHire+decEmp2BusBHire+decEmp1BusBHire+decEntWFHire</f>
        <v>580</v>
      </c>
      <c r="J479" s="97"/>
      <c r="S479" s="75"/>
      <c r="T479" s="75"/>
    </row>
    <row r="480" spans="2:20" ht="11.25">
      <c r="C480" s="679" t="s">
        <v>1649</v>
      </c>
      <c r="D480" s="29"/>
      <c r="E480" s="677">
        <f>VLOOKUP(E479,DataPageEmp6RecruitTimeDemandLookup,2,1)+((E479-VLOOKUP(E479,DataPageEmp6RecruitTimeDemandLookup,1,1))/VLOOKUP(E479,DataPageEmp6RecruitTimeDemandLookup,3,1))*VLOOKUP(E479,DataPageEmp6RecruitTimeDemandLookup,4,1)</f>
        <v>58000</v>
      </c>
      <c r="F480" s="677">
        <f>VLOOKUP(F479,DataPageEmp6RecruitTimeDemandLookup,2,1)+((F479-VLOOKUP(F479,DataPageEmp6RecruitTimeDemandLookup,1,1))/VLOOKUP(F479,DataPageEmp6RecruitTimeDemandLookup,3,1))*VLOOKUP(F479,DataPageEmp6RecruitTimeDemandLookup,4,1)</f>
        <v>58000</v>
      </c>
      <c r="G480" s="677">
        <f>VLOOKUP(G479,DataPageEmp6RecruitTimeDemandLookup,2,1)+((G479-VLOOKUP(G479,DataPageEmp6RecruitTimeDemandLookup,1,1))/VLOOKUP(G479,DataPageEmp6RecruitTimeDemandLookup,3,1))*VLOOKUP(G479,DataPageEmp6RecruitTimeDemandLookup,4,1)</f>
        <v>58000</v>
      </c>
      <c r="H480" s="677">
        <f>VLOOKUP(H479,DataPageEmp6RecruitTimeDemandLookup,2,1)+((H479-VLOOKUP(H479,DataPageEmp6RecruitTimeDemandLookup,1,1))/VLOOKUP(H479,DataPageEmp6RecruitTimeDemandLookup,3,1))*VLOOKUP(H479,DataPageEmp6RecruitTimeDemandLookup,4,1)</f>
        <v>58000</v>
      </c>
      <c r="I480" s="677">
        <f>VLOOKUP(I479,DataPageEmp6RecruitTimeDemandLookup,2,1)+((I479-VLOOKUP(I479,DataPageEmp6RecruitTimeDemandLookup,1,1))/VLOOKUP(I479,DataPageEmp6RecruitTimeDemandLookup,3,1))*VLOOKUP(I479,DataPageEmp6RecruitTimeDemandLookup,4,1)</f>
        <v>58000</v>
      </c>
      <c r="J480" s="31" t="s">
        <v>1647</v>
      </c>
    </row>
    <row r="481" spans="1:20" ht="11.25">
      <c r="C481" s="355"/>
      <c r="D481" s="28"/>
      <c r="E481" s="457"/>
      <c r="F481" s="457"/>
      <c r="G481" s="457"/>
      <c r="H481" s="457"/>
      <c r="I481" s="457"/>
      <c r="J481" s="27"/>
    </row>
    <row r="482" spans="1:20" ht="11.25">
      <c r="A482" s="144" t="s">
        <v>3660</v>
      </c>
      <c r="C482" s="355"/>
      <c r="D482" s="28"/>
      <c r="E482" s="457"/>
      <c r="F482" s="457"/>
      <c r="G482" s="457"/>
      <c r="H482" s="457"/>
      <c r="I482" s="457"/>
      <c r="J482" s="27"/>
    </row>
    <row r="483" spans="1:20" ht="11.25">
      <c r="A483" s="144" t="s">
        <v>3661</v>
      </c>
      <c r="B483" s="34" t="s">
        <v>814</v>
      </c>
      <c r="C483" s="52"/>
      <c r="D483" s="52"/>
      <c r="E483" s="53"/>
      <c r="F483" s="65" t="s">
        <v>3811</v>
      </c>
      <c r="G483" s="52"/>
      <c r="H483" s="52"/>
      <c r="I483" s="52"/>
      <c r="J483" s="53"/>
      <c r="S483" s="75"/>
      <c r="T483" s="75"/>
    </row>
    <row r="484" spans="1:20" ht="11.25">
      <c r="A484" s="144"/>
      <c r="B484" s="41" t="s">
        <v>815</v>
      </c>
      <c r="C484" s="58" t="s">
        <v>603</v>
      </c>
      <c r="D484" s="58" t="s">
        <v>1878</v>
      </c>
      <c r="E484" s="59" t="s">
        <v>1879</v>
      </c>
      <c r="F484" s="65">
        <v>0</v>
      </c>
      <c r="G484" s="52">
        <v>1</v>
      </c>
      <c r="H484" s="52">
        <v>2</v>
      </c>
      <c r="I484" s="52">
        <v>3</v>
      </c>
      <c r="J484" s="53">
        <v>4</v>
      </c>
      <c r="S484" s="75"/>
      <c r="T484" s="75"/>
    </row>
    <row r="485" spans="1:20" ht="11.25">
      <c r="A485" s="144" t="s">
        <v>3662</v>
      </c>
      <c r="B485" s="347">
        <v>0</v>
      </c>
      <c r="C485" s="336">
        <f t="shared" ref="C485:C495" si="63">INDEX(F485:J485,xxYear+1)</f>
        <v>0</v>
      </c>
      <c r="D485" s="349">
        <f t="shared" ref="D485:D495" si="64">B486-B485</f>
        <v>50000</v>
      </c>
      <c r="E485" s="436">
        <f t="shared" ref="E485:E495" si="65">C486-C485</f>
        <v>3333.3333333333335</v>
      </c>
      <c r="F485" s="680">
        <v>0</v>
      </c>
      <c r="G485" s="680">
        <v>0</v>
      </c>
      <c r="H485" s="680">
        <v>0</v>
      </c>
      <c r="I485" s="680">
        <v>0</v>
      </c>
      <c r="J485" s="680">
        <v>0</v>
      </c>
      <c r="S485" s="75"/>
      <c r="T485" s="75"/>
    </row>
    <row r="486" spans="1:20" ht="11.25">
      <c r="A486" s="144" t="s">
        <v>3663</v>
      </c>
      <c r="B486" s="335">
        <v>50000</v>
      </c>
      <c r="C486" s="336">
        <f t="shared" si="63"/>
        <v>3333.3333333333335</v>
      </c>
      <c r="D486" s="337">
        <f t="shared" si="64"/>
        <v>50000</v>
      </c>
      <c r="E486" s="437">
        <f t="shared" si="65"/>
        <v>1666.6666666666665</v>
      </c>
      <c r="F486" s="681">
        <f t="shared" ref="F486:J493" si="66">F468/3</f>
        <v>3333.3333333333335</v>
      </c>
      <c r="G486" s="681">
        <f t="shared" si="66"/>
        <v>3333.3333333333335</v>
      </c>
      <c r="H486" s="681">
        <f t="shared" si="66"/>
        <v>3333.3333333333335</v>
      </c>
      <c r="I486" s="681">
        <f t="shared" si="66"/>
        <v>3333.3333333333335</v>
      </c>
      <c r="J486" s="681">
        <f t="shared" si="66"/>
        <v>3333.3333333333335</v>
      </c>
      <c r="S486" s="75"/>
      <c r="T486" s="75"/>
    </row>
    <row r="487" spans="1:20" ht="11.25">
      <c r="A487" s="144"/>
      <c r="B487" s="335">
        <v>100000</v>
      </c>
      <c r="C487" s="336">
        <f t="shared" si="63"/>
        <v>5000</v>
      </c>
      <c r="D487" s="337">
        <f t="shared" si="64"/>
        <v>50000</v>
      </c>
      <c r="E487" s="437">
        <f t="shared" si="65"/>
        <v>1666.666666666667</v>
      </c>
      <c r="F487" s="681">
        <f t="shared" si="66"/>
        <v>5000</v>
      </c>
      <c r="G487" s="681">
        <f t="shared" si="66"/>
        <v>5000</v>
      </c>
      <c r="H487" s="681">
        <f t="shared" si="66"/>
        <v>5000</v>
      </c>
      <c r="I487" s="681">
        <f t="shared" si="66"/>
        <v>5000</v>
      </c>
      <c r="J487" s="681">
        <f t="shared" si="66"/>
        <v>5000</v>
      </c>
      <c r="S487" s="75"/>
      <c r="T487" s="75"/>
    </row>
    <row r="488" spans="1:20" ht="11.25">
      <c r="A488" s="144"/>
      <c r="B488" s="335">
        <v>150000</v>
      </c>
      <c r="C488" s="336">
        <f t="shared" si="63"/>
        <v>6666.666666666667</v>
      </c>
      <c r="D488" s="337">
        <f t="shared" si="64"/>
        <v>50000</v>
      </c>
      <c r="E488" s="437">
        <f t="shared" si="65"/>
        <v>1666.666666666667</v>
      </c>
      <c r="F488" s="681">
        <f t="shared" si="66"/>
        <v>6666.666666666667</v>
      </c>
      <c r="G488" s="681">
        <f t="shared" si="66"/>
        <v>6666.666666666667</v>
      </c>
      <c r="H488" s="681">
        <f t="shared" si="66"/>
        <v>6666.666666666667</v>
      </c>
      <c r="I488" s="681">
        <f t="shared" si="66"/>
        <v>6666.666666666667</v>
      </c>
      <c r="J488" s="681">
        <f t="shared" si="66"/>
        <v>6666.666666666667</v>
      </c>
      <c r="S488" s="75"/>
      <c r="T488" s="75"/>
    </row>
    <row r="489" spans="1:20" ht="11.25">
      <c r="A489" s="144"/>
      <c r="B489" s="335">
        <v>200000</v>
      </c>
      <c r="C489" s="336">
        <f t="shared" si="63"/>
        <v>8333.3333333333339</v>
      </c>
      <c r="D489" s="337">
        <f t="shared" si="64"/>
        <v>100000</v>
      </c>
      <c r="E489" s="437">
        <f t="shared" si="65"/>
        <v>1666.6666666666661</v>
      </c>
      <c r="F489" s="681">
        <f t="shared" si="66"/>
        <v>8333.3333333333339</v>
      </c>
      <c r="G489" s="681">
        <f t="shared" si="66"/>
        <v>8333.3333333333339</v>
      </c>
      <c r="H489" s="681">
        <f t="shared" si="66"/>
        <v>8333.3333333333339</v>
      </c>
      <c r="I489" s="681">
        <f t="shared" si="66"/>
        <v>8333.3333333333339</v>
      </c>
      <c r="J489" s="681">
        <f t="shared" si="66"/>
        <v>8333.3333333333339</v>
      </c>
      <c r="S489" s="75"/>
      <c r="T489" s="75"/>
    </row>
    <row r="490" spans="1:20" ht="11.25">
      <c r="A490" s="144"/>
      <c r="B490" s="335">
        <v>300000</v>
      </c>
      <c r="C490" s="336">
        <f t="shared" si="63"/>
        <v>10000</v>
      </c>
      <c r="D490" s="337">
        <f t="shared" si="64"/>
        <v>50000</v>
      </c>
      <c r="E490" s="437">
        <f t="shared" si="65"/>
        <v>1666.6666666666661</v>
      </c>
      <c r="F490" s="681">
        <f t="shared" si="66"/>
        <v>10000</v>
      </c>
      <c r="G490" s="681">
        <f t="shared" si="66"/>
        <v>10000</v>
      </c>
      <c r="H490" s="681">
        <f t="shared" si="66"/>
        <v>10000</v>
      </c>
      <c r="I490" s="681">
        <f t="shared" si="66"/>
        <v>10000</v>
      </c>
      <c r="J490" s="681">
        <f t="shared" si="66"/>
        <v>10000</v>
      </c>
      <c r="S490" s="75"/>
      <c r="T490" s="75"/>
    </row>
    <row r="491" spans="1:20" ht="11.25">
      <c r="A491" s="144"/>
      <c r="B491" s="335">
        <v>350000</v>
      </c>
      <c r="C491" s="336">
        <f t="shared" si="63"/>
        <v>11666.666666666666</v>
      </c>
      <c r="D491" s="337">
        <f t="shared" si="64"/>
        <v>50000</v>
      </c>
      <c r="E491" s="437">
        <f t="shared" si="65"/>
        <v>1666.6666666666679</v>
      </c>
      <c r="F491" s="681">
        <f t="shared" si="66"/>
        <v>11666.666666666666</v>
      </c>
      <c r="G491" s="681">
        <f t="shared" si="66"/>
        <v>11666.666666666666</v>
      </c>
      <c r="H491" s="681">
        <f t="shared" si="66"/>
        <v>11666.666666666666</v>
      </c>
      <c r="I491" s="681">
        <f t="shared" si="66"/>
        <v>11666.666666666666</v>
      </c>
      <c r="J491" s="681">
        <f t="shared" si="66"/>
        <v>11666.666666666666</v>
      </c>
      <c r="S491" s="75"/>
      <c r="T491" s="75"/>
    </row>
    <row r="492" spans="1:20" ht="11.25">
      <c r="A492" s="144"/>
      <c r="B492" s="335">
        <v>400000</v>
      </c>
      <c r="C492" s="336">
        <f t="shared" si="63"/>
        <v>13333.333333333334</v>
      </c>
      <c r="D492" s="337">
        <f t="shared" si="64"/>
        <v>50000</v>
      </c>
      <c r="E492" s="437">
        <f t="shared" si="65"/>
        <v>1666.6666666666661</v>
      </c>
      <c r="F492" s="681">
        <f t="shared" si="66"/>
        <v>13333.333333333334</v>
      </c>
      <c r="G492" s="681">
        <f t="shared" si="66"/>
        <v>13333.333333333334</v>
      </c>
      <c r="H492" s="681">
        <f t="shared" si="66"/>
        <v>13333.333333333334</v>
      </c>
      <c r="I492" s="681">
        <f t="shared" si="66"/>
        <v>13333.333333333334</v>
      </c>
      <c r="J492" s="681">
        <f t="shared" si="66"/>
        <v>13333.333333333334</v>
      </c>
      <c r="S492" s="75"/>
      <c r="T492" s="75"/>
    </row>
    <row r="493" spans="1:20" ht="11.25">
      <c r="A493" s="144"/>
      <c r="B493" s="335">
        <v>450000</v>
      </c>
      <c r="C493" s="336">
        <f t="shared" si="63"/>
        <v>15000</v>
      </c>
      <c r="D493" s="337">
        <f t="shared" si="64"/>
        <v>50000</v>
      </c>
      <c r="E493" s="437">
        <f t="shared" si="65"/>
        <v>1666.6666666666679</v>
      </c>
      <c r="F493" s="681">
        <f t="shared" si="66"/>
        <v>15000</v>
      </c>
      <c r="G493" s="681">
        <f t="shared" si="66"/>
        <v>15000</v>
      </c>
      <c r="H493" s="681">
        <f t="shared" si="66"/>
        <v>15000</v>
      </c>
      <c r="I493" s="681">
        <f t="shared" si="66"/>
        <v>15000</v>
      </c>
      <c r="J493" s="681">
        <f t="shared" si="66"/>
        <v>15000</v>
      </c>
      <c r="S493" s="75"/>
      <c r="T493" s="75"/>
    </row>
    <row r="494" spans="1:20" ht="11.25">
      <c r="A494" s="144"/>
      <c r="B494" s="335">
        <v>500000</v>
      </c>
      <c r="C494" s="336">
        <f t="shared" si="63"/>
        <v>16666.666666666668</v>
      </c>
      <c r="D494" s="337">
        <f t="shared" si="64"/>
        <v>50000</v>
      </c>
      <c r="E494" s="437">
        <f t="shared" si="65"/>
        <v>1666.6666666666642</v>
      </c>
      <c r="F494" s="681">
        <f t="shared" ref="F494:J495" si="67">F476/3</f>
        <v>16666.666666666668</v>
      </c>
      <c r="G494" s="681">
        <f t="shared" si="67"/>
        <v>16666.666666666668</v>
      </c>
      <c r="H494" s="681">
        <f t="shared" si="67"/>
        <v>16666.666666666668</v>
      </c>
      <c r="I494" s="681">
        <f t="shared" si="67"/>
        <v>16666.666666666668</v>
      </c>
      <c r="J494" s="681">
        <f t="shared" si="67"/>
        <v>16666.666666666668</v>
      </c>
      <c r="S494" s="75"/>
      <c r="T494" s="75"/>
    </row>
    <row r="495" spans="1:20" ht="11.25">
      <c r="A495" s="144"/>
      <c r="B495" s="352">
        <v>550000</v>
      </c>
      <c r="C495" s="353">
        <f t="shared" si="63"/>
        <v>18333.333333333332</v>
      </c>
      <c r="D495" s="340">
        <f t="shared" si="64"/>
        <v>-550000</v>
      </c>
      <c r="E495" s="438">
        <f t="shared" si="65"/>
        <v>-18333.333333333332</v>
      </c>
      <c r="F495" s="681">
        <f t="shared" si="67"/>
        <v>18333.333333333332</v>
      </c>
      <c r="G495" s="681">
        <f t="shared" si="67"/>
        <v>18333.333333333332</v>
      </c>
      <c r="H495" s="681">
        <f t="shared" si="67"/>
        <v>18333.333333333332</v>
      </c>
      <c r="I495" s="681">
        <f t="shared" si="67"/>
        <v>18333.333333333332</v>
      </c>
      <c r="J495" s="681">
        <f t="shared" si="67"/>
        <v>18333.333333333332</v>
      </c>
      <c r="S495" s="75"/>
      <c r="T495" s="75"/>
    </row>
    <row r="496" spans="1:20" ht="11.25">
      <c r="A496" s="144"/>
      <c r="B496" s="3"/>
      <c r="C496" s="342"/>
      <c r="D496" s="343"/>
      <c r="E496" s="38"/>
      <c r="F496" s="38"/>
      <c r="G496" s="38"/>
      <c r="H496" s="38"/>
      <c r="I496" s="38"/>
      <c r="J496" s="344"/>
      <c r="S496" s="75"/>
      <c r="T496" s="75"/>
    </row>
    <row r="497" spans="1:20" ht="11.25">
      <c r="A497" s="144"/>
      <c r="C497" s="32" t="s">
        <v>815</v>
      </c>
      <c r="D497" s="33"/>
      <c r="E497" s="678">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F497" s="678">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G497" s="678">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H497" s="678">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I497" s="678">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J497" s="97"/>
      <c r="S497" s="75"/>
      <c r="T497" s="75"/>
    </row>
    <row r="498" spans="1:20" ht="11.25">
      <c r="A498" s="144"/>
      <c r="C498" s="679" t="s">
        <v>813</v>
      </c>
      <c r="D498" s="29"/>
      <c r="E498" s="677">
        <f>VLOOKUP(E497,DataPageEmp6TrainAllTimeDemandLookup,2,1)+((E497-VLOOKUP(E497,DataPageEmp6TrainAllTimeDemandLookup,1,1))/VLOOKUP(E497,DataPageEmp6TrainAllTimeDemandLookup,3,1))*VLOOKUP(E497,DataPageEmp6TrainAllTimeDemandLookup,4,1)</f>
        <v>8022.666666666667</v>
      </c>
      <c r="F498" s="677">
        <f>VLOOKUP(F497,DataPageEmp6TrainAllTimeDemandLookup,2,1)+((F497-VLOOKUP(F497,DataPageEmp6TrainAllTimeDemandLookup,1,1))/VLOOKUP(F497,DataPageEmp6TrainAllTimeDemandLookup,3,1))*VLOOKUP(F497,DataPageEmp6TrainAllTimeDemandLookup,4,1)</f>
        <v>8022.666666666667</v>
      </c>
      <c r="G498" s="677">
        <f>VLOOKUP(G497,DataPageEmp6TrainAllTimeDemandLookup,2,1)+((G497-VLOOKUP(G497,DataPageEmp6TrainAllTimeDemandLookup,1,1))/VLOOKUP(G497,DataPageEmp6TrainAllTimeDemandLookup,3,1))*VLOOKUP(G497,DataPageEmp6TrainAllTimeDemandLookup,4,1)</f>
        <v>8022.666666666667</v>
      </c>
      <c r="H498" s="677">
        <f>VLOOKUP(H497,DataPageEmp6TrainAllTimeDemandLookup,2,1)+((H497-VLOOKUP(H497,DataPageEmp6TrainAllTimeDemandLookup,1,1))/VLOOKUP(H497,DataPageEmp6TrainAllTimeDemandLookup,3,1))*VLOOKUP(H497,DataPageEmp6TrainAllTimeDemandLookup,4,1)</f>
        <v>8022.666666666667</v>
      </c>
      <c r="I498" s="677">
        <f>VLOOKUP(I497,DataPageEmp6TrainAllTimeDemandLookup,2,1)+((I497-VLOOKUP(I497,DataPageEmp6TrainAllTimeDemandLookup,1,1))/VLOOKUP(I497,DataPageEmp6TrainAllTimeDemandLookup,3,1))*VLOOKUP(I497,DataPageEmp6TrainAllTimeDemandLookup,4,1)</f>
        <v>8022.666666666667</v>
      </c>
      <c r="J498" s="31" t="s">
        <v>3664</v>
      </c>
    </row>
    <row r="499" spans="1:20" ht="11.25">
      <c r="A499" s="144"/>
      <c r="C499" s="684" t="s">
        <v>3212</v>
      </c>
      <c r="D499" s="28"/>
      <c r="E499" s="678">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F499" s="678">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G499" s="678">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H499" s="678">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I499" s="678">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J499" s="27"/>
    </row>
    <row r="500" spans="1:20" ht="11.25">
      <c r="A500" s="144"/>
      <c r="C500" s="679" t="s">
        <v>813</v>
      </c>
      <c r="D500" s="29"/>
      <c r="E500" s="677">
        <f>VLOOKUP(E499,DataPageEmp6TrainAllTimeDemandLookup,2,1)+((E499-VLOOKUP(E499,DataPageEmp6TrainAllTimeDemandLookup,1,1))/VLOOKUP(E499,DataPageEmp6TrainAllTimeDemandLookup,3,1))*VLOOKUP(E499,DataPageEmp6TrainAllTimeDemandLookup,4,1)</f>
        <v>9324.6666666666661</v>
      </c>
      <c r="F500" s="677">
        <f>VLOOKUP(F499,DataPageEmp6TrainAllTimeDemandLookup,2,1)+((F499-VLOOKUP(F499,DataPageEmp6TrainAllTimeDemandLookup,1,1))/VLOOKUP(F499,DataPageEmp6TrainAllTimeDemandLookup,3,1))*VLOOKUP(F499,DataPageEmp6TrainAllTimeDemandLookup,4,1)</f>
        <v>9324.6666666666661</v>
      </c>
      <c r="G500" s="677">
        <f>VLOOKUP(G499,DataPageEmp6TrainAllTimeDemandLookup,2,1)+((G499-VLOOKUP(G499,DataPageEmp6TrainAllTimeDemandLookup,1,1))/VLOOKUP(G499,DataPageEmp6TrainAllTimeDemandLookup,3,1))*VLOOKUP(G499,DataPageEmp6TrainAllTimeDemandLookup,4,1)</f>
        <v>9324.6666666666661</v>
      </c>
      <c r="H500" s="677">
        <f>VLOOKUP(H499,DataPageEmp6TrainAllTimeDemandLookup,2,1)+((H499-VLOOKUP(H499,DataPageEmp6TrainAllTimeDemandLookup,1,1))/VLOOKUP(H499,DataPageEmp6TrainAllTimeDemandLookup,3,1))*VLOOKUP(H499,DataPageEmp6TrainAllTimeDemandLookup,4,1)</f>
        <v>9324.6666666666661</v>
      </c>
      <c r="I500" s="677">
        <f>VLOOKUP(I499,DataPageEmp6TrainAllTimeDemandLookup,2,1)+((I499-VLOOKUP(I499,DataPageEmp6TrainAllTimeDemandLookup,1,1))/VLOOKUP(I499,DataPageEmp6TrainAllTimeDemandLookup,3,1))*VLOOKUP(I499,DataPageEmp6TrainAllTimeDemandLookup,4,1)</f>
        <v>9324.6666666666661</v>
      </c>
      <c r="J500" s="31" t="s">
        <v>1785</v>
      </c>
    </row>
    <row r="501" spans="1:20" ht="11.25">
      <c r="C501" s="355"/>
      <c r="D501" s="28"/>
      <c r="E501" s="457"/>
      <c r="F501" s="457"/>
      <c r="G501" s="457"/>
      <c r="H501" s="457"/>
      <c r="I501" s="457"/>
      <c r="J501" s="27"/>
    </row>
    <row r="502" spans="1:20" ht="12" thickBot="1">
      <c r="C502" s="185" t="s">
        <v>612</v>
      </c>
    </row>
    <row r="503" spans="1:20" ht="28.5" customHeight="1" thickBot="1">
      <c r="B503" s="186" t="s">
        <v>188</v>
      </c>
      <c r="C503" s="187" t="s">
        <v>3811</v>
      </c>
      <c r="D503" s="187" t="s">
        <v>613</v>
      </c>
      <c r="E503" s="187" t="s">
        <v>614</v>
      </c>
      <c r="F503" s="187" t="s">
        <v>4207</v>
      </c>
      <c r="G503" s="187" t="s">
        <v>4208</v>
      </c>
      <c r="H503" s="187" t="s">
        <v>4209</v>
      </c>
      <c r="I503" s="187" t="s">
        <v>4210</v>
      </c>
      <c r="J503" s="187" t="s">
        <v>4211</v>
      </c>
      <c r="K503" s="187" t="s">
        <v>4212</v>
      </c>
      <c r="L503" s="187" t="s">
        <v>4213</v>
      </c>
      <c r="M503" s="187" t="s">
        <v>4214</v>
      </c>
      <c r="N503" s="187" t="s">
        <v>4215</v>
      </c>
      <c r="O503" s="187" t="s">
        <v>4216</v>
      </c>
      <c r="P503" s="187" t="s">
        <v>4217</v>
      </c>
      <c r="Q503" s="188" t="s">
        <v>4218</v>
      </c>
    </row>
    <row r="504" spans="1:20" ht="24.95" customHeight="1">
      <c r="B504" s="189">
        <v>1</v>
      </c>
      <c r="C504" s="190">
        <v>5</v>
      </c>
      <c r="D504" s="191">
        <v>1</v>
      </c>
      <c r="E504" s="190" t="s">
        <v>4114</v>
      </c>
      <c r="F504" s="192" t="s">
        <v>877</v>
      </c>
      <c r="G504" s="193" t="s">
        <v>1182</v>
      </c>
      <c r="H504" s="194" t="s">
        <v>1682</v>
      </c>
      <c r="I504" s="194" t="s">
        <v>1440</v>
      </c>
      <c r="J504" s="194" t="s">
        <v>2857</v>
      </c>
      <c r="K504" s="190"/>
      <c r="L504" s="193" t="s">
        <v>1439</v>
      </c>
      <c r="M504" s="190"/>
      <c r="N504" s="193" t="s">
        <v>1441</v>
      </c>
      <c r="O504" s="190"/>
      <c r="P504" s="195" t="s">
        <v>990</v>
      </c>
      <c r="Q504" s="196">
        <v>1.0416666666666666E-2</v>
      </c>
      <c r="S504" s="197" t="s">
        <v>991</v>
      </c>
    </row>
    <row r="505" spans="1:20" ht="24.95" customHeight="1">
      <c r="B505" s="189">
        <v>2</v>
      </c>
      <c r="C505" s="190">
        <v>5</v>
      </c>
      <c r="D505" s="191">
        <v>2</v>
      </c>
      <c r="E505" s="190" t="s">
        <v>4115</v>
      </c>
      <c r="F505" s="190" t="s">
        <v>1519</v>
      </c>
      <c r="G505" s="193" t="s">
        <v>615</v>
      </c>
      <c r="H505" s="193" t="s">
        <v>4116</v>
      </c>
      <c r="I505" s="193" t="s">
        <v>2454</v>
      </c>
      <c r="J505" s="190" t="s">
        <v>3376</v>
      </c>
      <c r="K505" s="190"/>
      <c r="L505" s="190" t="s">
        <v>2453</v>
      </c>
      <c r="M505" s="190"/>
      <c r="N505" s="190" t="s">
        <v>2265</v>
      </c>
      <c r="O505" s="190"/>
      <c r="P505" s="195" t="s">
        <v>990</v>
      </c>
      <c r="Q505" s="196">
        <v>6.9444444444444441E-3</v>
      </c>
      <c r="S505" s="197" t="s">
        <v>991</v>
      </c>
    </row>
    <row r="506" spans="1:20" ht="24.95" customHeight="1">
      <c r="B506" s="189">
        <v>3</v>
      </c>
      <c r="C506" s="190">
        <v>5</v>
      </c>
      <c r="D506" s="191">
        <v>1</v>
      </c>
      <c r="E506" s="190" t="s">
        <v>487</v>
      </c>
      <c r="F506" s="190" t="s">
        <v>2296</v>
      </c>
      <c r="G506" s="193"/>
      <c r="H506" s="193"/>
      <c r="I506" s="193"/>
      <c r="J506" s="190"/>
      <c r="K506" s="190"/>
      <c r="L506" s="190"/>
      <c r="M506" s="190"/>
      <c r="N506" s="190"/>
      <c r="O506" s="190"/>
      <c r="P506" s="195" t="s">
        <v>990</v>
      </c>
      <c r="Q506" s="196">
        <v>6.9444444444444441E-3</v>
      </c>
      <c r="S506" s="197" t="s">
        <v>991</v>
      </c>
    </row>
    <row r="507" spans="1:20" ht="24.95" customHeight="1">
      <c r="B507" s="189">
        <v>4</v>
      </c>
      <c r="C507" s="190">
        <v>5</v>
      </c>
      <c r="D507" s="191">
        <v>2</v>
      </c>
      <c r="E507" s="190" t="s">
        <v>2297</v>
      </c>
      <c r="F507" s="190" t="s">
        <v>1383</v>
      </c>
      <c r="G507" s="193" t="s">
        <v>170</v>
      </c>
      <c r="H507" s="193" t="s">
        <v>3443</v>
      </c>
      <c r="I507" s="193" t="s">
        <v>1993</v>
      </c>
      <c r="J507" s="190" t="s">
        <v>1346</v>
      </c>
      <c r="K507" s="190"/>
      <c r="L507" s="190" t="s">
        <v>3444</v>
      </c>
      <c r="M507" s="190"/>
      <c r="N507" s="190" t="s">
        <v>2446</v>
      </c>
      <c r="O507" s="190"/>
      <c r="P507" s="195" t="s">
        <v>990</v>
      </c>
      <c r="Q507" s="196">
        <v>1.0416666666666666E-2</v>
      </c>
      <c r="S507" s="197" t="s">
        <v>991</v>
      </c>
    </row>
    <row r="508" spans="1:20" ht="24.95" customHeight="1">
      <c r="B508" s="189">
        <v>5</v>
      </c>
      <c r="C508" s="190">
        <v>5</v>
      </c>
      <c r="D508" s="191">
        <v>2</v>
      </c>
      <c r="E508" s="190" t="s">
        <v>3911</v>
      </c>
      <c r="F508" s="190" t="s">
        <v>3076</v>
      </c>
      <c r="G508" s="193" t="s">
        <v>3082</v>
      </c>
      <c r="H508" s="193" t="s">
        <v>2805</v>
      </c>
      <c r="I508" s="193" t="s">
        <v>1203</v>
      </c>
      <c r="J508" s="190" t="s">
        <v>1986</v>
      </c>
      <c r="K508" s="190"/>
      <c r="L508" s="190" t="s">
        <v>1886</v>
      </c>
      <c r="M508" s="190"/>
      <c r="N508" s="190" t="s">
        <v>2298</v>
      </c>
      <c r="O508" s="190"/>
      <c r="P508" s="195" t="s">
        <v>990</v>
      </c>
      <c r="Q508" s="196">
        <v>1.0416666666666666E-2</v>
      </c>
      <c r="S508" s="197" t="s">
        <v>991</v>
      </c>
    </row>
    <row r="509" spans="1:20" ht="24.95" customHeight="1">
      <c r="B509" s="189">
        <v>6</v>
      </c>
      <c r="C509" s="190">
        <v>5</v>
      </c>
      <c r="D509" s="191">
        <v>1</v>
      </c>
      <c r="E509" s="190" t="s">
        <v>2299</v>
      </c>
      <c r="F509" s="190" t="s">
        <v>4433</v>
      </c>
      <c r="G509" s="193" t="s">
        <v>2557</v>
      </c>
      <c r="H509" s="193" t="s">
        <v>1204</v>
      </c>
      <c r="I509" s="193" t="s">
        <v>2887</v>
      </c>
      <c r="J509" s="190" t="s">
        <v>750</v>
      </c>
      <c r="K509" s="190"/>
      <c r="L509" s="190" t="s">
        <v>3780</v>
      </c>
      <c r="M509" s="190"/>
      <c r="N509" s="190" t="s">
        <v>1199</v>
      </c>
      <c r="O509" s="190"/>
      <c r="P509" s="195" t="s">
        <v>990</v>
      </c>
      <c r="Q509" s="196">
        <v>1.0416666666666666E-2</v>
      </c>
      <c r="S509" s="197" t="s">
        <v>991</v>
      </c>
    </row>
    <row r="510" spans="1:20" ht="24.95" customHeight="1">
      <c r="B510" s="189">
        <v>7</v>
      </c>
      <c r="C510" s="190">
        <v>5</v>
      </c>
      <c r="D510" s="191">
        <v>2</v>
      </c>
      <c r="E510" s="190" t="s">
        <v>1200</v>
      </c>
      <c r="F510" s="190" t="s">
        <v>1371</v>
      </c>
      <c r="G510" s="193" t="s">
        <v>4566</v>
      </c>
      <c r="H510" s="193" t="s">
        <v>1765</v>
      </c>
      <c r="I510" s="193" t="s">
        <v>253</v>
      </c>
      <c r="J510" s="190" t="s">
        <v>3962</v>
      </c>
      <c r="K510" s="190"/>
      <c r="L510" s="190" t="s">
        <v>3276</v>
      </c>
      <c r="M510" s="190"/>
      <c r="N510" s="190" t="s">
        <v>4477</v>
      </c>
      <c r="O510" s="190"/>
      <c r="P510" s="195" t="s">
        <v>990</v>
      </c>
      <c r="Q510" s="196">
        <v>6.9444444444444441E-3</v>
      </c>
      <c r="S510" s="197" t="s">
        <v>991</v>
      </c>
    </row>
    <row r="511" spans="1:20" ht="24.95" customHeight="1">
      <c r="B511" s="189">
        <v>8</v>
      </c>
      <c r="C511" s="190">
        <v>5</v>
      </c>
      <c r="D511" s="191">
        <v>3</v>
      </c>
      <c r="E511" s="190" t="s">
        <v>4478</v>
      </c>
      <c r="F511" s="190" t="s">
        <v>3123</v>
      </c>
      <c r="G511" s="193" t="s">
        <v>2948</v>
      </c>
      <c r="H511" s="193" t="s">
        <v>3406</v>
      </c>
      <c r="I511" s="193" t="s">
        <v>4219</v>
      </c>
      <c r="J511" s="190" t="s">
        <v>1183</v>
      </c>
      <c r="K511" s="190"/>
      <c r="L511" s="190" t="s">
        <v>3589</v>
      </c>
      <c r="M511" s="190"/>
      <c r="N511" s="190" t="s">
        <v>2438</v>
      </c>
      <c r="O511" s="190"/>
      <c r="P511" s="195" t="s">
        <v>990</v>
      </c>
      <c r="Q511" s="196">
        <v>6.9444444444444441E-3</v>
      </c>
      <c r="S511" s="197" t="s">
        <v>991</v>
      </c>
    </row>
    <row r="512" spans="1:20" ht="24.95" customHeight="1">
      <c r="B512" s="189"/>
      <c r="C512" s="190"/>
      <c r="D512" s="191"/>
      <c r="E512" s="190" t="s">
        <v>2439</v>
      </c>
      <c r="F512" s="190" t="str">
        <f>" Year " &amp; C512 &amp; " Wobbler"</f>
        <v xml:space="preserve"> Year  Wobbler</v>
      </c>
      <c r="G512" s="193" t="str">
        <f>"Decsion Text 1 for wobbler " &amp;B512</f>
        <v xml:space="preserve">Decsion Text 1 for wobbler </v>
      </c>
      <c r="H512" s="193" t="str">
        <f>"Decsion Text 1 for wobbler " &amp;B512</f>
        <v xml:space="preserve">Decsion Text 1 for wobbler </v>
      </c>
      <c r="I512" s="193" t="str">
        <f>"Decsion Text 1 for wobbler " &amp;B512</f>
        <v xml:space="preserve">Decsion Text 1 for wobbler </v>
      </c>
      <c r="J512" s="190" t="str">
        <f>"Explain Text 1 for wobbler " &amp;$B512</f>
        <v xml:space="preserve">Explain Text 1 for wobbler </v>
      </c>
      <c r="K512" s="190"/>
      <c r="L512" s="190" t="str">
        <f>"Explain Text 1 for wobbler " &amp;$B512</f>
        <v xml:space="preserve">Explain Text 1 for wobbler </v>
      </c>
      <c r="M512" s="190"/>
      <c r="N512" s="190" t="str">
        <f>"Explain Text 1 for wobbler " &amp;$B512</f>
        <v xml:space="preserve">Explain Text 1 for wobbler </v>
      </c>
      <c r="O512" s="190"/>
      <c r="P512" s="195" t="s">
        <v>990</v>
      </c>
      <c r="Q512" s="196">
        <v>6.9444444444444441E-3</v>
      </c>
      <c r="S512" s="197" t="s">
        <v>991</v>
      </c>
    </row>
    <row r="513" spans="2:20" ht="24.95" customHeight="1">
      <c r="B513" s="189"/>
      <c r="C513" s="190"/>
      <c r="D513" s="191"/>
      <c r="E513" s="190" t="s">
        <v>2439</v>
      </c>
      <c r="F513" s="190" t="str">
        <f>" Year " &amp; C513 &amp; " Wobbler"</f>
        <v xml:space="preserve"> Year  Wobbler</v>
      </c>
      <c r="G513" s="193" t="str">
        <f>"Decsion Text 1 for wobbler " &amp;B513</f>
        <v xml:space="preserve">Decsion Text 1 for wobbler </v>
      </c>
      <c r="H513" s="193" t="str">
        <f>"Decsion Text 1 for wobbler " &amp;B513</f>
        <v xml:space="preserve">Decsion Text 1 for wobbler </v>
      </c>
      <c r="I513" s="193" t="str">
        <f>"Decsion Text 1 for wobbler " &amp;B513</f>
        <v xml:space="preserve">Decsion Text 1 for wobbler </v>
      </c>
      <c r="J513" s="190" t="str">
        <f>"Explain Text 1 for wobbler " &amp;$B513</f>
        <v xml:space="preserve">Explain Text 1 for wobbler </v>
      </c>
      <c r="K513" s="190"/>
      <c r="L513" s="190" t="str">
        <f>"Explain Text 1 for wobbler " &amp;$B513</f>
        <v xml:space="preserve">Explain Text 1 for wobbler </v>
      </c>
      <c r="M513" s="190"/>
      <c r="N513" s="190" t="str">
        <f>"Explain Text 1 for wobbler " &amp;$B513</f>
        <v xml:space="preserve">Explain Text 1 for wobbler </v>
      </c>
      <c r="O513" s="190"/>
      <c r="P513" s="195" t="s">
        <v>990</v>
      </c>
      <c r="Q513" s="196">
        <v>6.9444444444444441E-3</v>
      </c>
      <c r="S513" s="197" t="s">
        <v>991</v>
      </c>
    </row>
    <row r="514" spans="2:20" ht="24.95" customHeight="1">
      <c r="B514" s="189"/>
      <c r="C514" s="190"/>
      <c r="D514" s="191"/>
      <c r="E514" s="190" t="s">
        <v>2439</v>
      </c>
      <c r="F514" s="190" t="str">
        <f>" Year " &amp; C514 &amp; " Wobbler"</f>
        <v xml:space="preserve"> Year  Wobbler</v>
      </c>
      <c r="G514" s="193" t="str">
        <f>"Decsion Text 1 for wobbler " &amp;B514</f>
        <v xml:space="preserve">Decsion Text 1 for wobbler </v>
      </c>
      <c r="H514" s="193" t="str">
        <f>"Decsion Text 1 for wobbler " &amp;B514</f>
        <v xml:space="preserve">Decsion Text 1 for wobbler </v>
      </c>
      <c r="I514" s="193" t="str">
        <f>"Decsion Text 1 for wobbler " &amp;B514</f>
        <v xml:space="preserve">Decsion Text 1 for wobbler </v>
      </c>
      <c r="J514" s="190" t="str">
        <f>"Explain Text 1 for wobbler " &amp;$B514</f>
        <v xml:space="preserve">Explain Text 1 for wobbler </v>
      </c>
      <c r="K514" s="190"/>
      <c r="L514" s="190" t="str">
        <f>"Explain Text 1 for wobbler " &amp;$B514</f>
        <v xml:space="preserve">Explain Text 1 for wobbler </v>
      </c>
      <c r="M514" s="190"/>
      <c r="N514" s="190" t="str">
        <f>"Explain Text 1 for wobbler " &amp;$B514</f>
        <v xml:space="preserve">Explain Text 1 for wobbler </v>
      </c>
      <c r="O514" s="190"/>
      <c r="P514" s="195" t="s">
        <v>990</v>
      </c>
      <c r="Q514" s="196">
        <v>6.9444444444444441E-3</v>
      </c>
      <c r="S514" s="197" t="s">
        <v>991</v>
      </c>
    </row>
    <row r="515" spans="2:20" ht="24.95" customHeight="1" thickBot="1">
      <c r="B515" s="198"/>
      <c r="C515" s="84"/>
      <c r="D515" s="199"/>
      <c r="E515" s="84"/>
      <c r="F515" s="84"/>
      <c r="G515" s="84"/>
      <c r="H515" s="84"/>
      <c r="I515" s="84"/>
      <c r="J515" s="84"/>
      <c r="K515" s="84"/>
      <c r="L515" s="84"/>
      <c r="M515" s="84"/>
      <c r="N515" s="84"/>
      <c r="O515" s="84"/>
      <c r="P515" s="84"/>
      <c r="Q515" s="200"/>
    </row>
    <row r="516" spans="2:20" ht="11.25"/>
    <row r="517" spans="2:20" ht="12" thickBot="1">
      <c r="C517" s="24" t="s">
        <v>2775</v>
      </c>
      <c r="I517" t="s">
        <v>2941</v>
      </c>
    </row>
    <row r="518" spans="2:20" ht="12" thickBot="1">
      <c r="B518" t="s">
        <v>4051</v>
      </c>
      <c r="C518" s="201">
        <f>IF(xxYear=0,1,INDEX(F518:J518,xxYear))</f>
        <v>0</v>
      </c>
      <c r="E518" t="s">
        <v>4052</v>
      </c>
      <c r="F518" s="9">
        <f>COUNTIF($C$504:$C$515,1)</f>
        <v>0</v>
      </c>
      <c r="G518" s="9">
        <f>COUNTIF($C$504:$C$515,2)+F518</f>
        <v>0</v>
      </c>
      <c r="H518" s="9">
        <f>COUNTIF($C$504:$C$515,3)+G518</f>
        <v>0</v>
      </c>
      <c r="I518" s="9">
        <f>COUNTIF($C$504:$C$515,4)+H518</f>
        <v>0</v>
      </c>
      <c r="J518" s="202"/>
    </row>
    <row r="519" spans="2:20" ht="12" thickBot="1">
      <c r="B519" t="s">
        <v>2776</v>
      </c>
      <c r="C519" s="201">
        <v>1</v>
      </c>
      <c r="E519" t="s">
        <v>2942</v>
      </c>
      <c r="F519" s="9">
        <v>1</v>
      </c>
      <c r="G519" s="9">
        <f>F518+1</f>
        <v>1</v>
      </c>
      <c r="H519" s="9">
        <f>G518+1</f>
        <v>1</v>
      </c>
      <c r="I519" s="9">
        <f>H518+1</f>
        <v>1</v>
      </c>
    </row>
    <row r="520" spans="2:20" ht="11.25">
      <c r="D520" s="185" t="s">
        <v>3605</v>
      </c>
      <c r="F520" t="s">
        <v>2943</v>
      </c>
      <c r="G520" t="s">
        <v>2944</v>
      </c>
      <c r="H520" t="s">
        <v>1747</v>
      </c>
      <c r="I520" t="s">
        <v>2941</v>
      </c>
      <c r="P520" s="202" t="s">
        <v>3606</v>
      </c>
      <c r="Q520" s="202">
        <v>6.9444444444444436E-4</v>
      </c>
    </row>
    <row r="521" spans="2:20" ht="12" thickBot="1"/>
    <row r="522" spans="2:20" ht="41.25" customHeight="1" thickBot="1">
      <c r="B522" s="186" t="s">
        <v>188</v>
      </c>
      <c r="C522" s="187" t="s">
        <v>3811</v>
      </c>
      <c r="D522" s="187" t="s">
        <v>613</v>
      </c>
      <c r="E522" s="187" t="s">
        <v>614</v>
      </c>
      <c r="F522" s="187" t="s">
        <v>4207</v>
      </c>
      <c r="G522" s="187" t="s">
        <v>4208</v>
      </c>
      <c r="H522" s="187" t="s">
        <v>4209</v>
      </c>
      <c r="I522" s="187" t="s">
        <v>4210</v>
      </c>
      <c r="J522" s="187" t="s">
        <v>4211</v>
      </c>
      <c r="K522" s="187" t="s">
        <v>4212</v>
      </c>
      <c r="L522" s="187" t="s">
        <v>4213</v>
      </c>
      <c r="M522" s="187" t="s">
        <v>4214</v>
      </c>
      <c r="N522" s="187" t="s">
        <v>4215</v>
      </c>
      <c r="O522" s="187" t="s">
        <v>4216</v>
      </c>
      <c r="P522" s="187" t="s">
        <v>4217</v>
      </c>
      <c r="Q522" s="188" t="s">
        <v>4218</v>
      </c>
    </row>
    <row r="523" spans="2:20" ht="12" thickBot="1">
      <c r="B523" s="5">
        <f>IF(xxPopupWobblerCurrent=0,"",INDEX(B504:B515,xxPopupWobblerCurrent))</f>
        <v>1</v>
      </c>
      <c r="C523" s="5">
        <f>IF(xxPopupWobblerCurrent=0,"",INDEX(C504:C515,xxPopupWobblerCurrent))</f>
        <v>5</v>
      </c>
      <c r="D523" s="5">
        <f t="shared" ref="D523:P523" si="68">IF(xxPopupWobblerCurrent=0,"",INDEX(D504:D515,xxPopupWobblerCurrent))</f>
        <v>1</v>
      </c>
      <c r="E523" s="5" t="str">
        <f>IF(xxPopupWobblerCurrent=0,"",INDEX(E504:E515,xxPopupWobblerCurrent))</f>
        <v>Practice 2 takes off</v>
      </c>
      <c r="F523" s="5" t="str">
        <f>IF(xxPopupWobblerCurrent=0,"",INDEX(F504:F515,xxPopupWobblerCurrent))</f>
        <v xml:space="preserve">While Practice 2 has long been considered to have moderate growth, market trends among key customers have led to red-hot demand. A small technology company, Monet Systems, is gaining a deserved reputation in the space for creating and implementing a cutting edge application that could be a tremendous differentiator to your offering. Now in your second year of leadership in the Business Unit, it could be time to explore a possible partnership or acquisition on behalf of the greater organization. </v>
      </c>
      <c r="G523" s="5" t="str">
        <f>IF(xxPopupWobblerCurrent=0,"",INDEX(G504:G515,xxPopupWobblerCurrent))</f>
        <v>A. After some negotiations and initial due diligence, you decide that Monet Systems is an excellent acquisition target. You advise Accenture, which negotiates to buy Monet for $24M. The acquisition includes all Intellectual Property (IP) as well as key people resources that will join your Business Unit at various levels as experienced hires. Allocate 1 SI&amp;T senior executive, 3 SI&amp;T senior manager/managers, 6 SI&amp;T consultant/analysts, and 4 Enterprise resources to manage the acquisition process.</v>
      </c>
      <c r="H523" s="5" t="str">
        <f>IF(xxPopupWobblerCurrent=0,"",INDEX(H504:H515,xxPopupWobblerCurrent))</f>
        <v>B. Although acquiring Monet is a very compelling acquisition target, you recommend that Accenture partner with them instead. Invest $5M to create a strategic alliance with Monet and support them in developing a more robust set of solutions for Practice 2.  Allocate 2 Enterprise resources, 1 SI&amp;T senior executives, 2 SI&amp;T senior managers, and 2 SI&amp;T consultants to manage the partnership.</v>
      </c>
      <c r="I523" s="5" t="str">
        <f t="shared" si="68"/>
        <v xml:space="preserve">C. Advise Accenture not to invest in Monet or its technology. </v>
      </c>
      <c r="J523" s="5" t="str">
        <f t="shared" si="68"/>
        <v xml:space="preserve">The initial integration period created some temporary declines in productivity but the new resources have now integrated with their respective teams and synergies are being realized. Employee engagement initially declines but has now settled higher then before the acquisition as people acquire skills from their new colleagues. Expertise in Practice 2 increases by 3 levels. You now have a distinct advantage in selling new working in Practice 2.  </v>
      </c>
      <c r="K523" s="5">
        <f>IF(xxPopupWobblerCurrent=0,"",INDEX(K504:K515,xxPopupWobblerCurrent))</f>
        <v>0</v>
      </c>
      <c r="L523" s="5" t="str">
        <f t="shared" si="68"/>
        <v xml:space="preserve">Partnering with Monet has added to your reputation in Practice 2 and improved the efficacy of deal pursuit. Access to their technology has led to additional innovations in related Business Unit products, improving Practice 2 expertise by 1 level. Partnering with Monet has also allowed you to gain additional margin by including their technology in your offering.  </v>
      </c>
      <c r="M523" s="5">
        <f t="shared" si="68"/>
        <v>0</v>
      </c>
      <c r="N523" s="5" t="str">
        <f t="shared" si="68"/>
        <v xml:space="preserve">There is no change in expertise or selling advantage. </v>
      </c>
      <c r="O523" s="5">
        <f t="shared" si="68"/>
        <v>0</v>
      </c>
      <c r="P523" s="5" t="str">
        <f t="shared" si="68"/>
        <v>decBidTimeDiff</v>
      </c>
      <c r="Q523" s="203">
        <f>IF(xxPopupWobblerCurrent=0,"",INDEX(Q504:Q515,xxPopupWobblerCurrent))</f>
        <v>1.0416666666666666E-2</v>
      </c>
    </row>
    <row r="524" spans="2:20" ht="24.75" customHeight="1">
      <c r="B524" s="204" t="s">
        <v>3607</v>
      </c>
      <c r="D524" s="204" t="s">
        <v>3608</v>
      </c>
      <c r="E524" s="204" t="s">
        <v>3477</v>
      </c>
      <c r="F524" s="204" t="s">
        <v>3478</v>
      </c>
      <c r="G524" s="204" t="s">
        <v>3479</v>
      </c>
      <c r="H524" s="204" t="s">
        <v>1040</v>
      </c>
      <c r="I524" s="204" t="s">
        <v>1263</v>
      </c>
      <c r="J524" s="204" t="s">
        <v>1264</v>
      </c>
      <c r="K524" s="204" t="s">
        <v>1265</v>
      </c>
      <c r="L524" s="204" t="s">
        <v>775</v>
      </c>
      <c r="M524" s="204" t="s">
        <v>776</v>
      </c>
      <c r="N524" s="204" t="s">
        <v>777</v>
      </c>
      <c r="O524" s="204" t="s">
        <v>778</v>
      </c>
      <c r="P524" s="204" t="s">
        <v>779</v>
      </c>
      <c r="Q524" s="204" t="s">
        <v>780</v>
      </c>
    </row>
    <row r="525" spans="2:20" ht="11.25">
      <c r="S525" s="75"/>
      <c r="T525" s="75"/>
    </row>
    <row r="526" spans="2:20" ht="11.25">
      <c r="S526" s="75"/>
      <c r="T526" s="75"/>
    </row>
    <row r="527" spans="2:20">
      <c r="B527" s="19" t="s">
        <v>1748</v>
      </c>
      <c r="S527" s="75"/>
      <c r="T527" s="75"/>
    </row>
    <row r="528" spans="2:20" ht="12" thickBot="1">
      <c r="B528" t="s">
        <v>3759</v>
      </c>
      <c r="C528" t="s">
        <v>3761</v>
      </c>
      <c r="D528" t="s">
        <v>1749</v>
      </c>
      <c r="E528" t="s">
        <v>1750</v>
      </c>
      <c r="S528" s="75"/>
      <c r="T528" s="75"/>
    </row>
    <row r="529" spans="2:20" ht="11.25">
      <c r="B529" s="207">
        <v>0</v>
      </c>
      <c r="C529" s="208">
        <v>0</v>
      </c>
      <c r="D529" s="209">
        <f t="shared" ref="D529:E533" si="69">B530-B529</f>
        <v>1</v>
      </c>
      <c r="E529" s="210">
        <f t="shared" si="69"/>
        <v>-1.4999999999999999E-2</v>
      </c>
      <c r="S529" s="75"/>
      <c r="T529" s="75"/>
    </row>
    <row r="530" spans="2:20" ht="11.25">
      <c r="B530" s="218">
        <v>1</v>
      </c>
      <c r="C530" s="211">
        <v>-1.4999999999999999E-2</v>
      </c>
      <c r="D530" s="212">
        <f t="shared" si="69"/>
        <v>1</v>
      </c>
      <c r="E530" s="213">
        <f t="shared" si="69"/>
        <v>-1.4999999999999999E-2</v>
      </c>
      <c r="S530" s="75"/>
      <c r="T530" s="75"/>
    </row>
    <row r="531" spans="2:20" ht="11.25">
      <c r="B531" s="218">
        <v>2</v>
      </c>
      <c r="C531" s="211">
        <f>C530*2</f>
        <v>-0.03</v>
      </c>
      <c r="D531" s="212">
        <f t="shared" si="69"/>
        <v>1</v>
      </c>
      <c r="E531" s="213">
        <f t="shared" si="69"/>
        <v>-0.03</v>
      </c>
      <c r="S531" s="75"/>
      <c r="T531" s="75"/>
    </row>
    <row r="532" spans="2:20" ht="11.25">
      <c r="B532" s="218">
        <v>3</v>
      </c>
      <c r="C532" s="211">
        <f t="shared" ref="C532:C549" si="70">C531*2</f>
        <v>-0.06</v>
      </c>
      <c r="D532" s="212">
        <f t="shared" si="69"/>
        <v>1</v>
      </c>
      <c r="E532" s="213">
        <f t="shared" si="69"/>
        <v>-0.06</v>
      </c>
      <c r="S532" s="75"/>
      <c r="T532" s="75"/>
    </row>
    <row r="533" spans="2:20" ht="11.25">
      <c r="B533" s="218">
        <v>4</v>
      </c>
      <c r="C533" s="211">
        <f t="shared" si="70"/>
        <v>-0.12</v>
      </c>
      <c r="D533" s="212">
        <f t="shared" si="69"/>
        <v>1</v>
      </c>
      <c r="E533" s="213">
        <f t="shared" si="69"/>
        <v>-0.12</v>
      </c>
      <c r="S533" s="75"/>
      <c r="T533" s="75"/>
    </row>
    <row r="534" spans="2:20" ht="11.25">
      <c r="B534" s="218">
        <v>5</v>
      </c>
      <c r="C534" s="211">
        <f t="shared" si="70"/>
        <v>-0.24</v>
      </c>
      <c r="D534" s="212">
        <f t="shared" ref="D534:D548" si="71">B535-B534</f>
        <v>1</v>
      </c>
      <c r="E534" s="213">
        <f t="shared" ref="E534:E548" si="72">C535-C534</f>
        <v>-0.24</v>
      </c>
      <c r="S534" s="75"/>
      <c r="T534" s="75"/>
    </row>
    <row r="535" spans="2:20" ht="11.25">
      <c r="B535" s="218">
        <v>6</v>
      </c>
      <c r="C535" s="211">
        <f t="shared" si="70"/>
        <v>-0.48</v>
      </c>
      <c r="D535" s="212">
        <f t="shared" si="71"/>
        <v>1</v>
      </c>
      <c r="E535" s="213">
        <f t="shared" si="72"/>
        <v>-0.48</v>
      </c>
      <c r="S535" s="75"/>
      <c r="T535" s="75"/>
    </row>
    <row r="536" spans="2:20" ht="11.25">
      <c r="B536" s="218">
        <v>7</v>
      </c>
      <c r="C536" s="211">
        <f t="shared" si="70"/>
        <v>-0.96</v>
      </c>
      <c r="D536" s="212">
        <f t="shared" si="71"/>
        <v>1</v>
      </c>
      <c r="E536" s="213">
        <f t="shared" si="72"/>
        <v>-0.96</v>
      </c>
      <c r="S536" s="75"/>
      <c r="T536" s="75"/>
    </row>
    <row r="537" spans="2:20" ht="11.25">
      <c r="B537" s="218">
        <v>8</v>
      </c>
      <c r="C537" s="211">
        <f t="shared" si="70"/>
        <v>-1.92</v>
      </c>
      <c r="D537" s="212">
        <f t="shared" si="71"/>
        <v>1</v>
      </c>
      <c r="E537" s="213">
        <f t="shared" si="72"/>
        <v>-1.92</v>
      </c>
      <c r="S537" s="75"/>
      <c r="T537" s="75"/>
    </row>
    <row r="538" spans="2:20" ht="11.25">
      <c r="B538" s="218">
        <v>9</v>
      </c>
      <c r="C538" s="211">
        <f t="shared" si="70"/>
        <v>-3.84</v>
      </c>
      <c r="D538" s="212">
        <f t="shared" si="71"/>
        <v>1</v>
      </c>
      <c r="E538" s="213">
        <f t="shared" si="72"/>
        <v>-3.84</v>
      </c>
      <c r="S538" s="75"/>
      <c r="T538" s="75"/>
    </row>
    <row r="539" spans="2:20" ht="11.25">
      <c r="B539" s="218">
        <v>10</v>
      </c>
      <c r="C539" s="211">
        <f t="shared" si="70"/>
        <v>-7.68</v>
      </c>
      <c r="D539" s="212">
        <f t="shared" si="71"/>
        <v>1</v>
      </c>
      <c r="E539" s="213">
        <f t="shared" si="72"/>
        <v>-7.68</v>
      </c>
      <c r="S539" s="75"/>
      <c r="T539" s="75"/>
    </row>
    <row r="540" spans="2:20" ht="11.25">
      <c r="B540" s="218">
        <v>11</v>
      </c>
      <c r="C540" s="211">
        <f t="shared" si="70"/>
        <v>-15.36</v>
      </c>
      <c r="D540" s="212">
        <f t="shared" si="71"/>
        <v>1</v>
      </c>
      <c r="E540" s="213">
        <f t="shared" si="72"/>
        <v>-15.36</v>
      </c>
      <c r="S540" s="75"/>
      <c r="T540" s="75"/>
    </row>
    <row r="541" spans="2:20" ht="11.25">
      <c r="B541" s="218">
        <v>12</v>
      </c>
      <c r="C541" s="211">
        <f t="shared" si="70"/>
        <v>-30.72</v>
      </c>
      <c r="D541" s="212">
        <f t="shared" si="71"/>
        <v>1</v>
      </c>
      <c r="E541" s="213">
        <f t="shared" si="72"/>
        <v>-30.72</v>
      </c>
      <c r="S541" s="75"/>
      <c r="T541" s="75"/>
    </row>
    <row r="542" spans="2:20" ht="11.25">
      <c r="B542" s="218">
        <v>13</v>
      </c>
      <c r="C542" s="211">
        <f t="shared" si="70"/>
        <v>-61.44</v>
      </c>
      <c r="D542" s="212">
        <f t="shared" si="71"/>
        <v>1</v>
      </c>
      <c r="E542" s="213">
        <f t="shared" si="72"/>
        <v>-61.44</v>
      </c>
      <c r="S542" s="75"/>
      <c r="T542" s="75"/>
    </row>
    <row r="543" spans="2:20" ht="11.25">
      <c r="B543" s="218">
        <v>14</v>
      </c>
      <c r="C543" s="211">
        <f t="shared" si="70"/>
        <v>-122.88</v>
      </c>
      <c r="D543" s="212">
        <f t="shared" si="71"/>
        <v>1</v>
      </c>
      <c r="E543" s="213">
        <f t="shared" si="72"/>
        <v>-122.88</v>
      </c>
      <c r="S543" s="75"/>
      <c r="T543" s="75"/>
    </row>
    <row r="544" spans="2:20" ht="11.25">
      <c r="B544" s="218">
        <v>15</v>
      </c>
      <c r="C544" s="211">
        <f t="shared" si="70"/>
        <v>-245.76</v>
      </c>
      <c r="D544" s="212">
        <f t="shared" si="71"/>
        <v>1</v>
      </c>
      <c r="E544" s="213">
        <f t="shared" si="72"/>
        <v>-245.76</v>
      </c>
      <c r="S544" s="75"/>
      <c r="T544" s="75"/>
    </row>
    <row r="545" spans="1:20" ht="11.25">
      <c r="B545" s="218">
        <v>16</v>
      </c>
      <c r="C545" s="211">
        <f t="shared" si="70"/>
        <v>-491.52</v>
      </c>
      <c r="D545" s="212">
        <f t="shared" si="71"/>
        <v>1</v>
      </c>
      <c r="E545" s="213">
        <f t="shared" si="72"/>
        <v>-491.52</v>
      </c>
      <c r="S545" s="75"/>
      <c r="T545" s="75"/>
    </row>
    <row r="546" spans="1:20" ht="11.25">
      <c r="B546" s="218">
        <v>17</v>
      </c>
      <c r="C546" s="211">
        <f t="shared" si="70"/>
        <v>-983.04</v>
      </c>
      <c r="D546" s="212">
        <f t="shared" si="71"/>
        <v>1</v>
      </c>
      <c r="E546" s="213">
        <f t="shared" si="72"/>
        <v>-983.04</v>
      </c>
      <c r="S546" s="75"/>
      <c r="T546" s="75"/>
    </row>
    <row r="547" spans="1:20" ht="11.25">
      <c r="B547" s="218">
        <v>18</v>
      </c>
      <c r="C547" s="211">
        <f t="shared" si="70"/>
        <v>-1966.08</v>
      </c>
      <c r="D547" s="212">
        <f t="shared" si="71"/>
        <v>1</v>
      </c>
      <c r="E547" s="213">
        <f t="shared" si="72"/>
        <v>-1966.08</v>
      </c>
      <c r="S547" s="75"/>
      <c r="T547" s="75"/>
    </row>
    <row r="548" spans="1:20" ht="11.25">
      <c r="B548" s="218">
        <v>19</v>
      </c>
      <c r="C548" s="211">
        <f t="shared" si="70"/>
        <v>-3932.16</v>
      </c>
      <c r="D548" s="212">
        <f t="shared" si="71"/>
        <v>1</v>
      </c>
      <c r="E548" s="213">
        <f t="shared" si="72"/>
        <v>-3932.16</v>
      </c>
      <c r="S548" s="75"/>
      <c r="T548" s="75"/>
    </row>
    <row r="549" spans="1:20" ht="11.25">
      <c r="B549" s="218">
        <v>20</v>
      </c>
      <c r="C549" s="211">
        <f t="shared" si="70"/>
        <v>-7864.32</v>
      </c>
      <c r="D549" s="212">
        <v>0</v>
      </c>
      <c r="E549" s="213">
        <v>0</v>
      </c>
      <c r="S549" s="75"/>
      <c r="T549" s="75"/>
    </row>
    <row r="550" spans="1:20" ht="12" thickBot="1">
      <c r="B550" s="214"/>
      <c r="C550" s="215"/>
      <c r="D550" s="216">
        <v>0</v>
      </c>
      <c r="E550" s="217">
        <v>0</v>
      </c>
      <c r="S550" s="75"/>
      <c r="T550" s="75"/>
    </row>
    <row r="551" spans="1:20" ht="11.25">
      <c r="S551" s="75"/>
      <c r="T551" s="75"/>
    </row>
    <row r="552" spans="1:20" ht="11.25">
      <c r="S552" s="75"/>
      <c r="T552" s="75"/>
    </row>
    <row r="553" spans="1:20" ht="11.25">
      <c r="S553" s="75"/>
      <c r="T553" s="75"/>
    </row>
    <row r="554" spans="1:20" s="20" customFormat="1">
      <c r="A554" s="19" t="s">
        <v>1753</v>
      </c>
      <c r="S554" s="222"/>
      <c r="T554" s="222"/>
    </row>
    <row r="555" spans="1:20" ht="12" thickBot="1">
      <c r="A555" s="2"/>
      <c r="S555" s="75"/>
      <c r="T555" s="75"/>
    </row>
    <row r="556" spans="1:20" ht="12" thickBot="1">
      <c r="B556" s="98" t="s">
        <v>1039</v>
      </c>
      <c r="C556" s="99" t="s">
        <v>3298</v>
      </c>
      <c r="D556" s="99" t="s">
        <v>1751</v>
      </c>
      <c r="E556" s="99"/>
      <c r="F556" s="99"/>
      <c r="G556" s="99"/>
      <c r="H556" s="99"/>
      <c r="I556" s="99"/>
      <c r="J556" s="99"/>
      <c r="K556" s="219"/>
      <c r="S556" s="75"/>
      <c r="T556" s="75"/>
    </row>
    <row r="557" spans="1:20" ht="11.25">
      <c r="B557" s="81">
        <v>1</v>
      </c>
      <c r="C557" s="18" t="str">
        <f>VLOOKUP(B557,adj!$B$82:$C$199,2,FALSE)</f>
        <v>Cross-selling Across All Practices</v>
      </c>
      <c r="D557" s="18" t="str">
        <f>B557 &amp; ": " &amp; C557</f>
        <v>1: Cross-selling Across All Practices</v>
      </c>
      <c r="E557" s="18"/>
      <c r="F557" s="18"/>
      <c r="G557" s="18"/>
      <c r="H557" s="18"/>
      <c r="I557" s="18"/>
      <c r="J557" s="18"/>
      <c r="K557" s="82"/>
      <c r="S557" s="75"/>
      <c r="T557" s="75"/>
    </row>
    <row r="558" spans="1:20" ht="11.25">
      <c r="B558" s="81">
        <v>2</v>
      </c>
      <c r="C558" s="18" t="str">
        <f>VLOOKUP(B558,adj!$B$82:$C$199,2,FALSE)</f>
        <v>Expand the Pre-Sales Team</v>
      </c>
      <c r="D558" s="18" t="str">
        <f t="shared" ref="D558:D571" si="73">B558 &amp; ": " &amp; C558</f>
        <v>2: Expand the Pre-Sales Team</v>
      </c>
      <c r="E558" s="18"/>
      <c r="F558" s="18"/>
      <c r="G558" s="18"/>
      <c r="H558" s="18"/>
      <c r="I558" s="18"/>
      <c r="J558" s="18"/>
      <c r="K558" s="82"/>
      <c r="S558" s="75"/>
      <c r="T558" s="75"/>
    </row>
    <row r="559" spans="1:20" ht="11.25">
      <c r="B559" s="81">
        <v>3</v>
      </c>
      <c r="C559" s="18" t="str">
        <f>VLOOKUP(B559,adj!$B$82:$C$199,2,FALSE)</f>
        <v>Double Down on Presence at Industry Conferences</v>
      </c>
      <c r="D559" s="18" t="str">
        <f t="shared" si="73"/>
        <v>3: Double Down on Presence at Industry Conferences</v>
      </c>
      <c r="E559" s="18"/>
      <c r="F559" s="18"/>
      <c r="G559" s="18"/>
      <c r="H559" s="18"/>
      <c r="I559" s="18"/>
      <c r="J559" s="18"/>
      <c r="K559" s="82"/>
      <c r="S559" s="75"/>
      <c r="T559" s="75"/>
    </row>
    <row r="560" spans="1:20" ht="11.25">
      <c r="B560" s="81">
        <v>4</v>
      </c>
      <c r="C560" s="18" t="str">
        <f>VLOOKUP(B560,adj!$B$82:$C$199,2,FALSE)</f>
        <v>Focus on "Prove It" Moments in Sales Cycle</v>
      </c>
      <c r="D560" s="18" t="str">
        <f t="shared" si="73"/>
        <v>4: Focus on "Prove It" Moments in Sales Cycle</v>
      </c>
      <c r="E560" s="18"/>
      <c r="F560" s="18"/>
      <c r="G560" s="18"/>
      <c r="H560" s="18"/>
      <c r="I560" s="18"/>
      <c r="J560" s="18"/>
      <c r="K560" s="82"/>
      <c r="S560" s="75"/>
      <c r="T560" s="75"/>
    </row>
    <row r="561" spans="2:20" ht="11.25">
      <c r="B561" s="81">
        <v>5</v>
      </c>
      <c r="C561" s="18" t="str">
        <f>VLOOKUP(B561,adj!$B$82:$C$199,2,FALSE)</f>
        <v>Expand Thought Leadership Publishing</v>
      </c>
      <c r="D561" s="18" t="str">
        <f t="shared" si="73"/>
        <v>5: Expand Thought Leadership Publishing</v>
      </c>
      <c r="E561" s="18"/>
      <c r="F561" s="18"/>
      <c r="G561" s="18"/>
      <c r="H561" s="18"/>
      <c r="I561" s="18"/>
      <c r="J561" s="18"/>
      <c r="K561" s="82"/>
      <c r="S561" s="75"/>
      <c r="T561" s="75"/>
    </row>
    <row r="562" spans="2:20" ht="11.25">
      <c r="B562" s="81">
        <v>6</v>
      </c>
      <c r="C562" s="18" t="str">
        <f>VLOOKUP(B562,adj!$B$82:$C$199,2,FALSE)</f>
        <v>Improve Visibility with Offshore</v>
      </c>
      <c r="D562" s="18" t="str">
        <f t="shared" si="73"/>
        <v>6: Improve Visibility with Offshore</v>
      </c>
      <c r="E562" s="18"/>
      <c r="F562" s="18"/>
      <c r="G562" s="18"/>
      <c r="H562" s="18"/>
      <c r="I562" s="18"/>
      <c r="J562" s="18"/>
      <c r="K562" s="82"/>
      <c r="S562" s="75"/>
      <c r="T562" s="75"/>
    </row>
    <row r="563" spans="2:20" ht="11.25">
      <c r="B563" s="81">
        <v>7</v>
      </c>
      <c r="C563" s="18" t="str">
        <f>VLOOKUP(B563,adj!$B$82:$C$199,2,FALSE)</f>
        <v>Alternative Compensation Structures</v>
      </c>
      <c r="D563" s="18" t="str">
        <f t="shared" si="73"/>
        <v>7: Alternative Compensation Structures</v>
      </c>
      <c r="E563" s="18"/>
      <c r="F563" s="18"/>
      <c r="G563" s="18"/>
      <c r="H563" s="18"/>
      <c r="I563" s="18"/>
      <c r="J563" s="18"/>
      <c r="K563" s="82"/>
      <c r="S563" s="75"/>
      <c r="T563" s="75"/>
    </row>
    <row r="564" spans="2:20" ht="11.25">
      <c r="B564" s="81">
        <v>8</v>
      </c>
      <c r="C564" s="18" t="str">
        <f>VLOOKUP(B564,adj!$B$82:$C$199,2,FALSE)</f>
        <v>Launch a Leadership Academy</v>
      </c>
      <c r="D564" s="18" t="str">
        <f t="shared" si="73"/>
        <v>8: Launch a Leadership Academy</v>
      </c>
      <c r="E564" s="18"/>
      <c r="F564" s="18"/>
      <c r="G564" s="18"/>
      <c r="H564" s="18"/>
      <c r="I564" s="18"/>
      <c r="J564" s="18"/>
      <c r="K564" s="82"/>
      <c r="S564" s="75"/>
      <c r="T564" s="75"/>
    </row>
    <row r="565" spans="2:20" ht="11.25">
      <c r="B565" s="81">
        <v>9</v>
      </c>
      <c r="C565" s="18" t="str">
        <f>VLOOKUP(B565,adj!$B$82:$C$199,2,FALSE)</f>
        <v>Funnovation Challenge</v>
      </c>
      <c r="D565" s="18" t="str">
        <f t="shared" si="73"/>
        <v>9: Funnovation Challenge</v>
      </c>
      <c r="E565" s="18"/>
      <c r="F565" s="18"/>
      <c r="G565" s="18"/>
      <c r="H565" s="18"/>
      <c r="I565" s="18"/>
      <c r="J565" s="18"/>
      <c r="K565" s="82"/>
      <c r="S565" s="75"/>
      <c r="T565" s="75"/>
    </row>
    <row r="566" spans="2:20" ht="11.25">
      <c r="B566" s="81">
        <v>10</v>
      </c>
      <c r="C566" s="18" t="str">
        <f>VLOOKUP(B566,adj!$B$82:$C$199,2,FALSE)</f>
        <v>Career Incentives for Risk Taking and Innovation</v>
      </c>
      <c r="D566" s="18" t="str">
        <f t="shared" si="73"/>
        <v>10: Career Incentives for Risk Taking and Innovation</v>
      </c>
      <c r="E566" s="18"/>
      <c r="F566" s="18"/>
      <c r="G566" s="18"/>
      <c r="H566" s="18"/>
      <c r="I566" s="18"/>
      <c r="J566" s="18"/>
      <c r="K566" s="82"/>
      <c r="S566" s="75"/>
      <c r="T566" s="75"/>
    </row>
    <row r="567" spans="2:20" ht="11.25">
      <c r="B567" s="81"/>
      <c r="C567" s="18">
        <f>IFERROR(VLOOKUP(B567,adj!$B$82:$C$199,2,FALSE),0)</f>
        <v>0</v>
      </c>
      <c r="D567" s="18" t="str">
        <f t="shared" si="73"/>
        <v>: 0</v>
      </c>
      <c r="E567" s="18"/>
      <c r="F567" s="18"/>
      <c r="G567" s="18"/>
      <c r="H567" s="18"/>
      <c r="I567" s="18"/>
      <c r="J567" s="18"/>
      <c r="K567" s="82"/>
      <c r="S567" s="75"/>
      <c r="T567" s="75"/>
    </row>
    <row r="568" spans="2:20" ht="11.25">
      <c r="B568" s="81"/>
      <c r="C568" s="18">
        <f>IFERROR(VLOOKUP(B568,adj!$B$82:$C$199,2,FALSE),0)</f>
        <v>0</v>
      </c>
      <c r="D568" s="18" t="str">
        <f t="shared" si="73"/>
        <v>: 0</v>
      </c>
      <c r="E568" s="18"/>
      <c r="F568" s="18"/>
      <c r="G568" s="18"/>
      <c r="H568" s="18"/>
      <c r="I568" s="18"/>
      <c r="J568" s="18"/>
      <c r="K568" s="82"/>
      <c r="S568" s="75"/>
      <c r="T568" s="75"/>
    </row>
    <row r="569" spans="2:20" ht="11.25">
      <c r="B569" s="81"/>
      <c r="C569" s="18">
        <f>IFERROR(VLOOKUP(B569,adj!$B$82:$C$199,2,FALSE),0)</f>
        <v>0</v>
      </c>
      <c r="D569" s="18" t="str">
        <f t="shared" si="73"/>
        <v>: 0</v>
      </c>
      <c r="E569" s="18"/>
      <c r="F569" s="18"/>
      <c r="G569" s="18"/>
      <c r="H569" s="18"/>
      <c r="I569" s="18"/>
      <c r="J569" s="18"/>
      <c r="K569" s="82"/>
      <c r="S569" s="75"/>
      <c r="T569" s="75"/>
    </row>
    <row r="570" spans="2:20" ht="11.25">
      <c r="B570" s="81"/>
      <c r="C570" s="18">
        <f>IFERROR(VLOOKUP(B570,adj!$B$82:$C$199,2,FALSE),0)</f>
        <v>0</v>
      </c>
      <c r="D570" s="18" t="str">
        <f t="shared" si="73"/>
        <v>: 0</v>
      </c>
      <c r="E570" s="18"/>
      <c r="F570" s="18"/>
      <c r="G570" s="18"/>
      <c r="H570" s="18"/>
      <c r="I570" s="18"/>
      <c r="J570" s="18"/>
      <c r="K570" s="82"/>
      <c r="S570" s="75"/>
      <c r="T570" s="75"/>
    </row>
    <row r="571" spans="2:20" ht="11.25">
      <c r="B571" s="81"/>
      <c r="C571" s="18">
        <f>IFERROR(VLOOKUP(B571,adj!$B$82:$C$199,2,FALSE),0)</f>
        <v>0</v>
      </c>
      <c r="D571" s="18" t="str">
        <f t="shared" si="73"/>
        <v>: 0</v>
      </c>
      <c r="E571" s="18"/>
      <c r="F571" s="18"/>
      <c r="G571" s="18"/>
      <c r="H571" s="18"/>
      <c r="I571" s="18"/>
      <c r="J571" s="18"/>
      <c r="K571" s="82"/>
      <c r="S571" s="75"/>
      <c r="T571" s="75"/>
    </row>
    <row r="572" spans="2:20" ht="11.25">
      <c r="B572" s="81"/>
      <c r="C572" s="18"/>
      <c r="D572" s="18"/>
      <c r="E572" s="18"/>
      <c r="F572" s="18"/>
      <c r="G572" s="18"/>
      <c r="H572" s="18"/>
      <c r="I572" s="18"/>
      <c r="J572" s="18"/>
      <c r="K572" s="82"/>
      <c r="S572" s="75"/>
      <c r="T572" s="75"/>
    </row>
    <row r="573" spans="2:20" ht="11.25">
      <c r="B573" s="81"/>
      <c r="C573" s="18"/>
      <c r="D573" s="18"/>
      <c r="E573" s="18"/>
      <c r="F573" s="18"/>
      <c r="G573" s="18"/>
      <c r="H573" s="18"/>
      <c r="I573" s="18"/>
      <c r="J573" s="18"/>
      <c r="K573" s="82"/>
      <c r="S573" s="75"/>
      <c r="T573" s="75"/>
    </row>
    <row r="574" spans="2:20" ht="12" thickBot="1">
      <c r="B574" s="83"/>
      <c r="C574" s="84"/>
      <c r="D574" s="84"/>
      <c r="E574" s="84"/>
      <c r="F574" s="84"/>
      <c r="G574" s="84"/>
      <c r="H574" s="84"/>
      <c r="I574" s="84"/>
      <c r="J574" s="84"/>
      <c r="K574" s="85"/>
      <c r="S574" s="75"/>
      <c r="T574" s="75"/>
    </row>
    <row r="575" spans="2:20" ht="11.25">
      <c r="S575" s="75"/>
      <c r="T575" s="75"/>
    </row>
    <row r="576" spans="2:20" ht="12" thickBot="1">
      <c r="S576" s="75"/>
      <c r="T576" s="75"/>
    </row>
    <row r="577" spans="2:20">
      <c r="B577" s="220"/>
      <c r="C577" s="113"/>
      <c r="D577" s="113"/>
      <c r="E577" s="113"/>
      <c r="F577" s="113"/>
      <c r="G577" s="114"/>
      <c r="S577" s="75"/>
      <c r="T577" s="75"/>
    </row>
    <row r="578" spans="2:20" ht="11.25">
      <c r="B578" s="81"/>
      <c r="C578" s="18" t="s">
        <v>642</v>
      </c>
      <c r="D578" s="18" t="s">
        <v>643</v>
      </c>
      <c r="E578" s="18"/>
      <c r="F578" s="18" t="s">
        <v>3592</v>
      </c>
      <c r="G578" s="82"/>
      <c r="S578" s="75"/>
      <c r="T578" s="75"/>
    </row>
    <row r="579" spans="2:20" ht="11.25">
      <c r="B579" s="81">
        <v>1</v>
      </c>
      <c r="C579" s="18">
        <v>0</v>
      </c>
      <c r="D579" s="18" t="b">
        <v>0</v>
      </c>
      <c r="E579" s="27">
        <v>1</v>
      </c>
      <c r="F579" s="221" t="s">
        <v>1873</v>
      </c>
      <c r="G579" s="82"/>
      <c r="S579" s="75"/>
      <c r="T579" s="75"/>
    </row>
    <row r="580" spans="2:20" ht="11.25">
      <c r="B580" s="81">
        <v>2</v>
      </c>
      <c r="C580" s="18">
        <f t="shared" ref="C580:C593" si="74">B557</f>
        <v>1</v>
      </c>
      <c r="D580" s="18" t="b">
        <f>IF(C580&lt;&gt;0,COUNTIF(obal!$E$476:$E$504,C580),TRUE)&gt;0</f>
        <v>0</v>
      </c>
      <c r="E580" s="27">
        <f t="shared" ref="E580:E593" si="75">IF(D580=FALSE,IF(C580&gt;0,1),0)+E579</f>
        <v>2</v>
      </c>
      <c r="F580" s="18" t="str">
        <f>D557</f>
        <v>1: Cross-selling Across All Practices</v>
      </c>
      <c r="G580" s="82"/>
      <c r="S580" s="75"/>
      <c r="T580" s="75"/>
    </row>
    <row r="581" spans="2:20" ht="11.25">
      <c r="B581" s="81">
        <v>3</v>
      </c>
      <c r="C581" s="18">
        <f t="shared" si="74"/>
        <v>2</v>
      </c>
      <c r="D581" s="18" t="b">
        <f>IF(C581&lt;&gt;0,COUNTIF(obal!$E$476:$E$504,C581),TRUE)&gt;0</f>
        <v>0</v>
      </c>
      <c r="E581" s="27">
        <f t="shared" si="75"/>
        <v>3</v>
      </c>
      <c r="F581" s="18" t="str">
        <f t="shared" ref="F581:F593" si="76">D558</f>
        <v>2: Expand the Pre-Sales Team</v>
      </c>
      <c r="G581" s="82"/>
      <c r="S581" s="75"/>
      <c r="T581" s="75"/>
    </row>
    <row r="582" spans="2:20" ht="11.25">
      <c r="B582" s="81">
        <v>4</v>
      </c>
      <c r="C582" s="18">
        <f t="shared" si="74"/>
        <v>3</v>
      </c>
      <c r="D582" s="18" t="b">
        <f>IF(C582&lt;&gt;0,COUNTIF(obal!$E$476:$E$504,C582),TRUE)&gt;0</f>
        <v>0</v>
      </c>
      <c r="E582" s="27">
        <f t="shared" si="75"/>
        <v>4</v>
      </c>
      <c r="F582" s="18" t="str">
        <f t="shared" si="76"/>
        <v>3: Double Down on Presence at Industry Conferences</v>
      </c>
      <c r="G582" s="82"/>
      <c r="S582" s="75"/>
      <c r="T582" s="75"/>
    </row>
    <row r="583" spans="2:20" ht="11.25">
      <c r="B583" s="81">
        <v>5</v>
      </c>
      <c r="C583" s="18">
        <f t="shared" si="74"/>
        <v>4</v>
      </c>
      <c r="D583" s="18" t="b">
        <f>IF(C583&lt;&gt;0,COUNTIF(obal!$E$476:$E$504,C583),TRUE)&gt;0</f>
        <v>0</v>
      </c>
      <c r="E583" s="27">
        <f t="shared" si="75"/>
        <v>5</v>
      </c>
      <c r="F583" s="18" t="str">
        <f t="shared" si="76"/>
        <v>4: Focus on "Prove It" Moments in Sales Cycle</v>
      </c>
      <c r="G583" s="82"/>
      <c r="S583" s="75"/>
      <c r="T583" s="75"/>
    </row>
    <row r="584" spans="2:20" ht="11.25">
      <c r="B584" s="81">
        <v>6</v>
      </c>
      <c r="C584" s="18">
        <f t="shared" si="74"/>
        <v>5</v>
      </c>
      <c r="D584" s="18" t="b">
        <f>IF(C584&lt;&gt;0,COUNTIF(obal!$E$476:$E$504,C584),TRUE)&gt;0</f>
        <v>0</v>
      </c>
      <c r="E584" s="27">
        <f t="shared" si="75"/>
        <v>6</v>
      </c>
      <c r="F584" s="18" t="str">
        <f t="shared" si="76"/>
        <v>5: Expand Thought Leadership Publishing</v>
      </c>
      <c r="G584" s="82"/>
      <c r="S584" s="75"/>
      <c r="T584" s="75"/>
    </row>
    <row r="585" spans="2:20" ht="11.25">
      <c r="B585" s="81">
        <v>7</v>
      </c>
      <c r="C585" s="18">
        <f t="shared" si="74"/>
        <v>6</v>
      </c>
      <c r="D585" s="18" t="b">
        <f>IF(C585&lt;&gt;0,COUNTIF(obal!$E$476:$E$504,C585),TRUE)&gt;0</f>
        <v>0</v>
      </c>
      <c r="E585" s="27">
        <f t="shared" si="75"/>
        <v>7</v>
      </c>
      <c r="F585" s="18" t="str">
        <f t="shared" si="76"/>
        <v>6: Improve Visibility with Offshore</v>
      </c>
      <c r="G585" s="82"/>
      <c r="S585" s="75"/>
      <c r="T585" s="75"/>
    </row>
    <row r="586" spans="2:20" ht="11.25">
      <c r="B586" s="81">
        <v>8</v>
      </c>
      <c r="C586" s="18">
        <f t="shared" si="74"/>
        <v>7</v>
      </c>
      <c r="D586" s="18" t="b">
        <f>IF(C586&lt;&gt;0,COUNTIF(obal!$E$476:$E$504,C586),TRUE)&gt;0</f>
        <v>0</v>
      </c>
      <c r="E586" s="27">
        <f t="shared" si="75"/>
        <v>8</v>
      </c>
      <c r="F586" s="18" t="str">
        <f t="shared" si="76"/>
        <v>7: Alternative Compensation Structures</v>
      </c>
      <c r="G586" s="82"/>
      <c r="S586" s="75"/>
      <c r="T586" s="75"/>
    </row>
    <row r="587" spans="2:20" ht="11.25">
      <c r="B587" s="81">
        <v>9</v>
      </c>
      <c r="C587" s="18">
        <f t="shared" si="74"/>
        <v>8</v>
      </c>
      <c r="D587" s="18" t="b">
        <f>IF(C587&lt;&gt;0,COUNTIF(obal!$E$476:$E$504,C587),TRUE)&gt;0</f>
        <v>0</v>
      </c>
      <c r="E587" s="27">
        <f t="shared" si="75"/>
        <v>9</v>
      </c>
      <c r="F587" s="18" t="str">
        <f t="shared" si="76"/>
        <v>8: Launch a Leadership Academy</v>
      </c>
      <c r="G587" s="82"/>
      <c r="S587" s="75"/>
      <c r="T587" s="75"/>
    </row>
    <row r="588" spans="2:20" ht="11.25">
      <c r="B588" s="81">
        <v>10</v>
      </c>
      <c r="C588" s="18">
        <f t="shared" si="74"/>
        <v>9</v>
      </c>
      <c r="D588" s="18" t="b">
        <f>IF(C588&lt;&gt;0,COUNTIF(obal!$E$476:$E$504,C588),TRUE)&gt;0</f>
        <v>0</v>
      </c>
      <c r="E588" s="27">
        <f t="shared" si="75"/>
        <v>10</v>
      </c>
      <c r="F588" s="18" t="str">
        <f t="shared" si="76"/>
        <v>9: Funnovation Challenge</v>
      </c>
      <c r="G588" s="82"/>
      <c r="S588" s="75"/>
      <c r="T588" s="75"/>
    </row>
    <row r="589" spans="2:20" ht="11.25">
      <c r="B589" s="81">
        <v>11</v>
      </c>
      <c r="C589" s="18">
        <f t="shared" si="74"/>
        <v>10</v>
      </c>
      <c r="D589" s="18" t="b">
        <f>IF(C589&lt;&gt;0,COUNTIF(obal!$E$476:$E$504,C589),TRUE)&gt;0</f>
        <v>0</v>
      </c>
      <c r="E589" s="27">
        <f t="shared" si="75"/>
        <v>11</v>
      </c>
      <c r="F589" s="18" t="str">
        <f t="shared" si="76"/>
        <v>10: Career Incentives for Risk Taking and Innovation</v>
      </c>
      <c r="G589" s="82"/>
      <c r="S589" s="75"/>
      <c r="T589" s="75"/>
    </row>
    <row r="590" spans="2:20" ht="11.25">
      <c r="B590" s="81">
        <v>12</v>
      </c>
      <c r="C590" s="18">
        <f t="shared" si="74"/>
        <v>0</v>
      </c>
      <c r="D590" s="18" t="b">
        <f>IF(C590&lt;&gt;0,COUNTIF(obal!$E$476:$E$504,C590),TRUE)&gt;0</f>
        <v>1</v>
      </c>
      <c r="E590" s="27">
        <f t="shared" si="75"/>
        <v>11</v>
      </c>
      <c r="F590" s="18" t="str">
        <f t="shared" si="76"/>
        <v>: 0</v>
      </c>
      <c r="G590" s="82"/>
    </row>
    <row r="591" spans="2:20" ht="11.25">
      <c r="B591" s="81">
        <v>13</v>
      </c>
      <c r="C591" s="18">
        <f t="shared" si="74"/>
        <v>0</v>
      </c>
      <c r="D591" s="18" t="b">
        <f>IF(C591&lt;&gt;0,COUNTIF(obal!$E$476:$E$504,C591),TRUE)&gt;0</f>
        <v>1</v>
      </c>
      <c r="E591" s="27">
        <f t="shared" si="75"/>
        <v>11</v>
      </c>
      <c r="F591" s="18" t="str">
        <f t="shared" si="76"/>
        <v>: 0</v>
      </c>
      <c r="G591" s="82"/>
    </row>
    <row r="592" spans="2:20" ht="11.25">
      <c r="B592" s="81">
        <v>14</v>
      </c>
      <c r="C592" s="18">
        <f t="shared" si="74"/>
        <v>0</v>
      </c>
      <c r="D592" s="18" t="b">
        <f>IF(C592&lt;&gt;0,COUNTIF(obal!$E$476:$E$504,C592),TRUE)&gt;0</f>
        <v>1</v>
      </c>
      <c r="E592" s="27">
        <f t="shared" si="75"/>
        <v>11</v>
      </c>
      <c r="F592" s="18" t="str">
        <f t="shared" si="76"/>
        <v>: 0</v>
      </c>
      <c r="G592" s="82"/>
    </row>
    <row r="593" spans="2:7" ht="11.25">
      <c r="B593" s="81">
        <v>15</v>
      </c>
      <c r="C593" s="18">
        <f t="shared" si="74"/>
        <v>0</v>
      </c>
      <c r="D593" s="18" t="b">
        <f>IF(C593&lt;&gt;0,COUNTIF(obal!$E$476:$E$504,C593),TRUE)&gt;0</f>
        <v>1</v>
      </c>
      <c r="E593" s="27">
        <f t="shared" si="75"/>
        <v>11</v>
      </c>
      <c r="F593" s="18" t="str">
        <f t="shared" si="76"/>
        <v>: 0</v>
      </c>
      <c r="G593" s="82"/>
    </row>
    <row r="594" spans="2:7" ht="11.25">
      <c r="B594" s="81"/>
      <c r="C594" s="18"/>
      <c r="D594" s="18"/>
      <c r="E594" s="27"/>
      <c r="F594" s="18"/>
      <c r="G594" s="82"/>
    </row>
    <row r="595" spans="2:7" ht="11.25">
      <c r="B595" s="81"/>
      <c r="C595" s="145" t="s">
        <v>3590</v>
      </c>
      <c r="D595" s="145">
        <f>COUNTIF(D579:D593,FALSE)</f>
        <v>11</v>
      </c>
      <c r="E595" s="18"/>
      <c r="F595" s="18"/>
      <c r="G595" s="82"/>
    </row>
    <row r="596" spans="2:7" ht="11.25">
      <c r="B596" s="81"/>
      <c r="C596" s="145" t="s">
        <v>3591</v>
      </c>
      <c r="D596" s="145"/>
      <c r="E596" s="18"/>
      <c r="F596" s="18"/>
      <c r="G596" s="82"/>
    </row>
    <row r="597" spans="2:7" ht="11.25">
      <c r="B597" s="81"/>
      <c r="C597" s="18" t="s">
        <v>1752</v>
      </c>
      <c r="D597" s="18"/>
      <c r="E597" s="18"/>
      <c r="F597" s="18"/>
      <c r="G597" s="82"/>
    </row>
    <row r="598" spans="2:7" ht="11.25">
      <c r="B598" s="81"/>
      <c r="C598" s="18"/>
      <c r="D598" s="145" t="s">
        <v>1874</v>
      </c>
      <c r="E598" s="18"/>
      <c r="F598" s="18"/>
      <c r="G598" s="82"/>
    </row>
    <row r="599" spans="2:7" ht="11.25">
      <c r="B599" s="81"/>
      <c r="C599" s="18">
        <v>1</v>
      </c>
      <c r="D599" s="145" t="str">
        <f t="shared" ref="D599:D630" si="77">INDEX($F$579:$F$593,MATCH(C599,$E$579:$E$593,0))</f>
        <v>Select Program</v>
      </c>
      <c r="E599" s="18"/>
      <c r="F599" s="18"/>
      <c r="G599" s="82"/>
    </row>
    <row r="600" spans="2:7" ht="11.25">
      <c r="B600" s="81"/>
      <c r="C600" s="18">
        <v>2</v>
      </c>
      <c r="D600" s="18" t="str">
        <f t="shared" si="77"/>
        <v>1: Cross-selling Across All Practices</v>
      </c>
      <c r="E600" s="18"/>
      <c r="F600" s="18"/>
      <c r="G600" s="82"/>
    </row>
    <row r="601" spans="2:7" ht="11.25">
      <c r="B601" s="81"/>
      <c r="C601" s="18">
        <v>3</v>
      </c>
      <c r="D601" s="18" t="str">
        <f t="shared" si="77"/>
        <v>2: Expand the Pre-Sales Team</v>
      </c>
      <c r="E601" s="18"/>
      <c r="F601" s="18"/>
      <c r="G601" s="82"/>
    </row>
    <row r="602" spans="2:7" ht="11.25">
      <c r="B602" s="81"/>
      <c r="C602" s="18">
        <v>4</v>
      </c>
      <c r="D602" s="18" t="str">
        <f t="shared" si="77"/>
        <v>3: Double Down on Presence at Industry Conferences</v>
      </c>
      <c r="E602" s="18"/>
      <c r="F602" s="18"/>
      <c r="G602" s="82"/>
    </row>
    <row r="603" spans="2:7" ht="11.25">
      <c r="B603" s="81"/>
      <c r="C603" s="18">
        <v>5</v>
      </c>
      <c r="D603" s="18" t="str">
        <f t="shared" si="77"/>
        <v>4: Focus on "Prove It" Moments in Sales Cycle</v>
      </c>
      <c r="E603" s="18"/>
      <c r="F603" s="18"/>
      <c r="G603" s="82"/>
    </row>
    <row r="604" spans="2:7" ht="11.25">
      <c r="B604" s="81"/>
      <c r="C604" s="18">
        <v>6</v>
      </c>
      <c r="D604" s="18" t="str">
        <f t="shared" si="77"/>
        <v>5: Expand Thought Leadership Publishing</v>
      </c>
      <c r="E604" s="18"/>
      <c r="F604" s="18"/>
      <c r="G604" s="82"/>
    </row>
    <row r="605" spans="2:7" ht="11.25">
      <c r="B605" s="81"/>
      <c r="C605" s="18">
        <v>7</v>
      </c>
      <c r="D605" s="18" t="str">
        <f t="shared" si="77"/>
        <v>6: Improve Visibility with Offshore</v>
      </c>
      <c r="E605" s="18"/>
      <c r="F605" s="18"/>
      <c r="G605" s="82"/>
    </row>
    <row r="606" spans="2:7" ht="11.25">
      <c r="B606" s="81"/>
      <c r="C606" s="18">
        <v>8</v>
      </c>
      <c r="D606" s="18" t="str">
        <f t="shared" si="77"/>
        <v>7: Alternative Compensation Structures</v>
      </c>
      <c r="E606" s="18"/>
      <c r="F606" s="18"/>
      <c r="G606" s="82"/>
    </row>
    <row r="607" spans="2:7" ht="11.25">
      <c r="B607" s="81"/>
      <c r="C607" s="18">
        <v>9</v>
      </c>
      <c r="D607" s="18" t="str">
        <f t="shared" si="77"/>
        <v>8: Launch a Leadership Academy</v>
      </c>
      <c r="E607" s="18"/>
      <c r="F607" s="18"/>
      <c r="G607" s="82"/>
    </row>
    <row r="608" spans="2:7" ht="11.25">
      <c r="B608" s="81"/>
      <c r="C608" s="18">
        <v>10</v>
      </c>
      <c r="D608" s="18" t="str">
        <f t="shared" si="77"/>
        <v>9: Funnovation Challenge</v>
      </c>
      <c r="E608" s="18"/>
      <c r="F608" s="18"/>
      <c r="G608" s="82"/>
    </row>
    <row r="609" spans="2:7" ht="11.25">
      <c r="B609" s="81"/>
      <c r="C609" s="18">
        <v>11</v>
      </c>
      <c r="D609" s="18" t="str">
        <f t="shared" si="77"/>
        <v>10: Career Incentives for Risk Taking and Innovation</v>
      </c>
      <c r="E609" s="18"/>
      <c r="F609" s="18"/>
      <c r="G609" s="82"/>
    </row>
    <row r="610" spans="2:7" ht="11.25">
      <c r="B610" s="81"/>
      <c r="C610" s="18">
        <v>12</v>
      </c>
      <c r="D610" s="18" t="e">
        <f t="shared" si="77"/>
        <v>#N/A</v>
      </c>
      <c r="E610" s="18"/>
      <c r="F610" s="18"/>
      <c r="G610" s="82"/>
    </row>
    <row r="611" spans="2:7" ht="11.25">
      <c r="B611" s="81"/>
      <c r="C611" s="18">
        <v>13</v>
      </c>
      <c r="D611" s="18" t="e">
        <f t="shared" si="77"/>
        <v>#N/A</v>
      </c>
      <c r="E611" s="18"/>
      <c r="F611" s="18"/>
      <c r="G611" s="82"/>
    </row>
    <row r="612" spans="2:7" ht="11.25">
      <c r="B612" s="81"/>
      <c r="C612" s="18">
        <v>14</v>
      </c>
      <c r="D612" s="18" t="e">
        <f t="shared" si="77"/>
        <v>#N/A</v>
      </c>
      <c r="E612" s="18"/>
      <c r="F612" s="18"/>
      <c r="G612" s="82"/>
    </row>
    <row r="613" spans="2:7" ht="11.25">
      <c r="B613" s="81"/>
      <c r="C613" s="18">
        <v>15</v>
      </c>
      <c r="D613" s="18" t="e">
        <f t="shared" si="77"/>
        <v>#N/A</v>
      </c>
      <c r="E613" s="18"/>
      <c r="F613" s="18"/>
      <c r="G613" s="82"/>
    </row>
    <row r="614" spans="2:7" ht="11.25">
      <c r="B614" s="81"/>
      <c r="C614" s="18">
        <v>16</v>
      </c>
      <c r="D614" s="18" t="e">
        <f t="shared" si="77"/>
        <v>#N/A</v>
      </c>
      <c r="E614" s="18"/>
      <c r="F614" s="18"/>
      <c r="G614" s="82"/>
    </row>
    <row r="615" spans="2:7" ht="11.25">
      <c r="B615" s="81"/>
      <c r="C615" s="18">
        <v>17</v>
      </c>
      <c r="D615" s="18" t="e">
        <f t="shared" si="77"/>
        <v>#N/A</v>
      </c>
      <c r="E615" s="18"/>
      <c r="F615" s="18"/>
      <c r="G615" s="82"/>
    </row>
    <row r="616" spans="2:7" ht="11.25">
      <c r="B616" s="81"/>
      <c r="C616" s="18">
        <v>18</v>
      </c>
      <c r="D616" s="18" t="e">
        <f t="shared" si="77"/>
        <v>#N/A</v>
      </c>
      <c r="E616" s="18"/>
      <c r="F616" s="18"/>
      <c r="G616" s="82"/>
    </row>
    <row r="617" spans="2:7" ht="11.25">
      <c r="B617" s="81"/>
      <c r="C617" s="18">
        <v>19</v>
      </c>
      <c r="D617" s="18" t="e">
        <f t="shared" si="77"/>
        <v>#N/A</v>
      </c>
      <c r="E617" s="18"/>
      <c r="F617" s="18"/>
      <c r="G617" s="82"/>
    </row>
    <row r="618" spans="2:7" ht="11.25">
      <c r="B618" s="81"/>
      <c r="C618" s="18">
        <v>20</v>
      </c>
      <c r="D618" s="18" t="e">
        <f t="shared" si="77"/>
        <v>#N/A</v>
      </c>
      <c r="E618" s="18"/>
      <c r="F618" s="18"/>
      <c r="G618" s="82"/>
    </row>
    <row r="619" spans="2:7" ht="11.25">
      <c r="B619" s="81"/>
      <c r="C619" s="18">
        <v>21</v>
      </c>
      <c r="D619" s="18" t="e">
        <f t="shared" si="77"/>
        <v>#N/A</v>
      </c>
      <c r="E619" s="18"/>
      <c r="F619" s="18"/>
      <c r="G619" s="82"/>
    </row>
    <row r="620" spans="2:7" ht="11.25">
      <c r="B620" s="81"/>
      <c r="C620" s="18">
        <v>22</v>
      </c>
      <c r="D620" s="18" t="e">
        <f t="shared" si="77"/>
        <v>#N/A</v>
      </c>
      <c r="E620" s="18"/>
      <c r="F620" s="18"/>
      <c r="G620" s="82"/>
    </row>
    <row r="621" spans="2:7" ht="11.25">
      <c r="B621" s="81"/>
      <c r="C621" s="18">
        <v>23</v>
      </c>
      <c r="D621" s="18" t="e">
        <f t="shared" si="77"/>
        <v>#N/A</v>
      </c>
      <c r="E621" s="18"/>
      <c r="F621" s="18"/>
      <c r="G621" s="82"/>
    </row>
    <row r="622" spans="2:7" ht="11.25">
      <c r="B622" s="81"/>
      <c r="C622" s="18">
        <v>24</v>
      </c>
      <c r="D622" s="18" t="e">
        <f t="shared" si="77"/>
        <v>#N/A</v>
      </c>
      <c r="E622" s="18"/>
      <c r="F622" s="18"/>
      <c r="G622" s="82"/>
    </row>
    <row r="623" spans="2:7" ht="11.25">
      <c r="B623" s="81"/>
      <c r="C623" s="18">
        <v>25</v>
      </c>
      <c r="D623" s="18" t="e">
        <f t="shared" si="77"/>
        <v>#N/A</v>
      </c>
      <c r="E623" s="18"/>
      <c r="F623" s="18"/>
      <c r="G623" s="82"/>
    </row>
    <row r="624" spans="2:7" ht="11.25">
      <c r="B624" s="81"/>
      <c r="C624" s="18">
        <v>26</v>
      </c>
      <c r="D624" s="18" t="e">
        <f t="shared" si="77"/>
        <v>#N/A</v>
      </c>
      <c r="E624" s="18"/>
      <c r="F624" s="18"/>
      <c r="G624" s="82"/>
    </row>
    <row r="625" spans="2:7" ht="11.25">
      <c r="B625" s="81"/>
      <c r="C625" s="18">
        <v>27</v>
      </c>
      <c r="D625" s="18" t="e">
        <f t="shared" si="77"/>
        <v>#N/A</v>
      </c>
      <c r="E625" s="18"/>
      <c r="F625" s="18"/>
      <c r="G625" s="82"/>
    </row>
    <row r="626" spans="2:7" ht="11.25">
      <c r="B626" s="81"/>
      <c r="C626" s="18">
        <v>28</v>
      </c>
      <c r="D626" s="18" t="e">
        <f t="shared" si="77"/>
        <v>#N/A</v>
      </c>
      <c r="E626" s="18"/>
      <c r="F626" s="18"/>
      <c r="G626" s="82"/>
    </row>
    <row r="627" spans="2:7" ht="11.25">
      <c r="B627" s="81"/>
      <c r="C627" s="18">
        <v>29</v>
      </c>
      <c r="D627" s="18" t="e">
        <f t="shared" si="77"/>
        <v>#N/A</v>
      </c>
      <c r="E627" s="18"/>
      <c r="F627" s="18"/>
      <c r="G627" s="82"/>
    </row>
    <row r="628" spans="2:7" ht="11.25">
      <c r="B628" s="81"/>
      <c r="C628" s="18">
        <v>30</v>
      </c>
      <c r="D628" s="18" t="e">
        <f t="shared" si="77"/>
        <v>#N/A</v>
      </c>
      <c r="E628" s="18"/>
      <c r="F628" s="18"/>
      <c r="G628" s="82"/>
    </row>
    <row r="629" spans="2:7" ht="11.25">
      <c r="B629" s="81"/>
      <c r="C629" s="18">
        <v>31</v>
      </c>
      <c r="D629" s="18" t="e">
        <f t="shared" si="77"/>
        <v>#N/A</v>
      </c>
      <c r="E629" s="18"/>
      <c r="F629" s="18"/>
      <c r="G629" s="82"/>
    </row>
    <row r="630" spans="2:7" ht="11.25">
      <c r="B630" s="81"/>
      <c r="C630" s="18">
        <v>32</v>
      </c>
      <c r="D630" s="18" t="e">
        <f t="shared" si="77"/>
        <v>#N/A</v>
      </c>
      <c r="E630" s="18"/>
      <c r="F630" s="18"/>
      <c r="G630" s="82"/>
    </row>
    <row r="631" spans="2:7" ht="11.25">
      <c r="B631" s="81"/>
      <c r="C631" s="18">
        <v>33</v>
      </c>
      <c r="D631" s="18" t="e">
        <f t="shared" ref="D631:D654" si="78">INDEX($F$579:$F$593,MATCH(C631,$E$579:$E$593,0))</f>
        <v>#N/A</v>
      </c>
      <c r="E631" s="18"/>
      <c r="F631" s="18"/>
      <c r="G631" s="82"/>
    </row>
    <row r="632" spans="2:7" ht="11.25">
      <c r="B632" s="81"/>
      <c r="C632" s="18">
        <v>34</v>
      </c>
      <c r="D632" s="18" t="e">
        <f t="shared" si="78"/>
        <v>#N/A</v>
      </c>
      <c r="E632" s="18"/>
      <c r="F632" s="18"/>
      <c r="G632" s="82"/>
    </row>
    <row r="633" spans="2:7" ht="11.25">
      <c r="B633" s="81"/>
      <c r="C633" s="18">
        <v>35</v>
      </c>
      <c r="D633" s="18" t="e">
        <f t="shared" si="78"/>
        <v>#N/A</v>
      </c>
      <c r="E633" s="18"/>
      <c r="F633" s="18"/>
      <c r="G633" s="82"/>
    </row>
    <row r="634" spans="2:7" ht="11.25">
      <c r="B634" s="81"/>
      <c r="C634" s="18">
        <v>36</v>
      </c>
      <c r="D634" s="18" t="e">
        <f t="shared" si="78"/>
        <v>#N/A</v>
      </c>
      <c r="E634" s="18"/>
      <c r="F634" s="18"/>
      <c r="G634" s="82"/>
    </row>
    <row r="635" spans="2:7" ht="11.25">
      <c r="B635" s="81"/>
      <c r="C635" s="18">
        <v>37</v>
      </c>
      <c r="D635" s="18" t="e">
        <f t="shared" si="78"/>
        <v>#N/A</v>
      </c>
      <c r="E635" s="18"/>
      <c r="F635" s="18"/>
      <c r="G635" s="82"/>
    </row>
    <row r="636" spans="2:7" ht="11.25">
      <c r="B636" s="81"/>
      <c r="C636" s="18">
        <v>38</v>
      </c>
      <c r="D636" s="18" t="e">
        <f t="shared" si="78"/>
        <v>#N/A</v>
      </c>
      <c r="E636" s="18"/>
      <c r="F636" s="18"/>
      <c r="G636" s="82"/>
    </row>
    <row r="637" spans="2:7" ht="11.25">
      <c r="B637" s="81"/>
      <c r="C637" s="18">
        <v>39</v>
      </c>
      <c r="D637" s="18" t="e">
        <f t="shared" si="78"/>
        <v>#N/A</v>
      </c>
      <c r="E637" s="18"/>
      <c r="F637" s="18"/>
      <c r="G637" s="82"/>
    </row>
    <row r="638" spans="2:7" ht="11.25">
      <c r="B638" s="81"/>
      <c r="C638" s="18">
        <v>40</v>
      </c>
      <c r="D638" s="18" t="e">
        <f t="shared" si="78"/>
        <v>#N/A</v>
      </c>
      <c r="E638" s="18"/>
      <c r="F638" s="18"/>
      <c r="G638" s="82"/>
    </row>
    <row r="639" spans="2:7" ht="11.25">
      <c r="B639" s="81"/>
      <c r="C639" s="18">
        <v>41</v>
      </c>
      <c r="D639" s="18" t="e">
        <f t="shared" si="78"/>
        <v>#N/A</v>
      </c>
      <c r="E639" s="18"/>
      <c r="F639" s="18"/>
      <c r="G639" s="82"/>
    </row>
    <row r="640" spans="2:7" ht="11.25">
      <c r="B640" s="81"/>
      <c r="C640" s="18">
        <v>42</v>
      </c>
      <c r="D640" s="18" t="e">
        <f t="shared" si="78"/>
        <v>#N/A</v>
      </c>
      <c r="E640" s="18"/>
      <c r="F640" s="18"/>
      <c r="G640" s="82"/>
    </row>
    <row r="641" spans="2:7" ht="11.25">
      <c r="B641" s="81"/>
      <c r="C641" s="18">
        <v>43</v>
      </c>
      <c r="D641" s="18" t="e">
        <f t="shared" si="78"/>
        <v>#N/A</v>
      </c>
      <c r="E641" s="18"/>
      <c r="F641" s="18"/>
      <c r="G641" s="82"/>
    </row>
    <row r="642" spans="2:7" ht="11.25">
      <c r="B642" s="81"/>
      <c r="C642" s="18">
        <v>44</v>
      </c>
      <c r="D642" s="18" t="e">
        <f t="shared" si="78"/>
        <v>#N/A</v>
      </c>
      <c r="E642" s="18"/>
      <c r="F642" s="18"/>
      <c r="G642" s="82"/>
    </row>
    <row r="643" spans="2:7" ht="11.25">
      <c r="B643" s="81"/>
      <c r="C643" s="18">
        <v>45</v>
      </c>
      <c r="D643" s="18" t="e">
        <f t="shared" si="78"/>
        <v>#N/A</v>
      </c>
      <c r="E643" s="18"/>
      <c r="F643" s="18"/>
      <c r="G643" s="82"/>
    </row>
    <row r="644" spans="2:7" ht="11.25">
      <c r="B644" s="81"/>
      <c r="C644" s="18">
        <v>46</v>
      </c>
      <c r="D644" s="18" t="e">
        <f t="shared" si="78"/>
        <v>#N/A</v>
      </c>
      <c r="E644" s="18"/>
      <c r="F644" s="18"/>
      <c r="G644" s="82"/>
    </row>
    <row r="645" spans="2:7" ht="11.25">
      <c r="B645" s="81"/>
      <c r="C645" s="18">
        <v>47</v>
      </c>
      <c r="D645" s="18" t="e">
        <f t="shared" si="78"/>
        <v>#N/A</v>
      </c>
      <c r="E645" s="18"/>
      <c r="F645" s="18"/>
      <c r="G645" s="82"/>
    </row>
    <row r="646" spans="2:7" ht="11.25">
      <c r="B646" s="81"/>
      <c r="C646" s="18">
        <v>48</v>
      </c>
      <c r="D646" s="18" t="e">
        <f t="shared" si="78"/>
        <v>#N/A</v>
      </c>
      <c r="E646" s="18"/>
      <c r="F646" s="18"/>
      <c r="G646" s="82"/>
    </row>
    <row r="647" spans="2:7" ht="11.25">
      <c r="B647" s="81"/>
      <c r="C647" s="18">
        <v>49</v>
      </c>
      <c r="D647" s="18" t="e">
        <f t="shared" si="78"/>
        <v>#N/A</v>
      </c>
      <c r="E647" s="18"/>
      <c r="F647" s="18"/>
      <c r="G647" s="82"/>
    </row>
    <row r="648" spans="2:7" ht="11.25">
      <c r="B648" s="81"/>
      <c r="C648" s="18">
        <v>50</v>
      </c>
      <c r="D648" s="18" t="e">
        <f t="shared" si="78"/>
        <v>#N/A</v>
      </c>
      <c r="E648" s="18"/>
      <c r="F648" s="18"/>
      <c r="G648" s="82"/>
    </row>
    <row r="649" spans="2:7" ht="11.25">
      <c r="B649" s="81"/>
      <c r="C649" s="18">
        <v>51</v>
      </c>
      <c r="D649" s="18" t="e">
        <f t="shared" si="78"/>
        <v>#N/A</v>
      </c>
      <c r="E649" s="18"/>
      <c r="F649" s="18"/>
      <c r="G649" s="82"/>
    </row>
    <row r="650" spans="2:7" ht="11.25">
      <c r="B650" s="81"/>
      <c r="C650" s="18">
        <v>52</v>
      </c>
      <c r="D650" s="18" t="e">
        <f t="shared" si="78"/>
        <v>#N/A</v>
      </c>
      <c r="E650" s="18"/>
      <c r="F650" s="18"/>
      <c r="G650" s="82"/>
    </row>
    <row r="651" spans="2:7" ht="11.25">
      <c r="B651" s="81"/>
      <c r="C651" s="18">
        <v>53</v>
      </c>
      <c r="D651" s="18" t="e">
        <f t="shared" si="78"/>
        <v>#N/A</v>
      </c>
      <c r="E651" s="18"/>
      <c r="F651" s="18"/>
      <c r="G651" s="82"/>
    </row>
    <row r="652" spans="2:7" ht="11.25">
      <c r="B652" s="81"/>
      <c r="C652" s="18">
        <v>54</v>
      </c>
      <c r="D652" s="18" t="e">
        <f t="shared" si="78"/>
        <v>#N/A</v>
      </c>
      <c r="E652" s="18"/>
      <c r="F652" s="18"/>
      <c r="G652" s="82"/>
    </row>
    <row r="653" spans="2:7" ht="11.25">
      <c r="B653" s="81"/>
      <c r="C653" s="18">
        <v>55</v>
      </c>
      <c r="D653" s="18" t="e">
        <f t="shared" si="78"/>
        <v>#N/A</v>
      </c>
      <c r="E653" s="18"/>
      <c r="F653" s="18"/>
      <c r="G653" s="82"/>
    </row>
    <row r="654" spans="2:7" ht="11.25">
      <c r="B654" s="81"/>
      <c r="C654" s="18">
        <v>56</v>
      </c>
      <c r="D654" s="18" t="e">
        <f t="shared" si="78"/>
        <v>#N/A</v>
      </c>
      <c r="E654" s="18"/>
      <c r="F654" s="18"/>
      <c r="G654" s="82"/>
    </row>
    <row r="655" spans="2:7" ht="12" thickBot="1">
      <c r="B655" s="83"/>
      <c r="C655" s="84"/>
      <c r="D655" s="84"/>
      <c r="E655" s="84"/>
      <c r="F655" s="84"/>
      <c r="G655" s="85"/>
    </row>
    <row r="656" spans="2:7" ht="11.25"/>
    <row r="657" spans="1:20" ht="11.25">
      <c r="A657" t="s">
        <v>596</v>
      </c>
      <c r="C657" s="62">
        <v>90000</v>
      </c>
      <c r="S657" s="75"/>
      <c r="T657" s="75"/>
    </row>
    <row r="658" spans="1:20" ht="11.25">
      <c r="B658" t="s">
        <v>1340</v>
      </c>
      <c r="C658" t="s">
        <v>597</v>
      </c>
      <c r="D658" t="s">
        <v>598</v>
      </c>
      <c r="E658" t="s">
        <v>939</v>
      </c>
      <c r="F658" t="s">
        <v>599</v>
      </c>
    </row>
    <row r="659" spans="1:20" ht="11.25">
      <c r="A659" t="s">
        <v>600</v>
      </c>
      <c r="B659" s="12">
        <v>0.5</v>
      </c>
      <c r="C659" s="15"/>
      <c r="D659" s="15">
        <v>0.25</v>
      </c>
      <c r="E659" s="15">
        <v>0.5</v>
      </c>
      <c r="F659" s="15">
        <v>0.25</v>
      </c>
    </row>
    <row r="660" spans="1:20" ht="11.25">
      <c r="A660" t="s">
        <v>601</v>
      </c>
      <c r="B660" s="12">
        <v>0.15</v>
      </c>
      <c r="C660" s="15">
        <v>0.05</v>
      </c>
      <c r="D660" s="15">
        <v>0.25</v>
      </c>
      <c r="E660" s="15">
        <v>0.45</v>
      </c>
      <c r="F660" s="15">
        <v>0.25</v>
      </c>
    </row>
    <row r="661" spans="1:20" ht="11.25">
      <c r="A661" t="s">
        <v>2718</v>
      </c>
      <c r="B661" s="12">
        <v>0.05</v>
      </c>
      <c r="C661" s="15">
        <v>0.25</v>
      </c>
      <c r="D661" s="15">
        <v>0.25</v>
      </c>
      <c r="E661" s="15">
        <v>0.25</v>
      </c>
      <c r="F661" s="15">
        <v>0.25</v>
      </c>
    </row>
    <row r="662" spans="1:20" ht="11.25">
      <c r="A662" t="s">
        <v>3207</v>
      </c>
      <c r="B662" s="12">
        <v>0.2</v>
      </c>
      <c r="C662" s="15">
        <v>0.2</v>
      </c>
      <c r="D662" s="15">
        <v>0.4</v>
      </c>
      <c r="E662" s="15">
        <v>0.25</v>
      </c>
      <c r="F662" s="15">
        <v>0.15</v>
      </c>
    </row>
    <row r="663" spans="1:20" ht="11.25">
      <c r="A663" t="s">
        <v>602</v>
      </c>
      <c r="B663" s="12">
        <v>0.1</v>
      </c>
      <c r="C663" s="15">
        <v>0.2</v>
      </c>
      <c r="D663" s="15">
        <v>0.4</v>
      </c>
      <c r="E663" s="15">
        <v>0.25</v>
      </c>
      <c r="F663" s="15">
        <v>0.15</v>
      </c>
    </row>
    <row r="664" spans="1:20" ht="11.25"/>
    <row r="665" spans="1:20" ht="11.25">
      <c r="A665" t="s">
        <v>600</v>
      </c>
      <c r="B665" s="16"/>
      <c r="C665" s="311">
        <f t="shared" ref="C665:F669" si="79">$B659*C659*$C$657</f>
        <v>0</v>
      </c>
      <c r="D665" s="311">
        <f t="shared" si="79"/>
        <v>11250</v>
      </c>
      <c r="E665" s="311">
        <f t="shared" si="79"/>
        <v>22500</v>
      </c>
      <c r="F665" s="311">
        <f t="shared" si="79"/>
        <v>11250</v>
      </c>
    </row>
    <row r="666" spans="1:20" ht="11.25">
      <c r="A666" t="s">
        <v>601</v>
      </c>
      <c r="B666" s="16"/>
      <c r="C666" s="311">
        <f t="shared" si="79"/>
        <v>675</v>
      </c>
      <c r="D666" s="311">
        <f t="shared" si="79"/>
        <v>3375</v>
      </c>
      <c r="E666" s="311">
        <f t="shared" si="79"/>
        <v>6075</v>
      </c>
      <c r="F666" s="311">
        <f t="shared" si="79"/>
        <v>3375</v>
      </c>
      <c r="H666" s="449">
        <f>C666/(C666+D666+E666+F666)</f>
        <v>0.05</v>
      </c>
    </row>
    <row r="667" spans="1:20" ht="11.25">
      <c r="A667" t="s">
        <v>2718</v>
      </c>
      <c r="B667" s="16"/>
      <c r="C667" s="311">
        <f t="shared" si="79"/>
        <v>1125</v>
      </c>
      <c r="D667" s="311">
        <f t="shared" si="79"/>
        <v>1125</v>
      </c>
      <c r="E667" s="311">
        <f t="shared" si="79"/>
        <v>1125</v>
      </c>
      <c r="F667" s="311">
        <f t="shared" si="79"/>
        <v>1125</v>
      </c>
    </row>
    <row r="668" spans="1:20" ht="11.25">
      <c r="A668" t="s">
        <v>3207</v>
      </c>
      <c r="B668" s="16"/>
      <c r="C668" s="311">
        <f t="shared" si="79"/>
        <v>3600.0000000000009</v>
      </c>
      <c r="D668" s="311">
        <f t="shared" si="79"/>
        <v>7200.0000000000018</v>
      </c>
      <c r="E668" s="311">
        <f t="shared" si="79"/>
        <v>4500</v>
      </c>
      <c r="F668" s="311">
        <f t="shared" si="79"/>
        <v>2700</v>
      </c>
    </row>
    <row r="669" spans="1:20" ht="11.25">
      <c r="A669" t="s">
        <v>602</v>
      </c>
      <c r="B669" s="16"/>
      <c r="C669" s="450">
        <f t="shared" si="79"/>
        <v>1800.0000000000005</v>
      </c>
      <c r="D669" s="450">
        <f t="shared" si="79"/>
        <v>3600.0000000000009</v>
      </c>
      <c r="E669" s="450">
        <f t="shared" si="79"/>
        <v>2250</v>
      </c>
      <c r="F669" s="450">
        <f t="shared" si="79"/>
        <v>1350</v>
      </c>
    </row>
    <row r="670" spans="1:20" ht="11.25">
      <c r="B670" t="s">
        <v>603</v>
      </c>
      <c r="C670" s="16">
        <f>SUM(C665:C669)</f>
        <v>7200.0000000000018</v>
      </c>
      <c r="D670" s="16">
        <f>SUM(D665:D669)</f>
        <v>26550</v>
      </c>
      <c r="E670" s="16">
        <f>SUM(E665:E669)</f>
        <v>36450</v>
      </c>
      <c r="F670" s="16">
        <f>SUM(F665:F669)</f>
        <v>19800</v>
      </c>
    </row>
    <row r="671" spans="1:20" ht="11.25">
      <c r="B671" t="s">
        <v>604</v>
      </c>
      <c r="C671" s="16">
        <f>C670/INDEX(paramEmp1HoursPYear,xxIndexTeam)</f>
        <v>5.3333333333333348</v>
      </c>
      <c r="D671" s="16">
        <f>D670/INDEX(paramEmp2HoursPYear,xxIndexTeam)</f>
        <v>13.275</v>
      </c>
      <c r="E671" s="16">
        <f>E670/INDEX(paramEmp4HoursPYear,xxIndexTeam)</f>
        <v>18.225000000000001</v>
      </c>
      <c r="F671" s="16">
        <f>F670/INDEX(paramEmp3HoursPYear,xxIndexTeam)</f>
        <v>9.9</v>
      </c>
    </row>
    <row r="672" spans="1:20" ht="11.25">
      <c r="C672">
        <v>3</v>
      </c>
      <c r="D672">
        <v>21</v>
      </c>
      <c r="E672">
        <v>14</v>
      </c>
      <c r="F672">
        <v>7</v>
      </c>
    </row>
    <row r="673" spans="2:6" ht="11.25">
      <c r="C673">
        <v>8</v>
      </c>
      <c r="D673">
        <v>15</v>
      </c>
      <c r="E673">
        <v>20</v>
      </c>
      <c r="F673">
        <v>9</v>
      </c>
    </row>
    <row r="674" spans="2:6" ht="11.25">
      <c r="E674" s="420">
        <f>capBusBEmp1EndHrsAvailable+capBusBEmp2EndHrsAvailable+capBusBEmp3EndHrsAvailable+capBusBEmp4EndHrsAvailable</f>
        <v>106150</v>
      </c>
    </row>
    <row r="675" spans="2:6" ht="11.25">
      <c r="E675" s="420">
        <f>capBusAEmp1EndHrsAvailable+capBusAEmp2EndHrsAvailable+capBusAEmp3EndHrsAvailable+capBusAEmp4EndHrsAvailable</f>
        <v>1689900</v>
      </c>
      <c r="F675">
        <f>E674/E675</f>
        <v>6.2814367714065927E-2</v>
      </c>
    </row>
    <row r="676" spans="2:6" ht="11.25"/>
    <row r="677" spans="2:6" ht="11.25">
      <c r="D677">
        <f>D665/6</f>
        <v>1875</v>
      </c>
      <c r="E677">
        <f>E665/6</f>
        <v>3750</v>
      </c>
      <c r="F677">
        <f>F665/6</f>
        <v>1875</v>
      </c>
    </row>
    <row r="678" spans="2:6" ht="11.25"/>
    <row r="679" spans="2:6" ht="11.25"/>
    <row r="680" spans="2:6" ht="11.25"/>
    <row r="681" spans="2:6" ht="11.25">
      <c r="C681" s="4" t="s">
        <v>3724</v>
      </c>
      <c r="D681" s="4" t="s">
        <v>3725</v>
      </c>
      <c r="E681" s="4" t="s">
        <v>3726</v>
      </c>
    </row>
    <row r="682" spans="2:6" ht="11.25">
      <c r="B682" s="4" t="s">
        <v>3727</v>
      </c>
      <c r="C682" s="630">
        <v>0.1</v>
      </c>
      <c r="D682" s="630">
        <v>0.42</v>
      </c>
      <c r="E682" s="630">
        <v>0.48</v>
      </c>
    </row>
    <row r="683" spans="2:6" ht="11.25">
      <c r="B683" s="4" t="s">
        <v>3728</v>
      </c>
      <c r="C683" s="630">
        <v>0.32</v>
      </c>
      <c r="D683" s="630">
        <v>0.12</v>
      </c>
      <c r="E683" s="630">
        <v>0.56000000000000005</v>
      </c>
    </row>
    <row r="684" spans="2:6" ht="11.25">
      <c r="B684" s="4" t="s">
        <v>3729</v>
      </c>
      <c r="C684" s="630">
        <v>0.04</v>
      </c>
      <c r="D684" s="630">
        <v>0.7</v>
      </c>
      <c r="E684" s="630">
        <v>0.26</v>
      </c>
    </row>
    <row r="685" spans="2:6" ht="11.25"/>
    <row r="686" spans="2:6" ht="11.25"/>
    <row r="687" spans="2:6" ht="12" thickBot="1"/>
    <row r="688" spans="2:6" ht="11.25">
      <c r="B688" s="668" t="s">
        <v>412</v>
      </c>
      <c r="C688" s="668" t="s">
        <v>413</v>
      </c>
    </row>
    <row r="689" spans="2:10" ht="11.25">
      <c r="B689" s="669" t="s">
        <v>414</v>
      </c>
      <c r="C689" s="671">
        <v>1.2</v>
      </c>
    </row>
    <row r="690" spans="2:10" ht="11.25">
      <c r="B690" s="669" t="s">
        <v>415</v>
      </c>
      <c r="C690" s="671">
        <v>1.1000000000000001</v>
      </c>
    </row>
    <row r="691" spans="2:10" ht="11.25">
      <c r="B691" s="669" t="s">
        <v>416</v>
      </c>
      <c r="C691" s="671">
        <v>1.05</v>
      </c>
    </row>
    <row r="692" spans="2:10" ht="11.25">
      <c r="B692" s="669" t="s">
        <v>417</v>
      </c>
      <c r="C692" s="671">
        <v>1</v>
      </c>
    </row>
    <row r="693" spans="2:10" ht="11.25">
      <c r="B693" s="669" t="s">
        <v>418</v>
      </c>
      <c r="C693" s="671">
        <v>0.95</v>
      </c>
    </row>
    <row r="694" spans="2:10" ht="11.25">
      <c r="B694" s="669" t="s">
        <v>419</v>
      </c>
      <c r="C694" s="671">
        <v>0.9</v>
      </c>
    </row>
    <row r="695" spans="2:10" ht="11.25">
      <c r="B695" s="669" t="s">
        <v>420</v>
      </c>
      <c r="C695" s="671">
        <v>0.8</v>
      </c>
    </row>
    <row r="696" spans="2:10" ht="11.25"/>
    <row r="697" spans="2:10" ht="11.25"/>
    <row r="698" spans="2:10" ht="11.25">
      <c r="B698" s="670" t="s">
        <v>1741</v>
      </c>
      <c r="C698" s="670" t="s">
        <v>1738</v>
      </c>
      <c r="D698" s="670" t="s">
        <v>1739</v>
      </c>
      <c r="E698" s="670" t="s">
        <v>1740</v>
      </c>
      <c r="F698" s="395"/>
      <c r="G698" s="395"/>
      <c r="H698" s="395"/>
      <c r="I698" s="26"/>
    </row>
    <row r="699" spans="2:10" ht="11.25">
      <c r="B699" t="s">
        <v>3329</v>
      </c>
      <c r="C699" s="676">
        <v>0.1</v>
      </c>
      <c r="D699" s="676">
        <v>0.48</v>
      </c>
      <c r="E699" s="676">
        <v>0.42</v>
      </c>
      <c r="F699" s="419">
        <f t="shared" ref="F699:F704" si="80">SUM(C699:E699)</f>
        <v>1</v>
      </c>
      <c r="G699" s="419"/>
      <c r="H699" s="419"/>
      <c r="I699" s="26"/>
    </row>
    <row r="700" spans="2:10" ht="11.25">
      <c r="B700" t="s">
        <v>3330</v>
      </c>
      <c r="C700" s="676">
        <v>0.11</v>
      </c>
      <c r="D700" s="676">
        <v>0.4</v>
      </c>
      <c r="E700" s="676">
        <v>0.49</v>
      </c>
      <c r="F700" s="419">
        <f t="shared" si="80"/>
        <v>1</v>
      </c>
      <c r="G700" s="419"/>
      <c r="H700" s="419"/>
      <c r="I700" s="683"/>
      <c r="J700" s="683"/>
    </row>
    <row r="701" spans="2:10" ht="11.25">
      <c r="B701" t="s">
        <v>1471</v>
      </c>
      <c r="C701" s="676">
        <v>0.09</v>
      </c>
      <c r="D701" s="676">
        <v>0.36</v>
      </c>
      <c r="E701" s="676">
        <v>0.55000000000000004</v>
      </c>
      <c r="F701" s="419">
        <f t="shared" si="80"/>
        <v>1</v>
      </c>
      <c r="G701" s="419"/>
      <c r="H701" s="419"/>
      <c r="I701" s="26"/>
    </row>
    <row r="702" spans="2:10" ht="11.25">
      <c r="B702" t="s">
        <v>3331</v>
      </c>
      <c r="C702" s="676">
        <v>7.0000000000000007E-2</v>
      </c>
      <c r="D702" s="676">
        <v>0.32</v>
      </c>
      <c r="E702" s="676">
        <v>0.61</v>
      </c>
      <c r="F702" s="419">
        <f t="shared" si="80"/>
        <v>1</v>
      </c>
      <c r="G702" s="419"/>
      <c r="H702" s="419"/>
      <c r="I702" s="26"/>
    </row>
    <row r="703" spans="2:10" ht="11.25">
      <c r="B703" t="s">
        <v>1472</v>
      </c>
      <c r="C703" s="240">
        <v>0.05</v>
      </c>
      <c r="D703" s="240">
        <v>0.28000000000000003</v>
      </c>
      <c r="E703" s="240">
        <v>0.67</v>
      </c>
      <c r="F703" s="683">
        <f t="shared" si="80"/>
        <v>1</v>
      </c>
      <c r="G703" s="26"/>
      <c r="H703" s="26"/>
      <c r="I703" s="26"/>
    </row>
    <row r="704" spans="2:10" ht="11.25">
      <c r="B704" t="s">
        <v>3332</v>
      </c>
      <c r="C704" s="240">
        <v>0.03</v>
      </c>
      <c r="D704" s="240">
        <v>0.24</v>
      </c>
      <c r="E704" s="240">
        <v>0.73</v>
      </c>
      <c r="F704" s="683">
        <f t="shared" si="80"/>
        <v>1</v>
      </c>
      <c r="G704" s="26"/>
      <c r="H704" s="26"/>
      <c r="I704" s="26"/>
    </row>
    <row r="705" spans="2:9" ht="11.25">
      <c r="C705" s="683"/>
      <c r="D705" s="683"/>
      <c r="E705" s="683"/>
      <c r="F705" s="683"/>
      <c r="G705" s="26"/>
      <c r="H705" s="26"/>
      <c r="I705" s="26"/>
    </row>
    <row r="706" spans="2:9" ht="11.25">
      <c r="B706" s="670" t="s">
        <v>1737</v>
      </c>
      <c r="C706" s="670" t="s">
        <v>1738</v>
      </c>
      <c r="D706" s="670" t="s">
        <v>1739</v>
      </c>
      <c r="E706" s="670" t="s">
        <v>1740</v>
      </c>
      <c r="F706" s="395"/>
      <c r="G706" s="395"/>
      <c r="H706" s="395"/>
      <c r="I706" s="26"/>
    </row>
    <row r="707" spans="2:9" ht="11.25">
      <c r="B707" t="s">
        <v>3329</v>
      </c>
      <c r="C707" s="676">
        <v>0.09</v>
      </c>
      <c r="D707" s="676">
        <v>0.33</v>
      </c>
      <c r="E707" s="676">
        <v>0.57999999999999996</v>
      </c>
      <c r="F707" s="419">
        <f t="shared" ref="F707:F712" si="81">SUM(C707:E707)</f>
        <v>1</v>
      </c>
      <c r="G707" s="419"/>
      <c r="H707" s="419"/>
      <c r="I707" s="26"/>
    </row>
    <row r="708" spans="2:9" ht="11.25">
      <c r="B708" t="s">
        <v>3330</v>
      </c>
      <c r="C708" s="676">
        <v>0.08</v>
      </c>
      <c r="D708" s="676">
        <v>0.3</v>
      </c>
      <c r="E708" s="676">
        <v>0.62</v>
      </c>
      <c r="F708" s="419">
        <f t="shared" si="81"/>
        <v>1</v>
      </c>
      <c r="G708" s="419"/>
      <c r="H708" s="419"/>
      <c r="I708" s="26"/>
    </row>
    <row r="709" spans="2:9" ht="11.25">
      <c r="B709" t="s">
        <v>1471</v>
      </c>
      <c r="C709" s="676">
        <v>6.5000000000000002E-2</v>
      </c>
      <c r="D709" s="676">
        <v>0.27</v>
      </c>
      <c r="E709" s="676">
        <v>0.66500000000000004</v>
      </c>
      <c r="F709" s="419">
        <f t="shared" si="81"/>
        <v>1</v>
      </c>
      <c r="G709" s="419"/>
      <c r="H709" s="419"/>
      <c r="I709" s="26"/>
    </row>
    <row r="710" spans="2:9" ht="11.25">
      <c r="B710" t="s">
        <v>3331</v>
      </c>
      <c r="C710" s="676">
        <v>0.05</v>
      </c>
      <c r="D710" s="676">
        <v>0.24</v>
      </c>
      <c r="E710" s="676">
        <v>0.71</v>
      </c>
      <c r="F710" s="419">
        <f t="shared" si="81"/>
        <v>1</v>
      </c>
      <c r="G710" s="419"/>
      <c r="H710" s="419"/>
      <c r="I710" s="26"/>
    </row>
    <row r="711" spans="2:9" ht="11.25">
      <c r="B711" t="s">
        <v>1472</v>
      </c>
      <c r="C711" s="240">
        <v>3.5000000000000003E-2</v>
      </c>
      <c r="D711" s="240">
        <v>0.21</v>
      </c>
      <c r="E711" s="240">
        <v>0.755</v>
      </c>
      <c r="F711" s="683">
        <f t="shared" si="81"/>
        <v>1</v>
      </c>
      <c r="G711" s="419"/>
      <c r="H711" s="419"/>
      <c r="I711" s="26"/>
    </row>
    <row r="712" spans="2:9" ht="11.25">
      <c r="B712" t="s">
        <v>3332</v>
      </c>
      <c r="C712" s="240">
        <v>0.02</v>
      </c>
      <c r="D712" s="240">
        <v>0.18</v>
      </c>
      <c r="E712" s="240">
        <v>0.8</v>
      </c>
      <c r="F712" s="683">
        <f t="shared" si="81"/>
        <v>1</v>
      </c>
      <c r="G712" s="419"/>
      <c r="H712" s="419"/>
      <c r="I712" s="26"/>
    </row>
    <row r="713" spans="2:9" ht="11.25">
      <c r="F713" s="26"/>
      <c r="G713" s="26"/>
      <c r="H713" s="26"/>
      <c r="I713" s="26"/>
    </row>
    <row r="714" spans="2:9" ht="11.25">
      <c r="B714" s="1" t="s">
        <v>2452</v>
      </c>
    </row>
    <row r="715" spans="2:9" ht="11.25">
      <c r="B715" t="s">
        <v>1685</v>
      </c>
    </row>
    <row r="716" spans="2:9" ht="11.25">
      <c r="B716" t="s">
        <v>2451</v>
      </c>
    </row>
    <row r="717" spans="2:9" ht="11.25">
      <c r="B717" t="s">
        <v>2450</v>
      </c>
    </row>
    <row r="718" spans="2:9" ht="11.25">
      <c r="B718" s="700" t="s">
        <v>4895</v>
      </c>
    </row>
    <row r="719" spans="2:9" ht="11.25">
      <c r="B719" t="s">
        <v>2449</v>
      </c>
    </row>
    <row r="720" spans="2:9" ht="12" thickBot="1"/>
    <row r="721" spans="2:6" ht="11.25">
      <c r="B721" s="668" t="s">
        <v>4595</v>
      </c>
    </row>
    <row r="722" spans="2:6" ht="11.25">
      <c r="B722" s="807">
        <v>0</v>
      </c>
    </row>
    <row r="723" spans="2:6" ht="11.25">
      <c r="B723" s="808">
        <v>0.05</v>
      </c>
    </row>
    <row r="724" spans="2:6" ht="11.25">
      <c r="B724" s="808">
        <v>0.1</v>
      </c>
    </row>
    <row r="725" spans="2:6" ht="11.25">
      <c r="B725" s="808">
        <v>0.15</v>
      </c>
    </row>
    <row r="726" spans="2:6" ht="11.25">
      <c r="B726" s="808">
        <v>0.2</v>
      </c>
    </row>
    <row r="727" spans="2:6" ht="11.25">
      <c r="B727" s="808">
        <v>0.25</v>
      </c>
    </row>
    <row r="728" spans="2:6" ht="11.25">
      <c r="B728" s="808">
        <v>0.3</v>
      </c>
    </row>
    <row r="729" spans="2:6" ht="11.25">
      <c r="B729" s="808">
        <v>0.35</v>
      </c>
    </row>
    <row r="730" spans="2:6" ht="11.25">
      <c r="B730" s="808">
        <v>0.4</v>
      </c>
    </row>
    <row r="731" spans="2:6" ht="11.25">
      <c r="B731" s="808">
        <v>0.45</v>
      </c>
    </row>
    <row r="732" spans="2:6" ht="11.25">
      <c r="B732" s="809">
        <v>0.5</v>
      </c>
    </row>
    <row r="733" spans="2:6" ht="11.25"/>
    <row r="734" spans="2:6" ht="11.25"/>
    <row r="735" spans="2:6" ht="11.25">
      <c r="B735" s="65" t="s">
        <v>4628</v>
      </c>
      <c r="C735" s="826"/>
      <c r="D735" s="826"/>
      <c r="E735" s="826"/>
      <c r="F735" s="53"/>
    </row>
    <row r="736" spans="2:6" ht="11.25">
      <c r="B736" s="56">
        <v>2</v>
      </c>
      <c r="C736" s="57">
        <v>3</v>
      </c>
      <c r="D736" s="57">
        <v>4</v>
      </c>
      <c r="E736" s="57">
        <v>5</v>
      </c>
      <c r="F736" s="61">
        <v>6</v>
      </c>
    </row>
    <row r="737" spans="2:7" ht="11.25"/>
    <row r="738" spans="2:7" ht="11.25">
      <c r="B738" s="40" t="s">
        <v>4782</v>
      </c>
      <c r="C738" s="826"/>
      <c r="D738" s="53"/>
    </row>
    <row r="739" spans="2:7" ht="11.25">
      <c r="B739" s="54" t="s">
        <v>4784</v>
      </c>
      <c r="C739" s="18" t="s">
        <v>4927</v>
      </c>
      <c r="D739" s="60" t="s">
        <v>4774</v>
      </c>
    </row>
    <row r="740" spans="2:7" ht="11.25">
      <c r="B740" s="54">
        <v>0</v>
      </c>
      <c r="C740" s="1026">
        <v>0</v>
      </c>
      <c r="D740" s="1026">
        <v>0</v>
      </c>
      <c r="F740" s="1026">
        <v>1.00234523</v>
      </c>
    </row>
    <row r="741" spans="2:7" ht="11.25">
      <c r="B741" s="54">
        <v>1</v>
      </c>
      <c r="C741" s="1026">
        <v>1002345.23</v>
      </c>
      <c r="D741" s="1026">
        <v>1002345.23</v>
      </c>
    </row>
    <row r="742" spans="2:7" ht="11.25">
      <c r="B742" s="54">
        <v>2</v>
      </c>
      <c r="C742" s="1026">
        <v>2505863.0749999997</v>
      </c>
      <c r="D742" s="1026">
        <v>2505863.0749999997</v>
      </c>
    </row>
    <row r="743" spans="2:7" ht="11.25">
      <c r="B743" s="54">
        <v>3</v>
      </c>
      <c r="C743" s="1026">
        <v>5011726.1499999994</v>
      </c>
      <c r="D743" s="1026">
        <v>5011726.1499999994</v>
      </c>
    </row>
    <row r="744" spans="2:7" ht="11.25">
      <c r="B744" s="54">
        <v>4</v>
      </c>
      <c r="C744" s="1026">
        <v>8018761.8399999999</v>
      </c>
      <c r="D744" s="1026">
        <v>8018761.8399999999</v>
      </c>
    </row>
    <row r="745" spans="2:7" ht="11.25">
      <c r="B745" s="56">
        <v>5</v>
      </c>
      <c r="C745" s="1026">
        <v>11526970.145</v>
      </c>
      <c r="D745" s="1026">
        <v>11526970.145</v>
      </c>
    </row>
    <row r="748" spans="2:7" ht="12.75" customHeight="1">
      <c r="B748" s="700" t="s">
        <v>5369</v>
      </c>
    </row>
    <row r="749" spans="2:7" ht="12.75" customHeight="1">
      <c r="B749" s="1478" t="s">
        <v>5368</v>
      </c>
      <c r="C749" s="826">
        <v>0.9</v>
      </c>
      <c r="D749" s="826"/>
      <c r="E749" s="826"/>
      <c r="F749" s="826"/>
      <c r="G749" s="53"/>
    </row>
    <row r="750" spans="2:7" ht="12.75" customHeight="1">
      <c r="B750" s="1479" t="s">
        <v>6294</v>
      </c>
      <c r="C750" s="18">
        <v>0.95</v>
      </c>
      <c r="D750" s="18"/>
      <c r="E750" s="18"/>
      <c r="F750" s="18"/>
      <c r="G750" s="60"/>
    </row>
    <row r="751" spans="2:7" ht="12.75" customHeight="1">
      <c r="B751" s="1479" t="s">
        <v>2295</v>
      </c>
      <c r="C751" s="18">
        <v>1</v>
      </c>
      <c r="D751" s="18"/>
      <c r="E751" s="18"/>
      <c r="F751" s="18"/>
      <c r="G751" s="60"/>
    </row>
    <row r="752" spans="2:7" ht="12.75" customHeight="1">
      <c r="B752" s="1479" t="s">
        <v>6295</v>
      </c>
      <c r="C752" s="18">
        <v>1.05</v>
      </c>
      <c r="D752" s="18"/>
      <c r="E752" s="18"/>
      <c r="F752" s="18"/>
      <c r="G752" s="60"/>
    </row>
    <row r="753" spans="2:7" ht="12.75" customHeight="1">
      <c r="B753" s="1480" t="s">
        <v>6296</v>
      </c>
      <c r="C753" s="57">
        <v>1.1000000000000001</v>
      </c>
      <c r="D753" s="57"/>
      <c r="E753" s="57"/>
      <c r="F753" s="57"/>
      <c r="G753" s="61"/>
    </row>
  </sheetData>
  <mergeCells count="6">
    <mergeCell ref="O192:Q192"/>
    <mergeCell ref="R113:T113"/>
    <mergeCell ref="U113:W113"/>
    <mergeCell ref="X113:Z113"/>
    <mergeCell ref="U192:W192"/>
    <mergeCell ref="R192:T192"/>
  </mergeCells>
  <phoneticPr fontId="0" type="noConversion"/>
  <pageMargins left="0.5" right="0.5" top="0.5" bottom="0.5" header="0.5" footer="0.5"/>
  <pageSetup orientation="portrait" r:id="rId1"/>
  <headerFooter alignWithMargins="0"/>
  <ignoredErrors>
    <ignoredError sqref="C280 D280:J280" formulaRange="1"/>
  </ignoredErrors>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
    <tabColor rgb="FF00B0F0"/>
  </sheetPr>
  <dimension ref="A1:T423"/>
  <sheetViews>
    <sheetView view="pageBreakPreview" topLeftCell="A200" workbookViewId="0">
      <selection activeCell="B209" sqref="B209"/>
    </sheetView>
  </sheetViews>
  <sheetFormatPr defaultColWidth="18.83203125" defaultRowHeight="12.75" customHeight="1"/>
  <cols>
    <col min="1" max="1" width="7.1640625" style="519" customWidth="1"/>
    <col min="2" max="2" width="50.1640625" customWidth="1"/>
    <col min="3" max="3" width="6" customWidth="1"/>
    <col min="4" max="5" width="14.83203125" bestFit="1" customWidth="1"/>
    <col min="6" max="6" width="38.5" bestFit="1" customWidth="1"/>
    <col min="7" max="8" width="9.83203125" customWidth="1"/>
    <col min="9" max="9" width="8.5" customWidth="1"/>
    <col min="10" max="10" width="10.83203125" customWidth="1"/>
    <col min="11" max="11" width="7.33203125" customWidth="1"/>
    <col min="12" max="12" width="9.33203125" customWidth="1"/>
    <col min="13" max="13" width="18.83203125" customWidth="1"/>
    <col min="14" max="14" width="13.1640625" customWidth="1"/>
    <col min="15" max="20" width="9.33203125" customWidth="1"/>
  </cols>
  <sheetData>
    <row r="1" spans="1:14" s="93" customFormat="1" ht="15.75">
      <c r="A1" s="518" t="s">
        <v>1995</v>
      </c>
      <c r="E1" s="91" t="s">
        <v>470</v>
      </c>
      <c r="I1" s="95" t="s">
        <v>191</v>
      </c>
      <c r="J1" s="91" t="s">
        <v>470</v>
      </c>
      <c r="K1" s="95" t="s">
        <v>191</v>
      </c>
      <c r="L1" s="91" t="s">
        <v>470</v>
      </c>
      <c r="M1" s="91" t="s">
        <v>192</v>
      </c>
      <c r="N1" s="91" t="s">
        <v>470</v>
      </c>
    </row>
    <row r="2" spans="1:14" ht="11.25">
      <c r="I2" s="70"/>
      <c r="J2" s="70" t="s">
        <v>1475</v>
      </c>
      <c r="K2" s="70"/>
      <c r="L2" s="70" t="s">
        <v>1476</v>
      </c>
      <c r="N2" t="s">
        <v>1477</v>
      </c>
    </row>
    <row r="3" spans="1:14" ht="11.25">
      <c r="A3" s="520" t="s">
        <v>188</v>
      </c>
      <c r="B3" s="2" t="s">
        <v>189</v>
      </c>
      <c r="C3" s="2" t="s">
        <v>190</v>
      </c>
      <c r="D3" s="2"/>
      <c r="G3" s="79" t="s">
        <v>3024</v>
      </c>
      <c r="H3" s="79" t="s">
        <v>1323</v>
      </c>
    </row>
    <row r="4" spans="1:14" ht="11.25">
      <c r="B4" s="2" t="str">
        <f>DataNameProd1 &amp; " Paramaters"</f>
        <v>Consulting Paramaters</v>
      </c>
      <c r="D4" s="79" t="s">
        <v>1474</v>
      </c>
      <c r="E4" s="2" t="s">
        <v>1995</v>
      </c>
      <c r="G4" s="79" t="s">
        <v>3297</v>
      </c>
      <c r="H4" s="79" t="s">
        <v>1324</v>
      </c>
      <c r="J4" s="62"/>
      <c r="L4" s="62"/>
      <c r="N4">
        <f>SUMIF(adj!$C$3:$C$275,$A4,adj!E$3:E$275)</f>
        <v>0</v>
      </c>
    </row>
    <row r="5" spans="1:14" ht="11.25">
      <c r="A5" s="519">
        <v>1</v>
      </c>
      <c r="B5" t="str">
        <f>DataNameProd1 &amp; " Cycle Time"</f>
        <v>Consulting Cycle Time</v>
      </c>
      <c r="C5" t="s">
        <v>4253</v>
      </c>
      <c r="D5">
        <v>30</v>
      </c>
      <c r="E5">
        <f>$D5*(1+L5+N5*($C5="R"))+J5+N5*($C5="A")</f>
        <v>30</v>
      </c>
      <c r="F5" t="s">
        <v>3458</v>
      </c>
      <c r="G5">
        <f>COUNTIF(adj!$C$200:$C$275,$A5)</f>
        <v>0</v>
      </c>
      <c r="H5" s="10">
        <f>SUMIF(adj!$C$200:$C$275,$A5,adj!H$200:H$275)</f>
        <v>0</v>
      </c>
      <c r="J5" s="62"/>
      <c r="L5" s="62"/>
      <c r="N5">
        <f>SUMIF(adj!$C$3:$C$275,$A5,adj!E$3:E$275)</f>
        <v>0</v>
      </c>
    </row>
    <row r="6" spans="1:14" ht="11.25">
      <c r="A6" s="519">
        <v>2</v>
      </c>
      <c r="B6" t="str">
        <f>DataNameProd1 &amp; " Feature Material Cost Per Unit Per Level"</f>
        <v>Consulting Feature Material Cost Per Unit Per Level</v>
      </c>
      <c r="C6" t="s">
        <v>2030</v>
      </c>
      <c r="D6">
        <v>10</v>
      </c>
      <c r="E6">
        <f>$D6*(1+L6+N6*($C6="R"))+J6+N6*($C6="A")</f>
        <v>10</v>
      </c>
      <c r="F6" t="s">
        <v>3792</v>
      </c>
      <c r="G6">
        <f>COUNTIF(adj!$C$200:$C$275,$A6)</f>
        <v>0</v>
      </c>
      <c r="H6" s="10">
        <f>SUMIF(adj!$C$200:$C$275,$A6,adj!H$200:H$275)</f>
        <v>0</v>
      </c>
      <c r="J6" s="62"/>
      <c r="L6" s="62"/>
      <c r="N6">
        <f>SUMIF(adj!$C$3:$C$275,$A6,adj!E$3:E$275)</f>
        <v>0</v>
      </c>
    </row>
    <row r="7" spans="1:14" ht="11.25">
      <c r="A7" s="519">
        <v>3</v>
      </c>
      <c r="B7" t="str">
        <f>DataNameProd1 &amp; " Material Cost Per Unit"</f>
        <v>Consulting Material Cost Per Unit</v>
      </c>
      <c r="C7" t="s">
        <v>2030</v>
      </c>
      <c r="D7">
        <v>400</v>
      </c>
      <c r="E7">
        <f>$D7*(1+L7+N7*($C7="R"))+J7+N7*($C7="A")</f>
        <v>400</v>
      </c>
      <c r="F7" t="s">
        <v>4326</v>
      </c>
      <c r="G7">
        <f>COUNTIF(adj!$C$200:$C$275,$A7)</f>
        <v>0</v>
      </c>
      <c r="H7" s="10">
        <f>SUMIF(adj!$C$200:$C$275,$A7,adj!H$200:H$275)</f>
        <v>0</v>
      </c>
      <c r="J7" s="62"/>
      <c r="L7" s="62"/>
      <c r="N7">
        <f>SUMIF(adj!$C$3:$C$275,$A7,adj!E$3:E$275)</f>
        <v>0</v>
      </c>
    </row>
    <row r="8" spans="1:14" ht="11.25">
      <c r="A8" s="519">
        <v>4</v>
      </c>
      <c r="B8" t="str">
        <f>DataNameProd1 &amp; " Materials Inventory As % of Production"</f>
        <v>Consulting Materials Inventory As % of Production</v>
      </c>
      <c r="C8" t="s">
        <v>2030</v>
      </c>
      <c r="D8" s="12">
        <v>0.02</v>
      </c>
      <c r="E8" s="12">
        <f>$D8*(1+L8+N8*($C8="R"))+J8+N8*($C8="A")</f>
        <v>0.02</v>
      </c>
      <c r="F8" t="s">
        <v>3793</v>
      </c>
      <c r="G8">
        <f>COUNTIF(adj!$C$200:$C$275,$A8)</f>
        <v>0</v>
      </c>
      <c r="H8" s="10">
        <f>SUMIF(adj!$C$200:$C$275,$A8,adj!H$200:H$275)</f>
        <v>0</v>
      </c>
      <c r="J8" s="62"/>
      <c r="L8" s="62"/>
      <c r="N8">
        <f>SUMIF(adj!$C$3:$C$275,$A8,adj!E$3:E$275)</f>
        <v>0</v>
      </c>
    </row>
    <row r="9" spans="1:14" ht="11.25">
      <c r="A9" s="519">
        <v>5</v>
      </c>
      <c r="B9" t="str">
        <f>DataNameProd1 &amp; " Labor Hours Req. Per Unit"</f>
        <v>Consulting Labor Hours Req. Per Unit</v>
      </c>
      <c r="C9" t="s">
        <v>2030</v>
      </c>
      <c r="D9">
        <v>20</v>
      </c>
      <c r="E9">
        <f>$D9*(1+L9+N9*($C9="R"))+J9+N9*($C9="A")</f>
        <v>20</v>
      </c>
      <c r="F9" t="s">
        <v>4229</v>
      </c>
      <c r="G9">
        <f>COUNTIF(adj!$C$200:$C$275,$A9)</f>
        <v>0</v>
      </c>
      <c r="H9" s="10">
        <f>SUMIF(adj!$C$200:$C$275,$A9,adj!H$200:H$275)</f>
        <v>0</v>
      </c>
      <c r="J9" s="62"/>
      <c r="L9" s="62"/>
      <c r="N9">
        <f>SUMIF(adj!$C$3:$C$275,$A9,adj!E$3:E$275)</f>
        <v>0</v>
      </c>
    </row>
    <row r="10" spans="1:14" ht="11.25">
      <c r="A10" s="519">
        <v>6</v>
      </c>
      <c r="B10" t="str">
        <f>DataNameProd1 &amp; " Machinery Hours Req. Per Unit"</f>
        <v>Consulting Machinery Hours Req. Per Unit</v>
      </c>
      <c r="C10" t="s">
        <v>2030</v>
      </c>
      <c r="D10">
        <v>5</v>
      </c>
      <c r="E10">
        <f>$D10*(1+L10+N10*($C10="R"))+J10+N10*($C10="A")</f>
        <v>5</v>
      </c>
      <c r="F10" t="s">
        <v>4230</v>
      </c>
      <c r="G10">
        <f>COUNTIF(adj!$C$200:$C$275,$A10)</f>
        <v>0</v>
      </c>
      <c r="H10" s="10">
        <f>SUMIF(adj!$C$200:$C$275,$A10,adj!H$200:H$275)</f>
        <v>0</v>
      </c>
      <c r="J10" s="62"/>
      <c r="L10" s="62"/>
      <c r="N10">
        <f>SUMIF(adj!$C$3:$C$275,$A10,adj!E$3:E$275)</f>
        <v>0</v>
      </c>
    </row>
    <row r="11" spans="1:14" ht="11.25">
      <c r="A11" s="519">
        <v>7</v>
      </c>
      <c r="B11" t="str">
        <f>DataNameProd1 &amp; " Engineers Required"</f>
        <v>Consulting Engineers Required</v>
      </c>
      <c r="C11" t="s">
        <v>2030</v>
      </c>
      <c r="D11">
        <v>100</v>
      </c>
      <c r="E11">
        <f>$D11*(1+L11+N11*($C11="R"))+J11+N11*($C11="A")</f>
        <v>100</v>
      </c>
      <c r="F11" t="s">
        <v>150</v>
      </c>
      <c r="G11">
        <f>COUNTIF(adj!$C$200:$C$275,$A11)</f>
        <v>0</v>
      </c>
      <c r="H11" s="10">
        <f>SUMIF(adj!$C$200:$C$275,$A11,adj!H$200:H$275)</f>
        <v>0</v>
      </c>
      <c r="J11" s="62"/>
      <c r="L11" s="62"/>
      <c r="N11">
        <f>SUMIF(adj!$C$3:$C$275,$A11,adj!E$3:E$275)</f>
        <v>0</v>
      </c>
    </row>
    <row r="12" spans="1:14" ht="11.25">
      <c r="A12" s="519">
        <v>8</v>
      </c>
      <c r="B12" s="773" t="str">
        <f>DataNameProd1 &amp; " Inventory Handling % of Closing Value"</f>
        <v>Consulting Inventory Handling % of Closing Value</v>
      </c>
      <c r="C12" s="773" t="s">
        <v>2030</v>
      </c>
      <c r="D12" s="1066">
        <v>0.1</v>
      </c>
      <c r="E12" s="1066">
        <f>$D12*(1+L12+N12*($C12="R"))+J12+N12*($C12="A")</f>
        <v>0.1</v>
      </c>
      <c r="F12" s="816" t="s">
        <v>4854</v>
      </c>
      <c r="G12">
        <f>COUNTIF(adj!$C$200:$C$275,$A12)</f>
        <v>0</v>
      </c>
      <c r="H12" s="10">
        <f>SUMIF(adj!$C$200:$C$275,$A12,adj!H$200:H$275)</f>
        <v>0</v>
      </c>
      <c r="J12" s="62"/>
      <c r="L12" s="62"/>
      <c r="N12">
        <f>SUMIF(adj!$C$3:$C$275,$A12,adj!E$3:E$275)</f>
        <v>0</v>
      </c>
    </row>
    <row r="13" spans="1:14" ht="11.25">
      <c r="A13" s="519">
        <v>9</v>
      </c>
      <c r="B13" t="str">
        <f>DataNameProd1 &amp; " Distribution Costs"</f>
        <v>Consulting Distribution Costs</v>
      </c>
      <c r="C13" t="s">
        <v>2030</v>
      </c>
      <c r="D13" s="10">
        <v>40</v>
      </c>
      <c r="E13" s="10">
        <f>$D13*(1+L13+N13*($C13="R"))+J13+N13*($C13="A")</f>
        <v>40</v>
      </c>
      <c r="F13" t="s">
        <v>1774</v>
      </c>
      <c r="G13">
        <f>COUNTIF(adj!$C$200:$C$275,$A13)</f>
        <v>0</v>
      </c>
      <c r="H13" s="10">
        <f>SUMIF(adj!$C$200:$C$275,$A13,adj!H$200:H$275)</f>
        <v>0</v>
      </c>
      <c r="J13" s="62"/>
      <c r="L13" s="62"/>
      <c r="N13">
        <f>SUMIF(adj!$C$3:$C$275,$A13,adj!E$3:E$275)</f>
        <v>0</v>
      </c>
    </row>
    <row r="14" spans="1:14" ht="11.25">
      <c r="A14" s="519">
        <v>10</v>
      </c>
      <c r="B14" t="str">
        <f>DataNameProd1 &amp; " Admin Costs"</f>
        <v>Consulting Admin Costs</v>
      </c>
      <c r="C14" t="s">
        <v>2030</v>
      </c>
      <c r="D14" s="11">
        <v>3000000</v>
      </c>
      <c r="E14" s="11">
        <f>$D14*(1+L14+N14*($C14="R"))+J14+N14*($C14="A")</f>
        <v>6000000</v>
      </c>
      <c r="F14" t="s">
        <v>1775</v>
      </c>
      <c r="G14">
        <f>COUNTIF(adj!$C$200:$C$275,$A14)</f>
        <v>1</v>
      </c>
      <c r="H14" s="10">
        <f>SUMIF(adj!$C$200:$C$275,$A14,adj!H$200:H$275)</f>
        <v>0.02</v>
      </c>
      <c r="J14" s="62"/>
      <c r="L14" s="62"/>
      <c r="N14">
        <f>SUMIF(adj!$C$3:$C$275,$A14,adj!E$3:E$275)</f>
        <v>1</v>
      </c>
    </row>
    <row r="15" spans="1:14" ht="12" customHeight="1">
      <c r="A15" s="519">
        <v>11</v>
      </c>
      <c r="B15" t="str">
        <f>DataNameProd1 &amp; " Other Costs"</f>
        <v>Consulting Other Costs</v>
      </c>
      <c r="C15" t="s">
        <v>2030</v>
      </c>
      <c r="D15" s="11">
        <v>0</v>
      </c>
      <c r="E15" s="11">
        <f>$D15*(1+L15+N15*($C15="R"))+J15+N15*($C15="A")</f>
        <v>0</v>
      </c>
      <c r="F15" t="s">
        <v>80</v>
      </c>
      <c r="G15">
        <f>COUNTIF(adj!$C$200:$C$275,$A15)</f>
        <v>0</v>
      </c>
      <c r="H15" s="10">
        <f>SUMIF(adj!$C$200:$C$275,$A15,adj!H$200:H$275)</f>
        <v>0</v>
      </c>
      <c r="J15" s="62"/>
      <c r="L15" s="62"/>
      <c r="N15">
        <f>SUMIF(adj!$C$3:$C$275,$A15,adj!E$3:E$275)</f>
        <v>0</v>
      </c>
    </row>
    <row r="16" spans="1:14" ht="12" customHeight="1">
      <c r="A16" s="519">
        <v>12</v>
      </c>
      <c r="B16" t="s">
        <v>3371</v>
      </c>
      <c r="C16" t="s">
        <v>2030</v>
      </c>
      <c r="D16" s="432">
        <v>0.45</v>
      </c>
      <c r="E16" s="432">
        <f>$D16*(1+L16+N16*($C16="R"))+J16+N16*($C16="A")</f>
        <v>0.45</v>
      </c>
      <c r="F16" t="s">
        <v>3370</v>
      </c>
      <c r="G16">
        <f>COUNTIF(adj!$C$200:$C$275,$A16)</f>
        <v>1</v>
      </c>
      <c r="H16" s="10">
        <f>SUMIF(adj!$C$200:$C$275,$A16,adj!H$200:H$275)</f>
        <v>0.03</v>
      </c>
      <c r="J16" s="62"/>
      <c r="L16" s="62"/>
      <c r="N16">
        <f>SUMIF(adj!$C$3:$C$275,$A16,adj!E$3:E$275)</f>
        <v>0</v>
      </c>
    </row>
    <row r="17" spans="1:14" s="773" customFormat="1" ht="12" customHeight="1">
      <c r="A17" s="813">
        <v>13</v>
      </c>
      <c r="B17" s="816" t="s">
        <v>4601</v>
      </c>
      <c r="C17" s="773" t="s">
        <v>4253</v>
      </c>
      <c r="D17" s="810">
        <v>1</v>
      </c>
      <c r="E17" s="810">
        <f>$D17*(1+L17+N17*($C17="R"))+J17+N17*($C17="A")</f>
        <v>1</v>
      </c>
      <c r="F17" s="773" t="s">
        <v>4611</v>
      </c>
      <c r="G17" s="773">
        <f>COUNTIF(adj!$C$200:$C$275,$A17)</f>
        <v>0</v>
      </c>
      <c r="H17" s="814">
        <f>SUMIF(adj!$C$200:$C$275,$A17,adj!H$200:H$275)</f>
        <v>0</v>
      </c>
      <c r="J17" s="815"/>
      <c r="L17" s="815"/>
      <c r="N17">
        <f>SUMIF(adj!$C$3:$C$275,$A17,adj!E$3:E$275)</f>
        <v>0</v>
      </c>
    </row>
    <row r="18" spans="1:14" ht="12" customHeight="1">
      <c r="A18" s="519">
        <v>14</v>
      </c>
      <c r="D18" s="11"/>
      <c r="E18" s="11"/>
      <c r="G18">
        <f>COUNTIF(adj!$C$200:$C$275,$A18)</f>
        <v>0</v>
      </c>
      <c r="H18" s="10">
        <f>SUMIF(adj!$C$200:$C$275,$A18,adj!H$200:H$275)</f>
        <v>0</v>
      </c>
      <c r="J18" s="62"/>
      <c r="L18" s="62"/>
      <c r="N18">
        <f>SUMIF(adj!$C$3:$C$275,$A18,adj!E$3:E$275)</f>
        <v>0</v>
      </c>
    </row>
    <row r="19" spans="1:14" ht="12" customHeight="1">
      <c r="A19" s="519">
        <v>15</v>
      </c>
      <c r="D19" s="11"/>
      <c r="E19" s="11"/>
      <c r="G19">
        <f>COUNTIF(adj!$C$200:$C$275,$A19)</f>
        <v>0</v>
      </c>
      <c r="H19" s="10">
        <f>SUMIF(adj!$C$200:$C$275,$A19,adj!H$200:H$275)</f>
        <v>0</v>
      </c>
      <c r="J19" s="62"/>
      <c r="L19" s="62"/>
      <c r="N19">
        <f>SUMIF(adj!$C$3:$C$275,$A19,adj!E$3:E$275)</f>
        <v>0</v>
      </c>
    </row>
    <row r="20" spans="1:14" ht="12" customHeight="1">
      <c r="A20" s="519">
        <v>16</v>
      </c>
      <c r="D20" s="11"/>
      <c r="E20" s="11"/>
      <c r="G20">
        <f>COUNTIF(adj!$C$200:$C$275,$A20)</f>
        <v>0</v>
      </c>
      <c r="H20" s="10">
        <f>SUMIF(adj!$C$200:$C$275,$A20,adj!H$200:H$275)</f>
        <v>0</v>
      </c>
      <c r="J20" s="62"/>
      <c r="L20" s="62"/>
      <c r="N20">
        <f>SUMIF(adj!$C$3:$C$275,$A20,adj!E$3:E$275)</f>
        <v>0</v>
      </c>
    </row>
    <row r="21" spans="1:14" ht="12" customHeight="1">
      <c r="A21" s="519">
        <v>17</v>
      </c>
      <c r="D21" s="11"/>
      <c r="E21" s="11"/>
      <c r="G21">
        <f>COUNTIF(adj!$C$200:$C$275,$A21)</f>
        <v>0</v>
      </c>
      <c r="H21" s="10">
        <f>SUMIF(adj!$C$200:$C$275,$A21,adj!H$200:H$275)</f>
        <v>0</v>
      </c>
      <c r="J21" s="62"/>
      <c r="L21" s="62"/>
      <c r="N21">
        <f>SUMIF(adj!$C$3:$C$275,$A21,adj!E$3:E$275)</f>
        <v>0</v>
      </c>
    </row>
    <row r="22" spans="1:14" ht="11.25">
      <c r="A22" s="519">
        <v>18</v>
      </c>
      <c r="D22">
        <v>0</v>
      </c>
      <c r="E22">
        <f>$D22*(1+L22+N22*($C22="R"))+J22+N22*($C22="A")</f>
        <v>0</v>
      </c>
      <c r="G22">
        <f>COUNTIF(adj!$C$200:$C$275,$A22)</f>
        <v>0</v>
      </c>
      <c r="H22" s="10">
        <f>SUMIF(adj!$C$200:$C$275,$A22,adj!H$200:H$275)</f>
        <v>0</v>
      </c>
      <c r="J22" s="62"/>
      <c r="L22" s="62"/>
      <c r="N22">
        <f>SUMIF(adj!$C$3:$C$275,$A22,adj!E$3:E$275)</f>
        <v>0</v>
      </c>
    </row>
    <row r="23" spans="1:14" ht="10.5" customHeight="1">
      <c r="A23" s="519">
        <v>19</v>
      </c>
      <c r="B23" s="2" t="str">
        <f>DataNameProd2 &amp; " Paramaters"</f>
        <v>Industry 1 Paramaters</v>
      </c>
      <c r="D23" s="79"/>
      <c r="E23" s="2"/>
      <c r="G23">
        <f>COUNTIF(adj!$C$200:$C$275,$A23)</f>
        <v>0</v>
      </c>
      <c r="H23" s="10">
        <f>SUMIF(adj!$C$200:$C$275,$A23,adj!H$200:H$275)</f>
        <v>0</v>
      </c>
      <c r="J23" s="62"/>
      <c r="L23" s="62"/>
      <c r="N23">
        <f>SUMIF(adj!$C$3:$C$275,$A23,adj!E$3:E$275)</f>
        <v>0</v>
      </c>
    </row>
    <row r="24" spans="1:14" ht="10.5" customHeight="1">
      <c r="A24" s="519">
        <v>20</v>
      </c>
      <c r="B24" t="str">
        <f>DataNameProd2 &amp; " Cycle Time"</f>
        <v>Industry 1 Cycle Time</v>
      </c>
      <c r="C24" t="s">
        <v>4253</v>
      </c>
      <c r="D24">
        <v>30</v>
      </c>
      <c r="E24">
        <f>$D24*(1+L24+N24*($C24="R"))+J24+N24*($C24="A")</f>
        <v>30</v>
      </c>
      <c r="F24" t="s">
        <v>4451</v>
      </c>
      <c r="G24">
        <f>COUNTIF(adj!$C$200:$C$275,$A24)</f>
        <v>0</v>
      </c>
      <c r="H24" s="10">
        <f>SUMIF(adj!$C$200:$C$275,$A24,adj!H$200:H$275)</f>
        <v>0</v>
      </c>
      <c r="J24" s="62"/>
      <c r="L24" s="62"/>
      <c r="N24">
        <f>SUMIF(adj!$C$3:$C$275,$A24,adj!E$3:E$275)</f>
        <v>0</v>
      </c>
    </row>
    <row r="25" spans="1:14" ht="10.5" customHeight="1">
      <c r="A25" s="519">
        <v>21</v>
      </c>
      <c r="B25" t="str">
        <f>DataNameProd2 &amp; " Feature Material Cost Per Unit Per Level"</f>
        <v>Industry 1 Feature Material Cost Per Unit Per Level</v>
      </c>
      <c r="C25" t="s">
        <v>2030</v>
      </c>
      <c r="D25">
        <v>10</v>
      </c>
      <c r="E25">
        <f>$D25*(1+L25+N25*($C25="R"))+J25+N25*($C25="A")</f>
        <v>10</v>
      </c>
      <c r="F25" t="s">
        <v>2659</v>
      </c>
      <c r="G25">
        <f>COUNTIF(adj!$C$200:$C$275,$A25)</f>
        <v>0</v>
      </c>
      <c r="H25" s="10">
        <f>SUMIF(adj!$C$200:$C$275,$A25,adj!H$200:H$275)</f>
        <v>0</v>
      </c>
      <c r="J25" s="62"/>
      <c r="L25" s="62"/>
      <c r="N25">
        <f>SUMIF(adj!$C$3:$C$275,$A25,adj!E$3:E$275)</f>
        <v>0</v>
      </c>
    </row>
    <row r="26" spans="1:14" ht="10.5" customHeight="1">
      <c r="A26" s="519">
        <v>22</v>
      </c>
      <c r="B26" t="str">
        <f>DataNameProd2 &amp; " Material Cost Per Unit"</f>
        <v>Industry 1 Material Cost Per Unit</v>
      </c>
      <c r="C26" t="s">
        <v>2030</v>
      </c>
      <c r="D26">
        <v>100</v>
      </c>
      <c r="E26">
        <f>$D26*(1+L26+N26*($C26="R"))+J26+N26*($C26="A")</f>
        <v>100</v>
      </c>
      <c r="F26" t="s">
        <v>2660</v>
      </c>
      <c r="G26">
        <f>COUNTIF(adj!$C$200:$C$275,$A26)</f>
        <v>0</v>
      </c>
      <c r="H26" s="10">
        <f>SUMIF(adj!$C$200:$C$275,$A26,adj!H$200:H$275)</f>
        <v>0</v>
      </c>
      <c r="J26" s="62"/>
      <c r="L26" s="62"/>
      <c r="N26">
        <f>SUMIF(adj!$C$3:$C$275,$A26,adj!E$3:E$275)</f>
        <v>0</v>
      </c>
    </row>
    <row r="27" spans="1:14" ht="10.5" customHeight="1">
      <c r="A27" s="519">
        <v>23</v>
      </c>
      <c r="B27" t="str">
        <f>DataNameProd2 &amp; " Materials Inventory As % of Production"</f>
        <v>Industry 1 Materials Inventory As % of Production</v>
      </c>
      <c r="C27" t="s">
        <v>2030</v>
      </c>
      <c r="D27" s="12">
        <v>0.1</v>
      </c>
      <c r="E27" s="12">
        <f>$D27*(1+L27+N27*($C27="R"))+J27+N27*($C27="A")</f>
        <v>0.1</v>
      </c>
      <c r="F27" t="s">
        <v>2661</v>
      </c>
      <c r="G27">
        <f>COUNTIF(adj!$C$200:$C$275,$A27)</f>
        <v>0</v>
      </c>
      <c r="H27" s="10">
        <f>SUMIF(adj!$C$200:$C$275,$A27,adj!H$200:H$275)</f>
        <v>0</v>
      </c>
      <c r="J27" s="62"/>
      <c r="L27" s="62"/>
      <c r="N27">
        <f>SUMIF(adj!$C$3:$C$275,$A27,adj!E$3:E$275)</f>
        <v>0</v>
      </c>
    </row>
    <row r="28" spans="1:14" ht="10.5" customHeight="1">
      <c r="A28" s="519">
        <v>24</v>
      </c>
      <c r="B28" t="str">
        <f>DataNameProd2 &amp; " Labor Hours Req. Per Unit"</f>
        <v>Industry 1 Labor Hours Req. Per Unit</v>
      </c>
      <c r="C28" t="s">
        <v>2030</v>
      </c>
      <c r="D28">
        <v>300</v>
      </c>
      <c r="E28">
        <f>$D28*(1+L28+N28*($C28="R"))+J28+N28*($C28="A")</f>
        <v>300</v>
      </c>
      <c r="F28" t="s">
        <v>2662</v>
      </c>
      <c r="G28">
        <f>COUNTIF(adj!$C$200:$C$275,$A28)</f>
        <v>0</v>
      </c>
      <c r="H28" s="10">
        <f>SUMIF(adj!$C$200:$C$275,$A28,adj!H$200:H$275)</f>
        <v>0</v>
      </c>
      <c r="J28" s="62"/>
      <c r="L28" s="62"/>
      <c r="N28">
        <f>SUMIF(adj!$C$3:$C$275,$A28,adj!E$3:E$275)</f>
        <v>0</v>
      </c>
    </row>
    <row r="29" spans="1:14" ht="10.5" customHeight="1">
      <c r="A29" s="519">
        <v>25</v>
      </c>
      <c r="B29" t="str">
        <f>DataNameProd2 &amp; " Machinery Hours Req. Per Unit"</f>
        <v>Industry 1 Machinery Hours Req. Per Unit</v>
      </c>
      <c r="C29" t="s">
        <v>2030</v>
      </c>
      <c r="D29">
        <v>300</v>
      </c>
      <c r="E29">
        <f>$D29*(1+L29+N29*($C29="R"))+J29+N29*($C29="A")</f>
        <v>300</v>
      </c>
      <c r="F29" t="s">
        <v>3176</v>
      </c>
      <c r="G29">
        <f>COUNTIF(adj!$C$200:$C$275,$A29)</f>
        <v>0</v>
      </c>
      <c r="H29" s="10">
        <f>SUMIF(adj!$C$200:$C$275,$A29,adj!H$200:H$275)</f>
        <v>0</v>
      </c>
      <c r="J29" s="62"/>
      <c r="L29" s="62"/>
      <c r="N29">
        <f>SUMIF(adj!$C$3:$C$275,$A29,adj!E$3:E$275)</f>
        <v>0</v>
      </c>
    </row>
    <row r="30" spans="1:14" ht="10.5" customHeight="1">
      <c r="A30" s="519">
        <v>26</v>
      </c>
      <c r="B30" t="str">
        <f>DataNameProd2 &amp; " Engineers Required"</f>
        <v>Industry 1 Engineers Required</v>
      </c>
      <c r="C30" t="s">
        <v>2030</v>
      </c>
      <c r="D30">
        <v>50</v>
      </c>
      <c r="E30">
        <f>$D30*(1+L30+N30*($C30="R"))+J30+N30*($C30="A")</f>
        <v>50</v>
      </c>
      <c r="F30" t="s">
        <v>3177</v>
      </c>
      <c r="G30">
        <f>COUNTIF(adj!$C$200:$C$275,$A30)</f>
        <v>0</v>
      </c>
      <c r="H30" s="10">
        <f>SUMIF(adj!$C$200:$C$275,$A30,adj!H$200:H$275)</f>
        <v>0</v>
      </c>
      <c r="J30" s="62"/>
      <c r="L30" s="62"/>
      <c r="N30">
        <f>SUMIF(adj!$C$3:$C$275,$A30,adj!E$3:E$275)</f>
        <v>0</v>
      </c>
    </row>
    <row r="31" spans="1:14" ht="10.5" customHeight="1">
      <c r="A31" s="519">
        <v>27</v>
      </c>
      <c r="B31" t="str">
        <f>DataNameProd2 &amp; " Inventory Handling % of Closing Value"</f>
        <v>Industry 1 Inventory Handling % of Closing Value</v>
      </c>
      <c r="C31" t="s">
        <v>2030</v>
      </c>
      <c r="D31" s="12">
        <v>0.1</v>
      </c>
      <c r="E31" s="12">
        <f>$D31*(1+L31+N31*($C31="R"))+J31+N31*($C31="A")</f>
        <v>0.1</v>
      </c>
      <c r="F31" t="s">
        <v>3968</v>
      </c>
      <c r="G31">
        <f>COUNTIF(adj!$C$200:$C$275,$A31)</f>
        <v>0</v>
      </c>
      <c r="H31" s="10">
        <f>SUMIF(adj!$C$200:$C$275,$A31,adj!H$200:H$275)</f>
        <v>0</v>
      </c>
      <c r="J31" s="62"/>
      <c r="L31" s="62"/>
      <c r="N31">
        <f>SUMIF(adj!$C$3:$C$275,$A31,adj!E$3:E$275)</f>
        <v>0</v>
      </c>
    </row>
    <row r="32" spans="1:14" ht="10.5" customHeight="1">
      <c r="A32" s="519">
        <v>28</v>
      </c>
      <c r="B32" t="str">
        <f>DataNameProd2 &amp; " Distribution Costs"</f>
        <v>Industry 1 Distribution Costs</v>
      </c>
      <c r="C32" t="s">
        <v>2030</v>
      </c>
      <c r="D32" s="10">
        <v>100</v>
      </c>
      <c r="E32" s="10">
        <f>$D32*(1+L32+N32*($C32="R"))+J32+N32*($C32="A")</f>
        <v>100</v>
      </c>
      <c r="F32" t="s">
        <v>3969</v>
      </c>
      <c r="G32">
        <f>COUNTIF(adj!$C$200:$C$275,$A32)</f>
        <v>0</v>
      </c>
      <c r="H32" s="10">
        <f>SUMIF(adj!$C$200:$C$275,$A32,adj!H$200:H$275)</f>
        <v>0</v>
      </c>
      <c r="J32" s="62"/>
      <c r="L32" s="62"/>
      <c r="N32">
        <f>SUMIF(adj!$C$3:$C$275,$A32,adj!E$3:E$275)</f>
        <v>0</v>
      </c>
    </row>
    <row r="33" spans="1:14" ht="10.5" customHeight="1">
      <c r="A33" s="519">
        <v>29</v>
      </c>
      <c r="B33" t="str">
        <f>DataNameProd2 &amp; " Admin Costs"</f>
        <v>Industry 1 Admin Costs</v>
      </c>
      <c r="C33" t="s">
        <v>2030</v>
      </c>
      <c r="D33" s="11">
        <v>1000000</v>
      </c>
      <c r="E33" s="11">
        <f>$D33*(1+L33+N33*($C33="R"))+J33+N33*($C33="A")</f>
        <v>1000000</v>
      </c>
      <c r="F33" t="s">
        <v>3970</v>
      </c>
      <c r="G33">
        <f>COUNTIF(adj!$C$200:$C$275,$A33)</f>
        <v>0</v>
      </c>
      <c r="H33" s="10">
        <f>SUMIF(adj!$C$200:$C$275,$A33,adj!H$200:H$275)</f>
        <v>0</v>
      </c>
      <c r="J33" s="62"/>
      <c r="L33" s="62"/>
      <c r="N33">
        <f>SUMIF(adj!$C$3:$C$275,$A33,adj!E$3:E$275)</f>
        <v>0</v>
      </c>
    </row>
    <row r="34" spans="1:14" ht="10.5" customHeight="1">
      <c r="A34" s="519">
        <v>30</v>
      </c>
      <c r="B34" t="str">
        <f>DataNameProd2 &amp; " Other Costs"</f>
        <v>Industry 1 Other Costs</v>
      </c>
      <c r="C34" t="s">
        <v>2030</v>
      </c>
      <c r="D34" s="11">
        <v>1000000</v>
      </c>
      <c r="E34" s="11">
        <f>$D34*(1+L34+N34*($C34="R"))+J34+N34*($C34="A")</f>
        <v>1000000</v>
      </c>
      <c r="F34" t="s">
        <v>3971</v>
      </c>
      <c r="G34">
        <f>COUNTIF(adj!$C$200:$C$275,$A34)</f>
        <v>0</v>
      </c>
      <c r="H34" s="10">
        <f>SUMIF(adj!$C$200:$C$275,$A34,adj!H$200:H$275)</f>
        <v>0</v>
      </c>
      <c r="J34" s="62"/>
      <c r="L34" s="62"/>
      <c r="N34">
        <f>SUMIF(adj!$C$3:$C$275,$A34,adj!E$3:E$275)</f>
        <v>0</v>
      </c>
    </row>
    <row r="35" spans="1:14" ht="10.5" customHeight="1">
      <c r="A35" s="519">
        <v>31</v>
      </c>
      <c r="B35" t="str">
        <f>DataNameProd2 &amp; " % Cost reduc. Per Vert Comp Level"</f>
        <v>Industry 1 % Cost reduc. Per Vert Comp Level</v>
      </c>
      <c r="C35" t="s">
        <v>2030</v>
      </c>
      <c r="D35" s="375">
        <v>1.5E-3</v>
      </c>
      <c r="E35" s="375">
        <f>$D35*(1+L35+N35*($C35="R"))+J35+N35*($C35="A")</f>
        <v>1.5E-3</v>
      </c>
      <c r="F35" t="s">
        <v>4254</v>
      </c>
      <c r="G35">
        <f>COUNTIF(adj!$C$200:$C$275,$A35)</f>
        <v>0</v>
      </c>
      <c r="H35" s="10">
        <f>SUMIF(adj!$C$200:$C$275,$A35,adj!H$200:H$275)</f>
        <v>0</v>
      </c>
      <c r="J35" s="62"/>
      <c r="L35" s="62"/>
      <c r="N35">
        <f>SUMIF(adj!$C$3:$C$275,$A35,adj!E$3:E$275)</f>
        <v>0</v>
      </c>
    </row>
    <row r="36" spans="1:14" ht="10.5" customHeight="1">
      <c r="A36" s="519">
        <v>32</v>
      </c>
      <c r="B36" t="str">
        <f>DataNameProd2 &amp; " Base Revenue"</f>
        <v>Industry 1 Base Revenue</v>
      </c>
      <c r="C36" t="s">
        <v>4253</v>
      </c>
      <c r="D36" s="311">
        <v>58240000.000000007</v>
      </c>
      <c r="E36" s="311">
        <f>$D36*(1+L36+N36*($C36="R"))+J36+N36*($C36="A")</f>
        <v>58240000.000000007</v>
      </c>
      <c r="F36" t="s">
        <v>2818</v>
      </c>
      <c r="G36">
        <f>COUNTIF(adj!$C$200:$C$275,$A36)</f>
        <v>0</v>
      </c>
      <c r="H36" s="10">
        <f>SUMIF(adj!$C$200:$C$275,$A36,adj!H$200:H$275)</f>
        <v>0</v>
      </c>
      <c r="J36" s="62"/>
      <c r="L36" s="62"/>
      <c r="N36">
        <f>SUMIF(adj!$C$3:$C$275,$A36,adj!E$3:E$275)</f>
        <v>0</v>
      </c>
    </row>
    <row r="37" spans="1:14" ht="10.5" customHeight="1">
      <c r="A37" s="519">
        <v>33</v>
      </c>
      <c r="B37" t="str">
        <f>DataNameProd2&amp;" Base COS"</f>
        <v>Industry 1 Base COS</v>
      </c>
      <c r="C37" t="s">
        <v>4253</v>
      </c>
      <c r="D37" s="311">
        <v>46480000.000000007</v>
      </c>
      <c r="E37" s="311">
        <f>$D37*(1+L37+N37*($C37="R"))+J37+N37*($C37="A")</f>
        <v>46480000.000000007</v>
      </c>
      <c r="F37" t="s">
        <v>445</v>
      </c>
      <c r="G37">
        <f>COUNTIF(adj!$C$200:$C$275,$A37)</f>
        <v>0</v>
      </c>
      <c r="H37" s="10">
        <f>SUMIF(adj!$C$200:$C$275,$A37,adj!H$200:H$275)</f>
        <v>0</v>
      </c>
      <c r="J37" s="62"/>
      <c r="L37" s="62"/>
      <c r="N37">
        <f>SUMIF(adj!$C$3:$C$275,$A37,adj!E$3:E$275)</f>
        <v>0</v>
      </c>
    </row>
    <row r="38" spans="1:14" ht="10.5" customHeight="1">
      <c r="A38" s="519">
        <v>34</v>
      </c>
      <c r="D38" s="15"/>
      <c r="E38" s="15"/>
      <c r="G38">
        <f>COUNTIF(adj!$C$200:$C$275,$A38)</f>
        <v>0</v>
      </c>
      <c r="H38" s="10">
        <f>SUMIF(adj!$C$200:$C$275,$A38,adj!H$200:H$275)</f>
        <v>0</v>
      </c>
      <c r="J38" s="62"/>
      <c r="L38" s="62"/>
      <c r="N38">
        <f>SUMIF(adj!$C$3:$C$275,$A38,adj!E$3:E$275)</f>
        <v>0</v>
      </c>
    </row>
    <row r="39" spans="1:14" ht="10.5" customHeight="1">
      <c r="A39" s="519">
        <v>35</v>
      </c>
      <c r="D39" s="15"/>
      <c r="E39" s="311"/>
      <c r="G39">
        <f>COUNTIF(adj!$C$200:$C$275,$A39)</f>
        <v>0</v>
      </c>
      <c r="H39" s="10">
        <f>SUMIF(adj!$C$200:$C$275,$A39,adj!H$200:H$275)</f>
        <v>0</v>
      </c>
      <c r="J39" s="62"/>
      <c r="L39" s="62"/>
      <c r="N39">
        <f>SUMIF(adj!$C$3:$C$275,$A39,adj!E$3:E$275)</f>
        <v>0</v>
      </c>
    </row>
    <row r="40" spans="1:14" ht="10.5" customHeight="1">
      <c r="A40" s="519">
        <v>36</v>
      </c>
      <c r="D40" s="15"/>
      <c r="E40" s="311"/>
      <c r="G40">
        <f>COUNTIF(adj!$C$200:$C$275,$A40)</f>
        <v>0</v>
      </c>
      <c r="H40" s="10">
        <f>SUMIF(adj!$C$200:$C$275,$A40,adj!H$200:H$275)</f>
        <v>0</v>
      </c>
      <c r="J40" s="62"/>
      <c r="L40" s="62"/>
      <c r="N40">
        <f>SUMIF(adj!$C$3:$C$275,$A40,adj!E$3:E$275)</f>
        <v>0</v>
      </c>
    </row>
    <row r="41" spans="1:14" ht="10.5" customHeight="1">
      <c r="A41" s="519">
        <v>37</v>
      </c>
      <c r="D41" s="15"/>
      <c r="E41" s="311"/>
      <c r="G41">
        <f>COUNTIF(adj!$C$200:$C$275,$A41)</f>
        <v>0</v>
      </c>
      <c r="H41" s="10">
        <f>SUMIF(adj!$C$200:$C$275,$A41,adj!H$200:H$275)</f>
        <v>0</v>
      </c>
      <c r="J41" s="62"/>
      <c r="L41" s="62"/>
      <c r="N41">
        <f>SUMIF(adj!$C$3:$C$275,$A41,adj!E$3:E$275)</f>
        <v>0</v>
      </c>
    </row>
    <row r="42" spans="1:14" ht="10.5" customHeight="1">
      <c r="A42" s="519">
        <v>38</v>
      </c>
      <c r="D42" s="15"/>
      <c r="E42" s="311"/>
      <c r="G42">
        <f>COUNTIF(adj!$C$200:$C$275,$A42)</f>
        <v>0</v>
      </c>
      <c r="H42" s="10">
        <f>SUMIF(adj!$C$200:$C$275,$A42,adj!H$200:H$275)</f>
        <v>0</v>
      </c>
      <c r="J42" s="62"/>
      <c r="L42" s="62"/>
      <c r="N42">
        <f>SUMIF(adj!$C$3:$C$275,$A42,adj!E$3:E$275)</f>
        <v>0</v>
      </c>
    </row>
    <row r="43" spans="1:14" ht="10.5" customHeight="1">
      <c r="A43" s="519">
        <v>39</v>
      </c>
      <c r="D43" s="15"/>
      <c r="E43" s="311"/>
      <c r="G43">
        <f>COUNTIF(adj!$C$200:$C$275,$A43)</f>
        <v>0</v>
      </c>
      <c r="H43" s="10">
        <f>SUMIF(adj!$C$200:$C$275,$A43,adj!H$200:H$275)</f>
        <v>0</v>
      </c>
      <c r="J43" s="62"/>
      <c r="L43" s="62"/>
      <c r="N43">
        <f>SUMIF(adj!$C$3:$C$275,$A43,adj!E$3:E$275)</f>
        <v>0</v>
      </c>
    </row>
    <row r="44" spans="1:14" ht="10.5" customHeight="1">
      <c r="A44" s="519">
        <v>40</v>
      </c>
      <c r="B44" s="2" t="str">
        <f>DataNameProd3 &amp; " Paramaters"</f>
        <v>Industry 2 Paramaters</v>
      </c>
      <c r="D44" s="79"/>
      <c r="E44" s="2"/>
      <c r="G44">
        <f>COUNTIF(adj!$C$200:$C$275,$A44)</f>
        <v>0</v>
      </c>
      <c r="H44" s="10">
        <f>SUMIF(adj!$C$200:$C$275,$A44,adj!H$200:H$275)</f>
        <v>0</v>
      </c>
      <c r="J44" s="62"/>
      <c r="L44" s="62"/>
      <c r="N44">
        <f>SUMIF(adj!$C$3:$C$275,$A44,adj!E$3:E$275)</f>
        <v>0</v>
      </c>
    </row>
    <row r="45" spans="1:14" ht="10.5" customHeight="1">
      <c r="A45" s="519">
        <v>41</v>
      </c>
      <c r="B45" t="str">
        <f>DataNameProd3 &amp; " Cycle Time"</f>
        <v>Industry 2 Cycle Time</v>
      </c>
      <c r="C45" t="s">
        <v>4253</v>
      </c>
      <c r="D45">
        <v>30</v>
      </c>
      <c r="E45">
        <f>$D45*(1+L45+N45*($C45="R"))+J45+N45*($C45="A")</f>
        <v>30</v>
      </c>
      <c r="F45" t="s">
        <v>2846</v>
      </c>
      <c r="G45">
        <f>COUNTIF(adj!$C$200:$C$275,$A45)</f>
        <v>0</v>
      </c>
      <c r="H45" s="10">
        <f>SUMIF(adj!$C$200:$C$275,$A45,adj!H$200:H$275)</f>
        <v>0</v>
      </c>
      <c r="J45" s="62"/>
      <c r="L45" s="62"/>
      <c r="N45">
        <f>SUMIF(adj!$C$3:$C$275,$A45,adj!E$3:E$275)</f>
        <v>0</v>
      </c>
    </row>
    <row r="46" spans="1:14" ht="10.5" customHeight="1">
      <c r="A46" s="519">
        <v>42</v>
      </c>
      <c r="B46" t="str">
        <f>DataNameProd3 &amp; " Feature Material Cost Per Unit Per Level"</f>
        <v>Industry 2 Feature Material Cost Per Unit Per Level</v>
      </c>
      <c r="C46" t="s">
        <v>2030</v>
      </c>
      <c r="D46">
        <v>10</v>
      </c>
      <c r="E46">
        <f>$D46*(1+L46+N46*($C46="R"))+J46+N46*($C46="A")</f>
        <v>10</v>
      </c>
      <c r="F46" t="s">
        <v>2847</v>
      </c>
      <c r="G46">
        <f>COUNTIF(adj!$C$200:$C$275,$A46)</f>
        <v>0</v>
      </c>
      <c r="H46" s="10">
        <f>SUMIF(adj!$C$200:$C$275,$A46,adj!H$200:H$275)</f>
        <v>0</v>
      </c>
      <c r="J46" s="62"/>
      <c r="L46" s="62"/>
      <c r="N46">
        <f>SUMIF(adj!$C$3:$C$275,$A46,adj!E$3:E$275)</f>
        <v>0</v>
      </c>
    </row>
    <row r="47" spans="1:14" ht="10.5" customHeight="1">
      <c r="A47" s="519">
        <v>43</v>
      </c>
      <c r="B47" t="str">
        <f>DataNameProd3 &amp; " Material Cost Per Unit"</f>
        <v>Industry 2 Material Cost Per Unit</v>
      </c>
      <c r="C47" t="s">
        <v>2030</v>
      </c>
      <c r="D47">
        <v>8</v>
      </c>
      <c r="E47">
        <f>$D47*(1+L47+N47*($C47="R"))+J47+N47*($C47="A")</f>
        <v>8</v>
      </c>
      <c r="F47" t="s">
        <v>2848</v>
      </c>
      <c r="G47">
        <f>COUNTIF(adj!$C$200:$C$275,$A47)</f>
        <v>0</v>
      </c>
      <c r="H47" s="10">
        <f>SUMIF(adj!$C$200:$C$275,$A47,adj!H$200:H$275)</f>
        <v>0</v>
      </c>
      <c r="J47" s="62"/>
      <c r="L47" s="62"/>
      <c r="N47">
        <f>SUMIF(adj!$C$3:$C$275,$A47,adj!E$3:E$275)</f>
        <v>0</v>
      </c>
    </row>
    <row r="48" spans="1:14" ht="10.5" customHeight="1">
      <c r="A48" s="519">
        <v>44</v>
      </c>
      <c r="B48" t="str">
        <f>DataNameProd3 &amp; " Materials Inventory As % of Production"</f>
        <v>Industry 2 Materials Inventory As % of Production</v>
      </c>
      <c r="C48" t="s">
        <v>2030</v>
      </c>
      <c r="D48" s="143">
        <v>5.0000000000000001E-3</v>
      </c>
      <c r="E48" s="12">
        <f>$D48*(1+L48+N48*($C48="R"))+J48+N48*($C48="A")</f>
        <v>5.0000000000000001E-3</v>
      </c>
      <c r="F48" t="s">
        <v>2849</v>
      </c>
      <c r="G48">
        <f>COUNTIF(adj!$C$200:$C$275,$A48)</f>
        <v>0</v>
      </c>
      <c r="H48" s="10">
        <f>SUMIF(adj!$C$200:$C$275,$A48,adj!H$200:H$275)</f>
        <v>0</v>
      </c>
      <c r="J48" s="62"/>
      <c r="L48" s="62"/>
      <c r="N48">
        <f>SUMIF(adj!$C$3:$C$275,$A48,adj!E$3:E$275)</f>
        <v>0</v>
      </c>
    </row>
    <row r="49" spans="1:14" ht="10.5" customHeight="1">
      <c r="A49" s="519">
        <v>45</v>
      </c>
      <c r="B49" t="str">
        <f>DataNameProd3 &amp; " Labor Hours Req. Per Unit"</f>
        <v>Industry 2 Labor Hours Req. Per Unit</v>
      </c>
      <c r="C49" t="s">
        <v>2030</v>
      </c>
      <c r="D49">
        <v>2</v>
      </c>
      <c r="E49">
        <f>$D49*(1+L49+N49*($C49="R"))+J49+N49*($C49="A")</f>
        <v>2</v>
      </c>
      <c r="F49" t="s">
        <v>2850</v>
      </c>
      <c r="G49">
        <f>COUNTIF(adj!$C$200:$C$275,$A49)</f>
        <v>0</v>
      </c>
      <c r="H49" s="10">
        <f>SUMIF(adj!$C$200:$C$275,$A49,adj!H$200:H$275)</f>
        <v>0</v>
      </c>
      <c r="J49" s="62"/>
      <c r="L49" s="62"/>
      <c r="N49">
        <f>SUMIF(adj!$C$3:$C$275,$A49,adj!E$3:E$275)</f>
        <v>0</v>
      </c>
    </row>
    <row r="50" spans="1:14" ht="10.5" customHeight="1">
      <c r="A50" s="519">
        <v>46</v>
      </c>
      <c r="B50" t="str">
        <f>DataNameProd3 &amp; " Machinery Hours Req. Per Unit"</f>
        <v>Industry 2 Machinery Hours Req. Per Unit</v>
      </c>
      <c r="C50" t="s">
        <v>2030</v>
      </c>
      <c r="D50">
        <v>1</v>
      </c>
      <c r="E50">
        <f>$D50*(1+L50+N50*($C50="R"))+J50+N50*($C50="A")</f>
        <v>1</v>
      </c>
      <c r="F50" t="s">
        <v>3548</v>
      </c>
      <c r="G50">
        <f>COUNTIF(adj!$C$200:$C$275,$A50)</f>
        <v>0</v>
      </c>
      <c r="H50" s="10">
        <f>SUMIF(adj!$C$200:$C$275,$A50,adj!H$200:H$275)</f>
        <v>0</v>
      </c>
      <c r="J50" s="62"/>
      <c r="L50" s="62"/>
      <c r="N50">
        <f>SUMIF(adj!$C$3:$C$275,$A50,adj!E$3:E$275)</f>
        <v>0</v>
      </c>
    </row>
    <row r="51" spans="1:14" ht="10.5" customHeight="1">
      <c r="A51" s="519">
        <v>47</v>
      </c>
      <c r="B51" t="str">
        <f>DataNameProd3 &amp; " Engineers Required"</f>
        <v>Industry 2 Engineers Required</v>
      </c>
      <c r="C51" t="s">
        <v>2030</v>
      </c>
      <c r="D51">
        <v>50</v>
      </c>
      <c r="E51">
        <f>$D51*(1+L51+N51*($C51="R"))+J51+N51*($C51="A")</f>
        <v>50</v>
      </c>
      <c r="F51" t="s">
        <v>3549</v>
      </c>
      <c r="G51">
        <f>COUNTIF(adj!$C$200:$C$275,$A51)</f>
        <v>0</v>
      </c>
      <c r="H51" s="10">
        <f>SUMIF(adj!$C$200:$C$275,$A51,adj!H$200:H$275)</f>
        <v>0</v>
      </c>
      <c r="J51" s="62"/>
      <c r="L51" s="62"/>
      <c r="N51">
        <f>SUMIF(adj!$C$3:$C$275,$A51,adj!E$3:E$275)</f>
        <v>0</v>
      </c>
    </row>
    <row r="52" spans="1:14" ht="10.5" customHeight="1">
      <c r="A52" s="519">
        <v>48</v>
      </c>
      <c r="B52" t="str">
        <f>DataNameProd3 &amp; " Inventory Handling % of Closing Value"</f>
        <v>Industry 2 Inventory Handling % of Closing Value</v>
      </c>
      <c r="C52" t="s">
        <v>2030</v>
      </c>
      <c r="D52" s="12">
        <v>0.1</v>
      </c>
      <c r="E52" s="12">
        <f>$D52*(1+L52+N52*($C52="R"))+J52+N52*($C52="A")</f>
        <v>0.1</v>
      </c>
      <c r="F52" t="s">
        <v>3550</v>
      </c>
      <c r="G52">
        <f>COUNTIF(adj!$C$200:$C$275,$A52)</f>
        <v>0</v>
      </c>
      <c r="H52" s="10">
        <f>SUMIF(adj!$C$200:$C$275,$A52,adj!H$200:H$275)</f>
        <v>0</v>
      </c>
      <c r="J52" s="62"/>
      <c r="L52" s="62"/>
      <c r="N52">
        <f>SUMIF(adj!$C$3:$C$275,$A52,adj!E$3:E$275)</f>
        <v>0</v>
      </c>
    </row>
    <row r="53" spans="1:14" ht="10.5" customHeight="1">
      <c r="A53" s="519">
        <v>49</v>
      </c>
      <c r="B53" t="str">
        <f>DataNameProd3 &amp; " Distribution Costs"</f>
        <v>Industry 2 Distribution Costs</v>
      </c>
      <c r="C53" t="s">
        <v>2030</v>
      </c>
      <c r="D53" s="10">
        <v>2</v>
      </c>
      <c r="E53" s="10">
        <f>$D53*(1+L53+N53*($C53="R"))+J53+N53*($C53="A")</f>
        <v>2</v>
      </c>
      <c r="F53" t="s">
        <v>3551</v>
      </c>
      <c r="G53">
        <f>COUNTIF(adj!$C$200:$C$275,$A53)</f>
        <v>0</v>
      </c>
      <c r="H53" s="10">
        <f>SUMIF(adj!$C$200:$C$275,$A53,adj!H$200:H$275)</f>
        <v>0</v>
      </c>
      <c r="J53" s="62"/>
      <c r="L53" s="62"/>
      <c r="N53">
        <f>SUMIF(adj!$C$3:$C$275,$A53,adj!E$3:E$275)</f>
        <v>0</v>
      </c>
    </row>
    <row r="54" spans="1:14" ht="10.5" customHeight="1">
      <c r="A54" s="519">
        <v>50</v>
      </c>
      <c r="B54" t="str">
        <f>DataNameProd3 &amp; " Admin Costs"</f>
        <v>Industry 2 Admin Costs</v>
      </c>
      <c r="C54" t="s">
        <v>2030</v>
      </c>
      <c r="D54" s="11">
        <v>1000000</v>
      </c>
      <c r="E54" s="11">
        <f>$D54*(1+L54+N54*($C54="R"))+J54+N54*($C54="A")</f>
        <v>1000000</v>
      </c>
      <c r="F54" t="s">
        <v>3908</v>
      </c>
      <c r="G54">
        <f>COUNTIF(adj!$C$200:$C$275,$A54)</f>
        <v>0</v>
      </c>
      <c r="H54" s="10">
        <f>SUMIF(adj!$C$200:$C$275,$A54,adj!H$200:H$275)</f>
        <v>0</v>
      </c>
      <c r="J54" s="62"/>
      <c r="L54" s="62"/>
      <c r="N54">
        <f>SUMIF(adj!$C$3:$C$275,$A54,adj!E$3:E$275)</f>
        <v>0</v>
      </c>
    </row>
    <row r="55" spans="1:14" ht="10.5" customHeight="1">
      <c r="A55" s="519">
        <v>51</v>
      </c>
      <c r="B55" t="str">
        <f>DataNameProd3 &amp; " Other Costs"</f>
        <v>Industry 2 Other Costs</v>
      </c>
      <c r="C55" t="s">
        <v>2030</v>
      </c>
      <c r="D55" s="11">
        <v>1000000</v>
      </c>
      <c r="E55" s="11">
        <f>$D55*(1+L55+N55*($C55="R"))+J55+N55*($C55="A")</f>
        <v>1000000</v>
      </c>
      <c r="F55" t="s">
        <v>3909</v>
      </c>
      <c r="G55">
        <f>COUNTIF(adj!$C$200:$C$275,$A55)</f>
        <v>0</v>
      </c>
      <c r="H55" s="10">
        <f>SUMIF(adj!$C$200:$C$275,$A55,adj!H$200:H$275)</f>
        <v>0</v>
      </c>
      <c r="J55" s="62"/>
      <c r="L55" s="62"/>
      <c r="N55">
        <f>SUMIF(adj!$C$3:$C$275,$A55,adj!E$3:E$275)</f>
        <v>0</v>
      </c>
    </row>
    <row r="56" spans="1:14" ht="10.5" customHeight="1">
      <c r="A56" s="519">
        <v>52</v>
      </c>
      <c r="B56" t="str">
        <f>DataNameProd3 &amp; " % Cost reduc. Per Vert Comp Level"</f>
        <v>Industry 2 % Cost reduc. Per Vert Comp Level</v>
      </c>
      <c r="C56" t="s">
        <v>2030</v>
      </c>
      <c r="D56" s="271">
        <v>1.5E-3</v>
      </c>
      <c r="E56" s="271">
        <f>$D56*(1+L56+N56*($C56="R"))+J56+N56*($C56="A")</f>
        <v>1.5E-3</v>
      </c>
      <c r="F56" t="s">
        <v>4255</v>
      </c>
      <c r="G56">
        <f>COUNTIF(adj!$C$200:$C$275,$A56)</f>
        <v>0</v>
      </c>
      <c r="H56" s="10">
        <f>SUMIF(adj!$C$200:$C$275,$A56,adj!H$200:H$275)</f>
        <v>0</v>
      </c>
      <c r="J56" s="62"/>
      <c r="L56" s="62"/>
      <c r="N56">
        <f>SUMIF(adj!$C$3:$C$275,$A56,adj!E$3:E$275)</f>
        <v>0</v>
      </c>
    </row>
    <row r="57" spans="1:14" ht="10.5" customHeight="1">
      <c r="A57" s="519">
        <v>53</v>
      </c>
      <c r="B57" t="str">
        <f>DataNameProd3 &amp; " Base Revenue"</f>
        <v>Industry 2 Base Revenue</v>
      </c>
      <c r="C57" t="s">
        <v>4253</v>
      </c>
      <c r="D57" s="311">
        <v>34720000</v>
      </c>
      <c r="E57" s="311">
        <f>$D57*(1+L57+N57*($C57="R"))+J57+N57*($C57="A")</f>
        <v>34720000</v>
      </c>
      <c r="F57" t="s">
        <v>421</v>
      </c>
      <c r="G57">
        <f>COUNTIF(adj!$C$200:$C$275,$A57)</f>
        <v>0</v>
      </c>
      <c r="H57" s="10">
        <f>SUMIF(adj!$C$200:$C$275,$A57,adj!H$200:H$275)</f>
        <v>0</v>
      </c>
      <c r="J57" s="62"/>
      <c r="L57" s="62"/>
      <c r="N57">
        <f>SUMIF(adj!$C$3:$C$275,$A57,adj!E$3:E$275)</f>
        <v>0</v>
      </c>
    </row>
    <row r="58" spans="1:14" ht="10.5" customHeight="1">
      <c r="A58" s="519">
        <v>54</v>
      </c>
      <c r="B58" t="str">
        <f>DataNameProd3&amp;" Base COS"</f>
        <v>Industry 2 Base COS</v>
      </c>
      <c r="C58" t="s">
        <v>4253</v>
      </c>
      <c r="D58" s="311">
        <v>26880000</v>
      </c>
      <c r="E58" s="311">
        <f>$D58*(1+L58+N58*($C58="R"))+J58+N58*($C58="A")</f>
        <v>26880000</v>
      </c>
      <c r="F58" t="s">
        <v>446</v>
      </c>
      <c r="G58">
        <f>COUNTIF(adj!$C$200:$C$275,$A58)</f>
        <v>0</v>
      </c>
      <c r="H58" s="10">
        <f>SUMIF(adj!$C$200:$C$275,$A58,adj!H$200:H$275)</f>
        <v>0</v>
      </c>
      <c r="J58" s="62"/>
      <c r="L58" s="62"/>
      <c r="N58">
        <f>SUMIF(adj!$C$3:$C$275,$A58,adj!E$3:E$275)</f>
        <v>0</v>
      </c>
    </row>
    <row r="59" spans="1:14" ht="10.5" customHeight="1">
      <c r="A59" s="519">
        <v>55</v>
      </c>
      <c r="D59" s="15"/>
      <c r="E59" s="15"/>
      <c r="G59">
        <f>COUNTIF(adj!$C$200:$C$275,$A59)</f>
        <v>0</v>
      </c>
      <c r="H59" s="10">
        <f>SUMIF(adj!$C$200:$C$275,$A59,adj!H$200:H$275)</f>
        <v>0</v>
      </c>
      <c r="J59" s="62"/>
      <c r="L59" s="62"/>
      <c r="N59">
        <f>SUMIF(adj!$C$3:$C$275,$A59,adj!E$3:E$275)</f>
        <v>0</v>
      </c>
    </row>
    <row r="60" spans="1:14" ht="10.5" customHeight="1">
      <c r="A60" s="519">
        <v>56</v>
      </c>
      <c r="D60" s="311"/>
      <c r="E60" s="311"/>
      <c r="G60">
        <f>COUNTIF(adj!$C$200:$C$275,$A60)</f>
        <v>0</v>
      </c>
      <c r="H60" s="10">
        <f>SUMIF(adj!$C$200:$C$275,$A60,adj!H$200:H$275)</f>
        <v>0</v>
      </c>
      <c r="J60" s="62"/>
      <c r="L60" s="62"/>
      <c r="N60">
        <f>SUMIF(adj!$C$3:$C$275,$A60,adj!E$3:E$275)</f>
        <v>0</v>
      </c>
    </row>
    <row r="61" spans="1:14" ht="10.5" customHeight="1">
      <c r="A61" s="519">
        <v>57</v>
      </c>
      <c r="D61" s="311"/>
      <c r="E61" s="311"/>
      <c r="G61">
        <f>COUNTIF(adj!$C$200:$C$275,$A61)</f>
        <v>0</v>
      </c>
      <c r="H61" s="10">
        <f>SUMIF(adj!$C$200:$C$275,$A61,adj!H$200:H$275)</f>
        <v>0</v>
      </c>
      <c r="J61" s="62"/>
      <c r="L61" s="62"/>
      <c r="N61">
        <f>SUMIF(adj!$C$3:$C$275,$A61,adj!E$3:E$275)</f>
        <v>0</v>
      </c>
    </row>
    <row r="62" spans="1:14" ht="10.5" customHeight="1">
      <c r="A62" s="519">
        <v>58</v>
      </c>
      <c r="D62" s="311"/>
      <c r="E62" s="311"/>
      <c r="G62">
        <f>COUNTIF(adj!$C$200:$C$275,$A62)</f>
        <v>0</v>
      </c>
      <c r="H62" s="10">
        <f>SUMIF(adj!$C$200:$C$275,$A62,adj!H$200:H$275)</f>
        <v>0</v>
      </c>
      <c r="J62" s="62"/>
      <c r="L62" s="62"/>
      <c r="N62">
        <f>SUMIF(adj!$C$3:$C$275,$A62,adj!E$3:E$275)</f>
        <v>0</v>
      </c>
    </row>
    <row r="63" spans="1:14" ht="10.5" customHeight="1">
      <c r="A63" s="519">
        <v>59</v>
      </c>
      <c r="D63" s="311"/>
      <c r="E63" s="311"/>
      <c r="G63">
        <f>COUNTIF(adj!$C$200:$C$275,$A63)</f>
        <v>0</v>
      </c>
      <c r="H63" s="10">
        <f>SUMIF(adj!$C$200:$C$275,$A63,adj!H$200:H$275)</f>
        <v>0</v>
      </c>
      <c r="J63" s="62"/>
      <c r="L63" s="62"/>
      <c r="N63">
        <f>SUMIF(adj!$C$3:$C$275,$A63,adj!E$3:E$275)</f>
        <v>0</v>
      </c>
    </row>
    <row r="64" spans="1:14" ht="10.5" customHeight="1">
      <c r="A64" s="519">
        <v>60</v>
      </c>
      <c r="D64" s="311"/>
      <c r="E64" s="311"/>
      <c r="G64">
        <f>COUNTIF(adj!$C$200:$C$275,$A64)</f>
        <v>0</v>
      </c>
      <c r="H64" s="10">
        <f>SUMIF(adj!$C$200:$C$275,$A64,adj!H$200:H$275)</f>
        <v>0</v>
      </c>
      <c r="J64" s="62"/>
      <c r="L64" s="62"/>
      <c r="N64">
        <f>SUMIF(adj!$C$3:$C$275,$A64,adj!E$3:E$275)</f>
        <v>0</v>
      </c>
    </row>
    <row r="65" spans="1:14" ht="10.5" customHeight="1">
      <c r="A65" s="519">
        <v>61</v>
      </c>
      <c r="D65" s="15">
        <f>(D57-D58)/D57</f>
        <v>0.22580645161290322</v>
      </c>
      <c r="E65" s="311"/>
      <c r="G65">
        <f>COUNTIF(adj!$C$200:$C$275,$A65)</f>
        <v>0</v>
      </c>
      <c r="H65" s="10">
        <f>SUMIF(adj!$C$200:$C$275,$A65,adj!H$200:H$275)</f>
        <v>0</v>
      </c>
      <c r="J65" s="62"/>
      <c r="L65" s="62"/>
      <c r="N65">
        <f>SUMIF(adj!$C$3:$C$275,$A65,adj!E$3:E$275)</f>
        <v>0</v>
      </c>
    </row>
    <row r="66" spans="1:14" ht="10.5" customHeight="1">
      <c r="A66" s="519">
        <v>62</v>
      </c>
      <c r="B66" s="2" t="str">
        <f>DataNameProd4 &amp; " Paramaters"</f>
        <v>Industry 3 Paramaters</v>
      </c>
      <c r="D66" s="79"/>
      <c r="E66" s="2"/>
      <c r="G66">
        <f>COUNTIF(adj!$C$200:$C$275,$A66)</f>
        <v>0</v>
      </c>
      <c r="H66" s="10">
        <f>SUMIF(adj!$C$200:$C$275,$A66,adj!H$200:H$275)</f>
        <v>0</v>
      </c>
      <c r="J66" s="62"/>
      <c r="L66" s="62"/>
      <c r="N66">
        <f>SUMIF(adj!$C$3:$C$275,$A66,adj!E$3:E$275)</f>
        <v>0</v>
      </c>
    </row>
    <row r="67" spans="1:14" ht="10.5" customHeight="1">
      <c r="A67" s="519">
        <v>63</v>
      </c>
      <c r="B67" t="str">
        <f>DataNameProd4 &amp; " Cycle Time"</f>
        <v>Industry 3 Cycle Time</v>
      </c>
      <c r="C67" t="s">
        <v>4253</v>
      </c>
      <c r="D67">
        <v>30</v>
      </c>
      <c r="E67">
        <f>$D67*(1+L67+N67*($C67="R"))+J67+N67*($C67="A")</f>
        <v>30</v>
      </c>
      <c r="F67" t="s">
        <v>3910</v>
      </c>
      <c r="G67">
        <f>COUNTIF(adj!$C$200:$C$275,$A67)</f>
        <v>0</v>
      </c>
      <c r="H67" s="10">
        <f>SUMIF(adj!$C$200:$C$275,$A67,adj!H$200:H$275)</f>
        <v>0</v>
      </c>
      <c r="J67" s="62"/>
      <c r="L67" s="62"/>
      <c r="N67">
        <f>SUMIF(adj!$C$3:$C$275,$A67,adj!E$3:E$275)</f>
        <v>0</v>
      </c>
    </row>
    <row r="68" spans="1:14" ht="10.5" customHeight="1">
      <c r="A68" s="519">
        <v>64</v>
      </c>
      <c r="B68" t="str">
        <f>DataNameProd4 &amp; " Feature Material Cost Per Unit Per Level"</f>
        <v>Industry 3 Feature Material Cost Per Unit Per Level</v>
      </c>
      <c r="C68" t="s">
        <v>2030</v>
      </c>
      <c r="D68">
        <v>10</v>
      </c>
      <c r="E68">
        <f>$D68*(1+L68+N68*($C68="R"))+J68+N68*($C68="A")</f>
        <v>10</v>
      </c>
      <c r="F68" t="s">
        <v>3059</v>
      </c>
      <c r="G68">
        <f>COUNTIF(adj!$C$200:$C$275,$A68)</f>
        <v>0</v>
      </c>
      <c r="H68" s="10">
        <f>SUMIF(adj!$C$200:$C$275,$A68,adj!H$200:H$275)</f>
        <v>0</v>
      </c>
      <c r="J68" s="62"/>
      <c r="L68" s="62"/>
      <c r="N68">
        <f>SUMIF(adj!$C$3:$C$275,$A68,adj!E$3:E$275)</f>
        <v>0</v>
      </c>
    </row>
    <row r="69" spans="1:14" ht="10.5" customHeight="1">
      <c r="A69" s="519">
        <v>65</v>
      </c>
      <c r="B69" t="str">
        <f>DataNameProd4 &amp; " Material Cost Per Unit"</f>
        <v>Industry 3 Material Cost Per Unit</v>
      </c>
      <c r="C69" t="s">
        <v>2030</v>
      </c>
      <c r="D69">
        <v>100</v>
      </c>
      <c r="E69">
        <f>$D69*(1+L69+N69*($C69="R"))+J69+N69*($C69="A")</f>
        <v>100</v>
      </c>
      <c r="F69" t="s">
        <v>3060</v>
      </c>
      <c r="G69">
        <f>COUNTIF(adj!$C$200:$C$275,$A69)</f>
        <v>0</v>
      </c>
      <c r="H69" s="10">
        <f>SUMIF(adj!$C$200:$C$275,$A69,adj!H$200:H$275)</f>
        <v>0</v>
      </c>
      <c r="J69" s="62"/>
      <c r="L69" s="62"/>
      <c r="N69">
        <f>SUMIF(adj!$C$3:$C$275,$A69,adj!E$3:E$275)</f>
        <v>0</v>
      </c>
    </row>
    <row r="70" spans="1:14" ht="10.5" customHeight="1">
      <c r="A70" s="519">
        <v>66</v>
      </c>
      <c r="B70" t="str">
        <f>DataNameProd4 &amp; " Materials Inventory As % of Production"</f>
        <v>Industry 3 Materials Inventory As % of Production</v>
      </c>
      <c r="C70" t="s">
        <v>2030</v>
      </c>
      <c r="D70" s="12">
        <v>0.1</v>
      </c>
      <c r="E70" s="12">
        <f>$D70*(1+L70+N70*($C70="R"))+J70+N70*($C70="A")</f>
        <v>0.1</v>
      </c>
      <c r="F70" t="s">
        <v>3061</v>
      </c>
      <c r="G70">
        <f>COUNTIF(adj!$C$200:$C$275,$A70)</f>
        <v>0</v>
      </c>
      <c r="H70" s="10">
        <f>SUMIF(adj!$C$200:$C$275,$A70,adj!H$200:H$275)</f>
        <v>0</v>
      </c>
      <c r="J70" s="62"/>
      <c r="L70" s="62"/>
      <c r="N70">
        <f>SUMIF(adj!$C$3:$C$275,$A70,adj!E$3:E$275)</f>
        <v>0</v>
      </c>
    </row>
    <row r="71" spans="1:14" ht="10.5" customHeight="1">
      <c r="A71" s="519">
        <v>67</v>
      </c>
      <c r="B71" t="str">
        <f>DataNameProd4 &amp; " Labor Hours Req. Per Unit"</f>
        <v>Industry 3 Labor Hours Req. Per Unit</v>
      </c>
      <c r="C71" t="s">
        <v>2030</v>
      </c>
      <c r="D71">
        <v>15</v>
      </c>
      <c r="E71">
        <f>$D71*(1+L71+N71*($C71="R"))+J71+N71*($C71="A")</f>
        <v>15</v>
      </c>
      <c r="F71" t="s">
        <v>2161</v>
      </c>
      <c r="G71">
        <f>COUNTIF(adj!$C$200:$C$275,$A71)</f>
        <v>0</v>
      </c>
      <c r="H71" s="10">
        <f>SUMIF(adj!$C$200:$C$275,$A71,adj!H$200:H$275)</f>
        <v>0</v>
      </c>
      <c r="J71" s="62"/>
      <c r="L71" s="62"/>
      <c r="N71">
        <f>SUMIF(adj!$C$3:$C$275,$A71,adj!E$3:E$275)</f>
        <v>0</v>
      </c>
    </row>
    <row r="72" spans="1:14" ht="10.5" customHeight="1">
      <c r="A72" s="519">
        <v>68</v>
      </c>
      <c r="B72" t="str">
        <f>DataNameProd4 &amp; " Machinery Hours Req. Per Unit"</f>
        <v>Industry 3 Machinery Hours Req. Per Unit</v>
      </c>
      <c r="C72" t="s">
        <v>2030</v>
      </c>
      <c r="D72">
        <v>5</v>
      </c>
      <c r="E72">
        <f>$D72*(1+L72+N72*($C72="R"))+J72+N72*($C72="A")</f>
        <v>5</v>
      </c>
      <c r="F72" t="s">
        <v>2162</v>
      </c>
      <c r="G72">
        <f>COUNTIF(adj!$C$200:$C$275,$A72)</f>
        <v>0</v>
      </c>
      <c r="H72" s="10">
        <f>SUMIF(adj!$C$200:$C$275,$A72,adj!H$200:H$275)</f>
        <v>0</v>
      </c>
      <c r="J72" s="62"/>
      <c r="L72" s="62"/>
      <c r="N72">
        <f>SUMIF(adj!$C$3:$C$275,$A72,adj!E$3:E$275)</f>
        <v>0</v>
      </c>
    </row>
    <row r="73" spans="1:14" ht="10.5" customHeight="1">
      <c r="A73" s="519">
        <v>69</v>
      </c>
      <c r="B73" t="str">
        <f>DataNameProd4 &amp; " Engineers Required"</f>
        <v>Industry 3 Engineers Required</v>
      </c>
      <c r="C73" t="s">
        <v>2030</v>
      </c>
      <c r="D73">
        <v>50</v>
      </c>
      <c r="E73">
        <f>$D73*(1+L73+N73*($C73="R"))+J73+N73*($C73="A")</f>
        <v>50</v>
      </c>
      <c r="F73" t="s">
        <v>2163</v>
      </c>
      <c r="G73">
        <f>COUNTIF(adj!$C$200:$C$275,$A73)</f>
        <v>0</v>
      </c>
      <c r="H73" s="10">
        <f>SUMIF(adj!$C$200:$C$275,$A73,adj!H$200:H$275)</f>
        <v>0</v>
      </c>
      <c r="J73" s="62"/>
      <c r="L73" s="62"/>
      <c r="N73">
        <f>SUMIF(adj!$C$3:$C$275,$A73,adj!E$3:E$275)</f>
        <v>0</v>
      </c>
    </row>
    <row r="74" spans="1:14" ht="10.5" customHeight="1">
      <c r="A74" s="519">
        <v>70</v>
      </c>
      <c r="B74" t="str">
        <f>DataNameProd4 &amp; " Inventory Handling % of Closing Value"</f>
        <v>Industry 3 Inventory Handling % of Closing Value</v>
      </c>
      <c r="C74" t="s">
        <v>2030</v>
      </c>
      <c r="D74" s="12">
        <v>0.1</v>
      </c>
      <c r="E74" s="12">
        <f>$D74*(1+L74+N74*($C74="R"))+J74+N74*($C74="A")</f>
        <v>0.1</v>
      </c>
      <c r="F74" t="s">
        <v>4422</v>
      </c>
      <c r="G74">
        <f>COUNTIF(adj!$C$200:$C$275,$A74)</f>
        <v>0</v>
      </c>
      <c r="H74" s="10">
        <f>SUMIF(adj!$C$200:$C$275,$A74,adj!H$200:H$275)</f>
        <v>0</v>
      </c>
      <c r="J74" s="62"/>
      <c r="L74" s="62"/>
      <c r="N74">
        <f>SUMIF(adj!$C$3:$C$275,$A74,adj!E$3:E$275)</f>
        <v>0</v>
      </c>
    </row>
    <row r="75" spans="1:14" ht="10.5" customHeight="1">
      <c r="A75" s="519">
        <v>71</v>
      </c>
      <c r="B75" t="str">
        <f>DataNameProd4 &amp; " Distribution Costs"</f>
        <v>Industry 3 Distribution Costs</v>
      </c>
      <c r="C75" t="s">
        <v>2030</v>
      </c>
      <c r="D75" s="10">
        <v>40</v>
      </c>
      <c r="E75" s="10">
        <f>$D75*(1+L75+N75*($C75="R"))+J75+N75*($C75="A")</f>
        <v>40</v>
      </c>
      <c r="F75" t="s">
        <v>4423</v>
      </c>
      <c r="G75">
        <f>COUNTIF(adj!$C$200:$C$275,$A75)</f>
        <v>0</v>
      </c>
      <c r="H75" s="10">
        <f>SUMIF(adj!$C$200:$C$275,$A75,adj!H$200:H$275)</f>
        <v>0</v>
      </c>
      <c r="J75" s="62"/>
      <c r="L75" s="62"/>
      <c r="N75">
        <f>SUMIF(adj!$C$3:$C$275,$A75,adj!E$3:E$275)</f>
        <v>0</v>
      </c>
    </row>
    <row r="76" spans="1:14" ht="10.5" customHeight="1">
      <c r="A76" s="519">
        <v>72</v>
      </c>
      <c r="B76" t="str">
        <f>DataNameProd4 &amp; " Admin Costs"</f>
        <v>Industry 3 Admin Costs</v>
      </c>
      <c r="C76" t="s">
        <v>2030</v>
      </c>
      <c r="D76" s="11">
        <v>1000000</v>
      </c>
      <c r="E76" s="11">
        <f>$D76*(1+L76+N76*($C76="R"))+J76+N76*($C76="A")</f>
        <v>1000000</v>
      </c>
      <c r="F76" t="s">
        <v>4424</v>
      </c>
      <c r="G76">
        <f>COUNTIF(adj!$C$200:$C$275,$A76)</f>
        <v>0</v>
      </c>
      <c r="H76" s="10">
        <f>SUMIF(adj!$C$200:$C$275,$A76,adj!H$200:H$275)</f>
        <v>0</v>
      </c>
      <c r="J76" s="62"/>
      <c r="L76" s="62"/>
      <c r="N76">
        <f>SUMIF(adj!$C$3:$C$275,$A76,adj!E$3:E$275)</f>
        <v>0</v>
      </c>
    </row>
    <row r="77" spans="1:14" ht="10.5" customHeight="1">
      <c r="A77" s="519">
        <v>73</v>
      </c>
      <c r="B77" t="str">
        <f>DataNameProd4 &amp; " Other Costs"</f>
        <v>Industry 3 Other Costs</v>
      </c>
      <c r="C77" t="s">
        <v>2030</v>
      </c>
      <c r="D77" s="11">
        <v>1000000</v>
      </c>
      <c r="E77" s="11">
        <f>$D77*(1+L77+N77*($C77="R"))+J77+N77*($C77="A")</f>
        <v>1000000</v>
      </c>
      <c r="F77" t="s">
        <v>4425</v>
      </c>
      <c r="G77">
        <f>COUNTIF(adj!$C$200:$C$275,$A77)</f>
        <v>0</v>
      </c>
      <c r="H77" s="10">
        <f>SUMIF(adj!$C$200:$C$275,$A77,adj!H$200:H$275)</f>
        <v>0</v>
      </c>
      <c r="J77" s="62"/>
      <c r="L77" s="62"/>
      <c r="N77">
        <f>SUMIF(adj!$C$3:$C$275,$A77,adj!E$3:E$275)</f>
        <v>0</v>
      </c>
    </row>
    <row r="78" spans="1:14" ht="10.5" customHeight="1">
      <c r="A78" s="519">
        <v>74</v>
      </c>
      <c r="B78" t="str">
        <f>DataNameProd4 &amp; " % Cost reduc. Per Vert Comp Level"</f>
        <v>Industry 3 % Cost reduc. Per Vert Comp Level</v>
      </c>
      <c r="C78" t="s">
        <v>2030</v>
      </c>
      <c r="D78" s="271">
        <v>1.5E-3</v>
      </c>
      <c r="E78" s="271">
        <f>$D78*(1+L78+N78*($C78="R"))+J78+N78*($C78="A")</f>
        <v>1.5E-3</v>
      </c>
      <c r="F78" t="s">
        <v>4256</v>
      </c>
      <c r="G78">
        <f>COUNTIF(adj!$C$200:$C$275,$A78)</f>
        <v>0</v>
      </c>
      <c r="H78" s="10">
        <f>SUMIF(adj!$C$200:$C$275,$A78,adj!H$200:H$275)</f>
        <v>0</v>
      </c>
      <c r="J78" s="62"/>
      <c r="L78" s="62"/>
      <c r="N78">
        <f>SUMIF(adj!$C$3:$C$275,$A78,adj!E$3:E$275)</f>
        <v>0</v>
      </c>
    </row>
    <row r="79" spans="1:14" ht="10.5" customHeight="1">
      <c r="A79" s="519">
        <v>75</v>
      </c>
      <c r="B79" t="str">
        <f>DataNameProd4 &amp; " Base Revenue"</f>
        <v>Industry 3 Base Revenue</v>
      </c>
      <c r="C79" t="s">
        <v>4253</v>
      </c>
      <c r="D79" s="311">
        <v>24640000.000000004</v>
      </c>
      <c r="E79" s="311">
        <f>$D79*(1+L79+N79*($C79="R"))+J79+N79*($C79="A")</f>
        <v>24640000.000000004</v>
      </c>
      <c r="F79" t="s">
        <v>422</v>
      </c>
      <c r="G79">
        <f>COUNTIF(adj!$C$200:$C$275,$A79)</f>
        <v>0</v>
      </c>
      <c r="H79" s="10">
        <f>SUMIF(adj!$C$200:$C$275,$A79,adj!H$200:H$275)</f>
        <v>0</v>
      </c>
      <c r="J79" s="62"/>
      <c r="L79" s="62"/>
      <c r="N79">
        <f>SUMIF(adj!$C$3:$C$275,$A79,adj!E$3:E$275)</f>
        <v>0</v>
      </c>
    </row>
    <row r="80" spans="1:14" ht="10.5" customHeight="1">
      <c r="A80" s="519">
        <v>76</v>
      </c>
      <c r="B80" t="str">
        <f>DataNameProd4&amp;" Base COS"</f>
        <v>Industry 3 Base COS</v>
      </c>
      <c r="C80" t="s">
        <v>4253</v>
      </c>
      <c r="D80" s="311">
        <v>17360000</v>
      </c>
      <c r="E80" s="311">
        <f>$D80*(1+L80+N80*($C80="R"))+J80+N80*($C80="A")</f>
        <v>17360000</v>
      </c>
      <c r="F80" t="s">
        <v>447</v>
      </c>
      <c r="G80">
        <f>COUNTIF(adj!$C$200:$C$275,$A80)</f>
        <v>0</v>
      </c>
      <c r="H80" s="10">
        <f>SUMIF(adj!$C$200:$C$275,$A80,adj!H$200:H$275)</f>
        <v>0</v>
      </c>
      <c r="J80" s="62"/>
      <c r="L80" s="62"/>
      <c r="N80">
        <f>SUMIF(adj!$C$3:$C$275,$A80,adj!E$3:E$275)</f>
        <v>0</v>
      </c>
    </row>
    <row r="81" spans="1:14" ht="10.5" customHeight="1">
      <c r="A81" s="519">
        <v>77</v>
      </c>
      <c r="D81" s="15"/>
      <c r="E81" s="15"/>
      <c r="G81">
        <f>COUNTIF(adj!$C$200:$C$275,$A81)</f>
        <v>0</v>
      </c>
      <c r="H81" s="10">
        <f>SUMIF(adj!$C$200:$C$275,$A81,adj!H$200:H$275)</f>
        <v>0</v>
      </c>
      <c r="J81" s="62"/>
      <c r="L81" s="62"/>
      <c r="N81">
        <f>SUMIF(adj!$C$3:$C$275,$A81,adj!E$3:E$275)</f>
        <v>0</v>
      </c>
    </row>
    <row r="82" spans="1:14" ht="10.5" customHeight="1">
      <c r="A82" s="519">
        <v>78</v>
      </c>
      <c r="D82" s="311"/>
      <c r="E82" s="311"/>
      <c r="G82">
        <f>COUNTIF(adj!$C$200:$C$275,$A82)</f>
        <v>0</v>
      </c>
      <c r="H82" s="10">
        <f>SUMIF(adj!$C$200:$C$275,$A82,adj!H$200:H$275)</f>
        <v>0</v>
      </c>
      <c r="J82" s="62"/>
      <c r="L82" s="62"/>
      <c r="N82">
        <f>SUMIF(adj!$C$3:$C$275,$A82,adj!E$3:E$275)</f>
        <v>0</v>
      </c>
    </row>
    <row r="83" spans="1:14" ht="10.5" customHeight="1">
      <c r="A83" s="519">
        <v>79</v>
      </c>
      <c r="D83" s="311"/>
      <c r="E83" s="311"/>
      <c r="G83">
        <f>COUNTIF(adj!$C$200:$C$275,$A83)</f>
        <v>0</v>
      </c>
      <c r="H83" s="10">
        <f>SUMIF(adj!$C$200:$C$275,$A83,adj!H$200:H$275)</f>
        <v>0</v>
      </c>
      <c r="J83" s="62"/>
      <c r="L83" s="62"/>
      <c r="N83">
        <f>SUMIF(adj!$C$3:$C$275,$A83,adj!E$3:E$275)</f>
        <v>0</v>
      </c>
    </row>
    <row r="84" spans="1:14" ht="10.5" customHeight="1">
      <c r="A84" s="519">
        <v>80</v>
      </c>
      <c r="D84" s="311"/>
      <c r="E84" s="311"/>
      <c r="G84">
        <f>COUNTIF(adj!$C$200:$C$275,$A84)</f>
        <v>0</v>
      </c>
      <c r="H84" s="10">
        <f>SUMIF(adj!$C$200:$C$275,$A84,adj!H$200:H$275)</f>
        <v>0</v>
      </c>
      <c r="J84" s="62"/>
      <c r="L84" s="62"/>
      <c r="N84">
        <f>SUMIF(adj!$C$3:$C$275,$A84,adj!E$3:E$275)</f>
        <v>0</v>
      </c>
    </row>
    <row r="85" spans="1:14" ht="10.5" customHeight="1">
      <c r="A85" s="519">
        <v>81</v>
      </c>
      <c r="D85" s="311"/>
      <c r="E85" s="311"/>
      <c r="G85">
        <f>COUNTIF(adj!$C$200:$C$275,$A85)</f>
        <v>0</v>
      </c>
      <c r="H85" s="10">
        <f>SUMIF(adj!$C$200:$C$275,$A85,adj!H$200:H$275)</f>
        <v>0</v>
      </c>
      <c r="J85" s="62"/>
      <c r="L85" s="62"/>
      <c r="N85">
        <f>SUMIF(adj!$C$3:$C$275,$A85,adj!E$3:E$275)</f>
        <v>0</v>
      </c>
    </row>
    <row r="86" spans="1:14" ht="10.5" customHeight="1">
      <c r="A86" s="519">
        <v>82</v>
      </c>
      <c r="D86" s="311"/>
      <c r="E86" s="311"/>
      <c r="G86">
        <f>COUNTIF(adj!$C$200:$C$275,$A86)</f>
        <v>0</v>
      </c>
      <c r="H86" s="10">
        <f>SUMIF(adj!$C$200:$C$275,$A86,adj!H$200:H$275)</f>
        <v>0</v>
      </c>
      <c r="J86" s="62"/>
      <c r="L86" s="62"/>
      <c r="N86">
        <f>SUMIF(adj!$C$3:$C$275,$A86,adj!E$3:E$275)</f>
        <v>0</v>
      </c>
    </row>
    <row r="87" spans="1:14" ht="10.5" customHeight="1">
      <c r="A87" s="519">
        <v>83</v>
      </c>
      <c r="D87" s="15">
        <f>(D79-D80)/D79</f>
        <v>0.29545454545454558</v>
      </c>
      <c r="E87" s="311"/>
      <c r="G87">
        <f>COUNTIF(adj!$C$200:$C$275,$A87)</f>
        <v>0</v>
      </c>
      <c r="H87" s="10">
        <f>SUMIF(adj!$C$200:$C$275,$A87,adj!H$200:H$275)</f>
        <v>0</v>
      </c>
      <c r="J87" s="62"/>
      <c r="L87" s="62"/>
      <c r="N87">
        <f>SUMIF(adj!$C$3:$C$275,$A87,adj!E$3:E$275)</f>
        <v>0</v>
      </c>
    </row>
    <row r="88" spans="1:14" ht="10.5" customHeight="1">
      <c r="A88" s="519">
        <v>84</v>
      </c>
      <c r="B88" s="2" t="s">
        <v>3372</v>
      </c>
      <c r="D88" s="311"/>
      <c r="E88" s="311"/>
      <c r="G88">
        <f>COUNTIF(adj!$C$200:$C$275,$A88)</f>
        <v>0</v>
      </c>
      <c r="H88" s="10">
        <f>SUMIF(adj!$C$200:$C$275,$A88,adj!H$200:H$275)</f>
        <v>0</v>
      </c>
      <c r="J88" s="62"/>
      <c r="L88" s="62"/>
      <c r="N88">
        <f>SUMIF(adj!$C$3:$C$275,$A88,adj!E$3:E$275)</f>
        <v>0</v>
      </c>
    </row>
    <row r="89" spans="1:14" ht="10.5" customHeight="1">
      <c r="A89" s="519">
        <v>85</v>
      </c>
      <c r="B89" t="s">
        <v>3581</v>
      </c>
      <c r="C89" t="s">
        <v>2030</v>
      </c>
      <c r="D89" s="87">
        <v>1.5E-3</v>
      </c>
      <c r="E89" s="87">
        <f>$D89*(1+L89+N89*($C89="R"))+J89+N89*($C89="A")</f>
        <v>1.5E-3</v>
      </c>
      <c r="F89" t="s">
        <v>3584</v>
      </c>
      <c r="G89">
        <f>COUNTIF(adj!$C$200:$C$275,$A89)</f>
        <v>0</v>
      </c>
      <c r="H89" s="10">
        <f>SUMIF(adj!$C$200:$C$275,$A89,adj!H$200:H$275)</f>
        <v>0</v>
      </c>
      <c r="J89" s="62"/>
      <c r="L89" s="62"/>
      <c r="N89">
        <f>SUMIF(adj!$C$3:$C$275,$A89,adj!E$3:E$275)</f>
        <v>0</v>
      </c>
    </row>
    <row r="90" spans="1:14" ht="10.5" customHeight="1">
      <c r="A90" s="519">
        <v>86</v>
      </c>
      <c r="B90" t="s">
        <v>3582</v>
      </c>
      <c r="C90" t="s">
        <v>2030</v>
      </c>
      <c r="D90" s="87">
        <v>1.5E-3</v>
      </c>
      <c r="E90" s="87">
        <f>$D90*(1+L90+N90*($C90="R"))+J90+N90*($C90="A")</f>
        <v>1.5E-3</v>
      </c>
      <c r="F90" t="s">
        <v>2671</v>
      </c>
      <c r="G90">
        <f>COUNTIF(adj!$C$200:$C$275,$A90)</f>
        <v>0</v>
      </c>
      <c r="H90" s="10">
        <f>SUMIF(adj!$C$200:$C$275,$A90,adj!H$200:H$275)</f>
        <v>0</v>
      </c>
      <c r="J90" s="62"/>
      <c r="L90" s="62"/>
      <c r="N90">
        <f>SUMIF(adj!$C$3:$C$275,$A90,adj!E$3:E$275)</f>
        <v>0</v>
      </c>
    </row>
    <row r="91" spans="1:14" ht="10.5" customHeight="1">
      <c r="A91" s="519">
        <v>87</v>
      </c>
      <c r="B91" t="s">
        <v>3583</v>
      </c>
      <c r="C91" t="s">
        <v>2030</v>
      </c>
      <c r="D91" s="87">
        <v>1.5E-3</v>
      </c>
      <c r="E91" s="87">
        <f>$D91*(1+L91+N91*($C91="R"))+J91+N91*($C91="A")</f>
        <v>1.5E-3</v>
      </c>
      <c r="F91" t="s">
        <v>2672</v>
      </c>
      <c r="G91">
        <f>COUNTIF(adj!$C$200:$C$275,$A91)</f>
        <v>0</v>
      </c>
      <c r="H91" s="10">
        <f>SUMIF(adj!$C$200:$C$275,$A91,adj!H$200:H$275)</f>
        <v>0</v>
      </c>
      <c r="J91" s="62"/>
      <c r="L91" s="62"/>
      <c r="N91">
        <f>SUMIF(adj!$C$3:$C$275,$A91,adj!E$3:E$275)</f>
        <v>0</v>
      </c>
    </row>
    <row r="92" spans="1:14" ht="10.5" customHeight="1">
      <c r="A92" s="519">
        <v>88</v>
      </c>
      <c r="B92" t="s">
        <v>1984</v>
      </c>
      <c r="C92" t="s">
        <v>2030</v>
      </c>
      <c r="D92" s="432">
        <v>0.105</v>
      </c>
      <c r="E92" s="87">
        <f>$D92*(1+L92+N92*($C92="R"))+J92+N92*($C92="A")</f>
        <v>0.14696050943182276</v>
      </c>
      <c r="F92" t="s">
        <v>1985</v>
      </c>
      <c r="G92">
        <f>COUNTIF(adj!$C$200:$C$275,$A92)</f>
        <v>0</v>
      </c>
      <c r="H92" s="10">
        <f>SUMIF(adj!$C$200:$C$275,$A92,adj!H$200:H$275)</f>
        <v>0</v>
      </c>
      <c r="J92" s="62"/>
      <c r="L92" s="62"/>
      <c r="N92">
        <f>SUMIF(adj!$C$3:$C$275,$A92,adj!E$3:E$275)</f>
        <v>0.39962389935069309</v>
      </c>
    </row>
    <row r="93" spans="1:14" ht="10.5" customHeight="1">
      <c r="A93" s="519">
        <v>89</v>
      </c>
      <c r="B93" t="s">
        <v>1836</v>
      </c>
      <c r="C93" t="s">
        <v>2030</v>
      </c>
      <c r="D93" s="87">
        <v>0.45</v>
      </c>
      <c r="E93" s="87">
        <f>$D93*(1+L93+N93*($C93="R"))+J93+N93*($C93="A")</f>
        <v>0.45</v>
      </c>
      <c r="F93" t="s">
        <v>1839</v>
      </c>
      <c r="G93">
        <f>COUNTIF(adj!$C$200:$C$275,$A93)</f>
        <v>0</v>
      </c>
      <c r="H93" s="10">
        <f>SUMIF(adj!$C$200:$C$275,$A93,adj!H$200:H$275)</f>
        <v>0</v>
      </c>
      <c r="J93" s="62"/>
      <c r="L93" s="62"/>
      <c r="N93">
        <f>SUMIF(adj!$C$3:$C$275,$A93,adj!E$3:E$275)</f>
        <v>0</v>
      </c>
    </row>
    <row r="94" spans="1:14" ht="10.5" customHeight="1">
      <c r="A94" s="519">
        <v>90</v>
      </c>
      <c r="B94" t="s">
        <v>1837</v>
      </c>
      <c r="C94" t="s">
        <v>2030</v>
      </c>
      <c r="D94" s="87">
        <v>0.35</v>
      </c>
      <c r="E94" s="87">
        <f>$D94*(1+L94+N94*($C94="R"))+J94+N94*($C94="A")</f>
        <v>0.35</v>
      </c>
      <c r="F94" t="s">
        <v>2860</v>
      </c>
      <c r="G94">
        <f>COUNTIF(adj!$C$200:$C$275,$A94)</f>
        <v>0</v>
      </c>
      <c r="H94" s="10">
        <f>SUMIF(adj!$C$200:$C$275,$A94,adj!H$200:H$275)</f>
        <v>0</v>
      </c>
      <c r="J94" s="62"/>
      <c r="L94" s="62"/>
      <c r="N94">
        <f>SUMIF(adj!$C$3:$C$275,$A94,adj!E$3:E$275)</f>
        <v>0</v>
      </c>
    </row>
    <row r="95" spans="1:14" ht="10.5" customHeight="1">
      <c r="A95" s="519">
        <v>91</v>
      </c>
      <c r="B95" t="s">
        <v>1838</v>
      </c>
      <c r="C95" t="s">
        <v>2030</v>
      </c>
      <c r="D95" s="87">
        <v>0.3</v>
      </c>
      <c r="E95" s="87">
        <f>$D95*(1+L95+N95*($C95="R"))+J95+N95*($C95="A")</f>
        <v>0.3</v>
      </c>
      <c r="F95" t="s">
        <v>1727</v>
      </c>
      <c r="G95">
        <f>COUNTIF(adj!$C$200:$C$275,$A95)</f>
        <v>0</v>
      </c>
      <c r="H95" s="10">
        <f>SUMIF(adj!$C$200:$C$275,$A95,adj!H$200:H$275)</f>
        <v>0</v>
      </c>
      <c r="J95" s="62"/>
      <c r="L95" s="62"/>
      <c r="N95">
        <f>SUMIF(adj!$C$3:$C$275,$A95,adj!E$3:E$275)</f>
        <v>0</v>
      </c>
    </row>
    <row r="96" spans="1:14" ht="10.5" customHeight="1">
      <c r="A96" s="519">
        <v>92</v>
      </c>
      <c r="C96" t="s">
        <v>2030</v>
      </c>
      <c r="D96" s="87"/>
      <c r="E96" s="87">
        <f>$D96*(1+L96+N96*($C96="R"))+J96+N96*($C96="A")</f>
        <v>0</v>
      </c>
      <c r="G96">
        <f>COUNTIF(adj!$C$200:$C$275,$A96)</f>
        <v>0</v>
      </c>
      <c r="H96" s="10">
        <f>SUMIF(adj!$C$200:$C$275,$A96,adj!H$200:H$275)</f>
        <v>0</v>
      </c>
      <c r="J96" s="62"/>
      <c r="L96" s="62"/>
      <c r="N96">
        <f>SUMIF(adj!$C$3:$C$275,$A96,adj!E$3:E$275)</f>
        <v>0</v>
      </c>
    </row>
    <row r="97" spans="1:14" ht="10.5" customHeight="1">
      <c r="A97" s="519">
        <v>93</v>
      </c>
      <c r="C97" t="s">
        <v>2030</v>
      </c>
      <c r="D97" s="87"/>
      <c r="E97" s="87">
        <f>$D97*(1+L97+N97*($C97="R"))+J97+N97*($C97="A")</f>
        <v>0</v>
      </c>
      <c r="G97">
        <f>COUNTIF(adj!$C$200:$C$275,$A97)</f>
        <v>0</v>
      </c>
      <c r="H97" s="10">
        <f>SUMIF(adj!$C$200:$C$275,$A97,adj!H$200:H$275)</f>
        <v>0</v>
      </c>
      <c r="J97" s="62"/>
      <c r="L97" s="62"/>
      <c r="N97">
        <f>SUMIF(adj!$C$3:$C$275,$A97,adj!E$3:E$275)</f>
        <v>0</v>
      </c>
    </row>
    <row r="98" spans="1:14" ht="10.5" customHeight="1">
      <c r="A98" s="519">
        <v>94</v>
      </c>
      <c r="C98" t="s">
        <v>2030</v>
      </c>
      <c r="D98" s="87"/>
      <c r="E98" s="87">
        <f>$D98*(1+L98+N98*($C98="R"))+J98+N98*($C98="A")</f>
        <v>0</v>
      </c>
      <c r="G98">
        <f>COUNTIF(adj!$C$200:$C$275,$A98)</f>
        <v>0</v>
      </c>
      <c r="H98" s="10">
        <f>SUMIF(adj!$C$200:$C$275,$A98,adj!H$200:H$275)</f>
        <v>0</v>
      </c>
      <c r="J98" s="62"/>
      <c r="L98" s="62"/>
      <c r="N98">
        <f>SUMIF(adj!$C$3:$C$275,$A98,adj!E$3:E$275)</f>
        <v>0</v>
      </c>
    </row>
    <row r="99" spans="1:14" ht="10.5" customHeight="1">
      <c r="A99" s="519">
        <v>95</v>
      </c>
      <c r="C99" t="s">
        <v>2030</v>
      </c>
      <c r="D99" s="87"/>
      <c r="E99" s="87">
        <f>$D99*(1+L99+N99*($C99="R"))+J99+N99*($C99="A")</f>
        <v>0</v>
      </c>
      <c r="G99">
        <f>COUNTIF(adj!$C$200:$C$275,$A99)</f>
        <v>0</v>
      </c>
      <c r="H99" s="10">
        <f>SUMIF(adj!$C$200:$C$275,$A99,adj!H$200:H$275)</f>
        <v>0</v>
      </c>
      <c r="J99" s="62"/>
      <c r="L99" s="62"/>
      <c r="N99">
        <f>SUMIF(adj!$C$3:$C$275,$A99,adj!E$3:E$275)</f>
        <v>0</v>
      </c>
    </row>
    <row r="100" spans="1:14" ht="10.5" customHeight="1">
      <c r="A100" s="519">
        <v>96</v>
      </c>
      <c r="G100">
        <f>COUNTIF(adj!$C$200:$C$275,$A100)</f>
        <v>0</v>
      </c>
      <c r="H100" s="10">
        <f>SUMIF(adj!$C$200:$C$275,$A100,adj!H$200:H$275)</f>
        <v>0</v>
      </c>
      <c r="J100" s="62"/>
      <c r="L100" s="62"/>
      <c r="N100">
        <f>SUMIF(adj!$C$3:$C$275,$A100,adj!E$3:E$275)</f>
        <v>0</v>
      </c>
    </row>
    <row r="101" spans="1:14" ht="10.5" customHeight="1">
      <c r="A101" s="519">
        <v>97</v>
      </c>
      <c r="B101" s="2" t="str">
        <f>DataNameProd5 &amp; " Paramaters"</f>
        <v>Employees Paramaters</v>
      </c>
      <c r="D101" s="79"/>
      <c r="E101" s="2"/>
      <c r="G101">
        <f>COUNTIF(adj!$C$200:$C$275,$A101)</f>
        <v>0</v>
      </c>
      <c r="H101" s="10">
        <f>SUMIF(adj!$C$200:$C$275,$A101,adj!H$200:H$275)</f>
        <v>0</v>
      </c>
      <c r="J101" s="62"/>
      <c r="L101" s="62"/>
      <c r="N101">
        <f>SUMIF(adj!$C$3:$C$275,$A101,adj!E$3:E$275)</f>
        <v>0</v>
      </c>
    </row>
    <row r="102" spans="1:14" ht="10.5" customHeight="1">
      <c r="A102" s="519">
        <v>98</v>
      </c>
      <c r="B102" t="str">
        <f>DataNameProd5 &amp; " Cycle Time"</f>
        <v>Employees Cycle Time</v>
      </c>
      <c r="C102" t="s">
        <v>4253</v>
      </c>
      <c r="D102">
        <v>30</v>
      </c>
      <c r="E102">
        <f>$D102*(1+L102+N102*($C102="R"))+J102+N102*($C102="A")</f>
        <v>30</v>
      </c>
      <c r="F102" t="s">
        <v>2095</v>
      </c>
      <c r="G102">
        <f>COUNTIF(adj!$C$200:$C$275,$A102)</f>
        <v>0</v>
      </c>
      <c r="H102" s="10">
        <f>SUMIF(adj!$C$200:$C$275,$A102,adj!H$200:H$275)</f>
        <v>0</v>
      </c>
      <c r="J102" s="62"/>
      <c r="L102" s="62"/>
      <c r="N102">
        <f>SUMIF(adj!$C$3:$C$275,$A102,adj!E$3:E$275)</f>
        <v>0</v>
      </c>
    </row>
    <row r="103" spans="1:14" ht="10.5" customHeight="1">
      <c r="A103" s="519">
        <v>99</v>
      </c>
      <c r="B103" t="str">
        <f>DataNameProd5 &amp; " Feature Material Cost Per Unit Per Level"</f>
        <v>Employees Feature Material Cost Per Unit Per Level</v>
      </c>
      <c r="C103" t="s">
        <v>2030</v>
      </c>
      <c r="D103">
        <v>10</v>
      </c>
      <c r="E103">
        <f>$D103*(1+L103+N103*($C103="R"))+J103+N103*($C103="A")</f>
        <v>10</v>
      </c>
      <c r="F103" t="s">
        <v>1029</v>
      </c>
      <c r="G103">
        <f>COUNTIF(adj!$C$200:$C$275,$A103)</f>
        <v>0</v>
      </c>
      <c r="H103" s="10">
        <f>SUMIF(adj!$C$200:$C$275,$A103,adj!H$200:H$275)</f>
        <v>0</v>
      </c>
      <c r="J103" s="62"/>
      <c r="L103" s="62"/>
      <c r="N103">
        <f>SUMIF(adj!$C$3:$C$275,$A103,adj!E$3:E$275)</f>
        <v>0</v>
      </c>
    </row>
    <row r="104" spans="1:14" ht="10.5" customHeight="1">
      <c r="A104" s="519">
        <v>100</v>
      </c>
      <c r="B104" t="str">
        <f>DataNameProd5 &amp; " Material Cost Per Unit"</f>
        <v>Employees Material Cost Per Unit</v>
      </c>
      <c r="C104" t="s">
        <v>2030</v>
      </c>
      <c r="D104">
        <v>0</v>
      </c>
      <c r="E104">
        <f>$D104*(1+L104+N104*($C104="R"))+J104+N104*($C104="A")</f>
        <v>0</v>
      </c>
      <c r="F104" t="s">
        <v>1030</v>
      </c>
      <c r="G104">
        <f>COUNTIF(adj!$C$200:$C$275,$A104)</f>
        <v>0</v>
      </c>
      <c r="H104" s="10">
        <f>SUMIF(adj!$C$200:$C$275,$A104,adj!H$200:H$275)</f>
        <v>0</v>
      </c>
      <c r="J104" s="62"/>
      <c r="L104" s="62"/>
      <c r="N104">
        <f>SUMIF(adj!$C$3:$C$275,$A104,adj!E$3:E$275)</f>
        <v>0</v>
      </c>
    </row>
    <row r="105" spans="1:14" ht="10.5" customHeight="1">
      <c r="A105" s="519">
        <v>101</v>
      </c>
      <c r="B105" t="str">
        <f>DataNameProd5 &amp; " Materials Inventory As % of Production"</f>
        <v>Employees Materials Inventory As % of Production</v>
      </c>
      <c r="C105" t="s">
        <v>2030</v>
      </c>
      <c r="D105" s="12">
        <v>0.1</v>
      </c>
      <c r="E105" s="12">
        <f>$D105*(1+L105+N105*($C105="R"))+J105+N105*($C105="A")</f>
        <v>0.1</v>
      </c>
      <c r="F105" t="s">
        <v>4370</v>
      </c>
      <c r="G105">
        <f>COUNTIF(adj!$C$200:$C$275,$A105)</f>
        <v>0</v>
      </c>
      <c r="H105" s="10">
        <f>SUMIF(adj!$C$200:$C$275,$A105,adj!H$200:H$275)</f>
        <v>0</v>
      </c>
      <c r="J105" s="62"/>
      <c r="L105" s="62"/>
      <c r="N105">
        <f>SUMIF(adj!$C$3:$C$275,$A105,adj!E$3:E$275)</f>
        <v>0</v>
      </c>
    </row>
    <row r="106" spans="1:14" ht="10.5" customHeight="1">
      <c r="A106" s="519">
        <v>102</v>
      </c>
      <c r="B106" t="str">
        <f>DataNameProd5 &amp; " Labor Hours Req. Per Unit"</f>
        <v>Employees Labor Hours Req. Per Unit</v>
      </c>
      <c r="C106" t="s">
        <v>2030</v>
      </c>
      <c r="D106">
        <v>5</v>
      </c>
      <c r="E106">
        <f>$D106*(1+L106+N106*($C106="R"))+J106+N106*($C106="A")</f>
        <v>5</v>
      </c>
      <c r="F106" t="s">
        <v>4371</v>
      </c>
      <c r="G106">
        <f>COUNTIF(adj!$C$200:$C$275,$A106)</f>
        <v>0</v>
      </c>
      <c r="H106" s="10">
        <f>SUMIF(adj!$C$200:$C$275,$A106,adj!H$200:H$275)</f>
        <v>0</v>
      </c>
      <c r="J106" s="62"/>
      <c r="L106" s="62"/>
      <c r="N106">
        <f>SUMIF(adj!$C$3:$C$275,$A106,adj!E$3:E$275)</f>
        <v>0</v>
      </c>
    </row>
    <row r="107" spans="1:14" ht="10.5" customHeight="1">
      <c r="A107" s="519">
        <v>103</v>
      </c>
      <c r="B107" t="str">
        <f>DataNameProd5 &amp; " Machinery Hours Req. Per Unit"</f>
        <v>Employees Machinery Hours Req. Per Unit</v>
      </c>
      <c r="C107" t="s">
        <v>2030</v>
      </c>
      <c r="D107">
        <v>5</v>
      </c>
      <c r="E107">
        <f>$D107*(1+L107+N107*($C107="R"))+J107+N107*($C107="A")</f>
        <v>5</v>
      </c>
      <c r="F107" t="s">
        <v>2168</v>
      </c>
      <c r="G107">
        <f>COUNTIF(adj!$C$200:$C$275,$A107)</f>
        <v>0</v>
      </c>
      <c r="H107" s="10">
        <f>SUMIF(adj!$C$200:$C$275,$A107,adj!H$200:H$275)</f>
        <v>0</v>
      </c>
      <c r="J107" s="62"/>
      <c r="L107" s="62"/>
      <c r="N107">
        <f>SUMIF(adj!$C$3:$C$275,$A107,adj!E$3:E$275)</f>
        <v>0</v>
      </c>
    </row>
    <row r="108" spans="1:14" ht="10.5" customHeight="1">
      <c r="A108" s="519">
        <v>104</v>
      </c>
      <c r="B108" t="str">
        <f>DataNameProd5 &amp; " Engineers Required"</f>
        <v>Employees Engineers Required</v>
      </c>
      <c r="C108" t="s">
        <v>2030</v>
      </c>
      <c r="D108">
        <v>50</v>
      </c>
      <c r="E108">
        <f>$D108*(1+L108+N108*($C108="R"))+J108+N108*($C108="A")</f>
        <v>50</v>
      </c>
      <c r="F108" t="s">
        <v>2169</v>
      </c>
      <c r="G108">
        <f>COUNTIF(adj!$C$200:$C$275,$A108)</f>
        <v>0</v>
      </c>
      <c r="H108" s="10">
        <f>SUMIF(adj!$C$200:$C$275,$A108,adj!H$200:H$275)</f>
        <v>0</v>
      </c>
      <c r="J108" s="62"/>
      <c r="L108" s="62"/>
      <c r="N108">
        <f>SUMIF(adj!$C$3:$C$275,$A108,adj!E$3:E$275)</f>
        <v>0</v>
      </c>
    </row>
    <row r="109" spans="1:14" ht="10.5" customHeight="1">
      <c r="A109" s="519">
        <v>105</v>
      </c>
      <c r="B109" t="str">
        <f>DataNameProd5 &amp; " Inventory Handling % of Closing Value"</f>
        <v>Employees Inventory Handling % of Closing Value</v>
      </c>
      <c r="C109" t="s">
        <v>2030</v>
      </c>
      <c r="D109" s="12">
        <v>0.1</v>
      </c>
      <c r="E109" s="12">
        <f>$D109*(1+L109+N109*($C109="R"))+J109+N109*($C109="A")</f>
        <v>0.1</v>
      </c>
      <c r="F109" t="s">
        <v>2170</v>
      </c>
      <c r="G109">
        <f>COUNTIF(adj!$C$200:$C$275,$A109)</f>
        <v>0</v>
      </c>
      <c r="H109" s="10">
        <f>SUMIF(adj!$C$200:$C$275,$A109,adj!H$200:H$275)</f>
        <v>0</v>
      </c>
      <c r="J109" s="62"/>
      <c r="L109" s="62"/>
      <c r="N109">
        <f>SUMIF(adj!$C$3:$C$275,$A109,adj!E$3:E$275)</f>
        <v>0</v>
      </c>
    </row>
    <row r="110" spans="1:14" ht="10.5" customHeight="1">
      <c r="A110" s="519">
        <v>106</v>
      </c>
      <c r="B110" t="str">
        <f>DataNameProd5 &amp; " Distribution Costs"</f>
        <v>Employees Distribution Costs</v>
      </c>
      <c r="C110" t="s">
        <v>2030</v>
      </c>
      <c r="D110" s="10">
        <v>40</v>
      </c>
      <c r="E110" s="10">
        <f>$D110*(1+L110+N110*($C110="R"))+J110+N110*($C110="A")</f>
        <v>40</v>
      </c>
      <c r="F110" t="s">
        <v>767</v>
      </c>
      <c r="G110">
        <f>COUNTIF(adj!$C$200:$C$275,$A110)</f>
        <v>0</v>
      </c>
      <c r="H110" s="10">
        <f>SUMIF(adj!$C$200:$C$275,$A110,adj!H$200:H$275)</f>
        <v>0</v>
      </c>
      <c r="J110" s="62"/>
      <c r="L110" s="62"/>
      <c r="N110">
        <f>SUMIF(adj!$C$3:$C$275,$A110,adj!E$3:E$275)</f>
        <v>0</v>
      </c>
    </row>
    <row r="111" spans="1:14" ht="10.5" customHeight="1">
      <c r="A111" s="519">
        <v>107</v>
      </c>
      <c r="B111" t="str">
        <f>DataNameProd5 &amp; " Admin Costs"</f>
        <v>Employees Admin Costs</v>
      </c>
      <c r="C111" t="s">
        <v>2030</v>
      </c>
      <c r="D111" s="11">
        <v>1000000</v>
      </c>
      <c r="E111" s="11">
        <f>$D111*(1+L111+N111*($C111="R"))+J111+N111*($C111="A")</f>
        <v>1000000</v>
      </c>
      <c r="F111" t="s">
        <v>3241</v>
      </c>
      <c r="G111">
        <f>COUNTIF(adj!$C$200:$C$275,$A111)</f>
        <v>0</v>
      </c>
      <c r="H111" s="10">
        <f>SUMIF(adj!$C$200:$C$275,$A111,adj!H$200:H$275)</f>
        <v>0</v>
      </c>
      <c r="J111" s="62"/>
      <c r="L111" s="62"/>
      <c r="N111">
        <f>SUMIF(adj!$C$3:$C$275,$A111,adj!E$3:E$275)</f>
        <v>0</v>
      </c>
    </row>
    <row r="112" spans="1:14" ht="10.5" customHeight="1">
      <c r="A112" s="519">
        <v>108</v>
      </c>
      <c r="B112" t="str">
        <f>DataNameProd5 &amp; " Other Costs"</f>
        <v>Employees Other Costs</v>
      </c>
      <c r="C112" t="s">
        <v>2030</v>
      </c>
      <c r="D112" s="11">
        <v>50000</v>
      </c>
      <c r="E112" s="11">
        <f>$D112*(1+L112+N112*($C112="R"))+J112+N112*($C112="A")</f>
        <v>50000</v>
      </c>
      <c r="F112" t="s">
        <v>3242</v>
      </c>
      <c r="G112">
        <f>COUNTIF(adj!$C$200:$C$275,$A112)</f>
        <v>0</v>
      </c>
      <c r="H112" s="10">
        <f>SUMIF(adj!$C$200:$C$275,$A112,adj!H$200:H$275)</f>
        <v>0</v>
      </c>
      <c r="J112" s="62"/>
      <c r="L112" s="62"/>
      <c r="N112">
        <f>SUMIF(adj!$C$3:$C$275,$A112,adj!E$3:E$275)</f>
        <v>0</v>
      </c>
    </row>
    <row r="113" spans="1:14" ht="10.5" customHeight="1">
      <c r="A113" s="519">
        <v>109</v>
      </c>
      <c r="D113" s="11"/>
      <c r="E113" s="11"/>
      <c r="G113">
        <f>COUNTIF(adj!$C$200:$C$275,$A113)</f>
        <v>0</v>
      </c>
      <c r="H113" s="10">
        <f>SUMIF(adj!$C$200:$C$275,$A113,adj!H$200:H$275)</f>
        <v>0</v>
      </c>
      <c r="J113" s="62"/>
      <c r="L113" s="62"/>
      <c r="N113">
        <f>SUMIF(adj!$C$3:$C$275,$A113,adj!E$3:E$275)</f>
        <v>0</v>
      </c>
    </row>
    <row r="114" spans="1:14" ht="10.5" customHeight="1">
      <c r="A114" s="519">
        <v>110</v>
      </c>
      <c r="D114" s="11"/>
      <c r="E114" s="11"/>
      <c r="G114">
        <f>COUNTIF(adj!$C$200:$C$275,$A114)</f>
        <v>0</v>
      </c>
      <c r="H114" s="10">
        <f>SUMIF(adj!$C$200:$C$275,$A114,adj!H$200:H$275)</f>
        <v>0</v>
      </c>
      <c r="J114" s="62"/>
      <c r="L114" s="62"/>
      <c r="N114">
        <f>SUMIF(adj!$C$3:$C$275,$A114,adj!E$3:E$275)</f>
        <v>0</v>
      </c>
    </row>
    <row r="115" spans="1:14" ht="10.5" customHeight="1">
      <c r="A115" s="519">
        <v>111</v>
      </c>
      <c r="D115" s="11"/>
      <c r="E115" s="11"/>
      <c r="G115">
        <f>COUNTIF(adj!$C$200:$C$275,$A115)</f>
        <v>0</v>
      </c>
      <c r="H115" s="10">
        <f>SUMIF(adj!$C$200:$C$275,$A115,adj!H$200:H$275)</f>
        <v>0</v>
      </c>
      <c r="J115" s="62"/>
      <c r="L115" s="62"/>
      <c r="N115">
        <f>SUMIF(adj!$C$3:$C$275,$A115,adj!E$3:E$275)</f>
        <v>0</v>
      </c>
    </row>
    <row r="116" spans="1:14" ht="10.5" customHeight="1">
      <c r="A116" s="519">
        <v>112</v>
      </c>
      <c r="D116" s="11"/>
      <c r="E116" s="11"/>
      <c r="G116">
        <f>COUNTIF(adj!$C$200:$C$275,$A116)</f>
        <v>0</v>
      </c>
      <c r="H116" s="10">
        <f>SUMIF(adj!$C$200:$C$275,$A116,adj!H$200:H$275)</f>
        <v>0</v>
      </c>
      <c r="J116" s="62"/>
      <c r="L116" s="62"/>
      <c r="N116">
        <f>SUMIF(adj!$C$3:$C$275,$A116,adj!E$3:E$275)</f>
        <v>0</v>
      </c>
    </row>
    <row r="117" spans="1:14" ht="10.5" customHeight="1">
      <c r="A117" s="519">
        <v>113</v>
      </c>
      <c r="D117" s="11"/>
      <c r="E117" s="11"/>
      <c r="G117">
        <f>COUNTIF(adj!$C$200:$C$275,$A117)</f>
        <v>0</v>
      </c>
      <c r="H117" s="10">
        <f>SUMIF(adj!$C$200:$C$275,$A117,adj!H$200:H$275)</f>
        <v>0</v>
      </c>
      <c r="J117" s="62"/>
      <c r="L117" s="62"/>
      <c r="N117">
        <f>SUMIF(adj!$C$3:$C$275,$A117,adj!E$3:E$275)</f>
        <v>0</v>
      </c>
    </row>
    <row r="118" spans="1:14" ht="10.5" customHeight="1">
      <c r="A118" s="519">
        <v>114</v>
      </c>
      <c r="D118">
        <v>0</v>
      </c>
      <c r="E118">
        <f>$D118*(1+L118+N118*($C118="R"))+J118+N118*($C118="A")</f>
        <v>0</v>
      </c>
      <c r="G118">
        <f>COUNTIF(adj!$C$200:$C$275,$A118)</f>
        <v>0</v>
      </c>
      <c r="H118" s="10">
        <f>SUMIF(adj!$C$200:$C$275,$A118,adj!H$200:H$275)</f>
        <v>0</v>
      </c>
      <c r="J118" s="62"/>
      <c r="L118" s="62"/>
      <c r="N118">
        <f>SUMIF(adj!$C$3:$C$275,$A118,adj!E$3:E$275)</f>
        <v>0</v>
      </c>
    </row>
    <row r="119" spans="1:14" ht="10.5" customHeight="1">
      <c r="A119" s="519">
        <v>115</v>
      </c>
      <c r="B119" s="2" t="str">
        <f>DataNameProd6 &amp; " Paramaters"</f>
        <v>Prod6 Paramaters</v>
      </c>
      <c r="D119" s="79"/>
      <c r="E119" s="2"/>
      <c r="G119">
        <f>COUNTIF(adj!$C$200:$C$275,$A119)</f>
        <v>0</v>
      </c>
      <c r="H119" s="10">
        <f>SUMIF(adj!$C$200:$C$275,$A119,adj!H$200:H$275)</f>
        <v>0</v>
      </c>
      <c r="J119" s="62"/>
      <c r="L119" s="62"/>
      <c r="N119">
        <f>SUMIF(adj!$C$3:$C$275,$A119,adj!E$3:E$275)</f>
        <v>0</v>
      </c>
    </row>
    <row r="120" spans="1:14" ht="10.5" customHeight="1">
      <c r="A120" s="519">
        <v>116</v>
      </c>
      <c r="B120" t="str">
        <f>DataNameProd6 &amp; " Cycle Time"</f>
        <v>Prod6 Cycle Time</v>
      </c>
      <c r="C120" t="s">
        <v>4253</v>
      </c>
      <c r="D120">
        <v>30</v>
      </c>
      <c r="E120">
        <f>$D120*(1+L120+N120*($C120="R"))+J120+N120*($C120="A")</f>
        <v>30</v>
      </c>
      <c r="F120" t="s">
        <v>3243</v>
      </c>
      <c r="G120">
        <f>COUNTIF(adj!$C$200:$C$275,$A120)</f>
        <v>0</v>
      </c>
      <c r="H120" s="10">
        <f>SUMIF(adj!$C$200:$C$275,$A120,adj!H$200:H$275)</f>
        <v>0</v>
      </c>
      <c r="J120" s="62"/>
      <c r="L120" s="62"/>
      <c r="N120">
        <f>SUMIF(adj!$C$3:$C$275,$A120,adj!E$3:E$275)</f>
        <v>0</v>
      </c>
    </row>
    <row r="121" spans="1:14" ht="10.5" customHeight="1">
      <c r="A121" s="519">
        <v>117</v>
      </c>
      <c r="B121" t="str">
        <f>DataNameProd6 &amp; " Feature Material Cost Per Unit Per Level"</f>
        <v>Prod6 Feature Material Cost Per Unit Per Level</v>
      </c>
      <c r="C121" t="s">
        <v>2030</v>
      </c>
      <c r="D121">
        <v>10</v>
      </c>
      <c r="E121">
        <f>$D121*(1+L121+N121*($C121="R"))+J121+N121*($C121="A")</f>
        <v>10</v>
      </c>
      <c r="F121" t="s">
        <v>3244</v>
      </c>
      <c r="G121">
        <f>COUNTIF(adj!$C$200:$C$275,$A121)</f>
        <v>0</v>
      </c>
      <c r="H121" s="10">
        <f>SUMIF(adj!$C$200:$C$275,$A121,adj!H$200:H$275)</f>
        <v>0</v>
      </c>
      <c r="J121" s="62"/>
      <c r="L121" s="62"/>
      <c r="N121">
        <f>SUMIF(adj!$C$3:$C$275,$A121,adj!E$3:E$275)</f>
        <v>0</v>
      </c>
    </row>
    <row r="122" spans="1:14" ht="10.5" customHeight="1">
      <c r="A122" s="519">
        <v>118</v>
      </c>
      <c r="B122" t="str">
        <f>DataNameProd6 &amp; " Material Cost Per Unit"</f>
        <v>Prod6 Material Cost Per Unit</v>
      </c>
      <c r="C122" t="s">
        <v>2030</v>
      </c>
      <c r="D122">
        <v>0</v>
      </c>
      <c r="E122">
        <f>$D122*(1+L122+N122*($C122="R"))+J122+N122*($C122="A")</f>
        <v>0</v>
      </c>
      <c r="F122" t="s">
        <v>3831</v>
      </c>
      <c r="G122">
        <f>COUNTIF(adj!$C$200:$C$275,$A122)</f>
        <v>0</v>
      </c>
      <c r="H122" s="10">
        <f>SUMIF(adj!$C$200:$C$275,$A122,adj!H$200:H$275)</f>
        <v>0</v>
      </c>
      <c r="J122" s="62"/>
      <c r="L122" s="62"/>
      <c r="N122">
        <f>SUMIF(adj!$C$3:$C$275,$A122,adj!E$3:E$275)</f>
        <v>0</v>
      </c>
    </row>
    <row r="123" spans="1:14" ht="10.5" customHeight="1">
      <c r="A123" s="519">
        <v>119</v>
      </c>
      <c r="B123" t="str">
        <f>DataNameProd6 &amp; " Materials Inventory As % of Production"</f>
        <v>Prod6 Materials Inventory As % of Production</v>
      </c>
      <c r="C123" t="s">
        <v>2030</v>
      </c>
      <c r="D123" s="12">
        <v>0.1</v>
      </c>
      <c r="E123" s="12">
        <f>$D123*(1+L123+N123*($C123="R"))+J123+N123*($C123="A")</f>
        <v>0.1</v>
      </c>
      <c r="F123" t="s">
        <v>4406</v>
      </c>
      <c r="G123">
        <f>COUNTIF(adj!$C$200:$C$275,$A123)</f>
        <v>0</v>
      </c>
      <c r="H123" s="10">
        <f>SUMIF(adj!$C$200:$C$275,$A123,adj!H$200:H$275)</f>
        <v>0</v>
      </c>
      <c r="J123" s="62"/>
      <c r="L123" s="62"/>
      <c r="N123">
        <f>SUMIF(adj!$C$3:$C$275,$A123,adj!E$3:E$275)</f>
        <v>0</v>
      </c>
    </row>
    <row r="124" spans="1:14" ht="10.5" customHeight="1">
      <c r="A124" s="519">
        <v>120</v>
      </c>
      <c r="B124" t="str">
        <f>DataNameProd6 &amp; " Labor Hours Req. Per Unit"</f>
        <v>Prod6 Labor Hours Req. Per Unit</v>
      </c>
      <c r="C124" t="s">
        <v>2030</v>
      </c>
      <c r="D124">
        <v>5</v>
      </c>
      <c r="E124">
        <f>$D124*(1+L124+N124*($C124="R"))+J124+N124*($C124="A")</f>
        <v>5</v>
      </c>
      <c r="F124" t="s">
        <v>4407</v>
      </c>
      <c r="G124">
        <f>COUNTIF(adj!$C$200:$C$275,$A124)</f>
        <v>0</v>
      </c>
      <c r="H124" s="10">
        <f>SUMIF(adj!$C$200:$C$275,$A124,adj!H$200:H$275)</f>
        <v>0</v>
      </c>
      <c r="J124" s="62"/>
      <c r="L124" s="62"/>
      <c r="N124">
        <f>SUMIF(adj!$C$3:$C$275,$A124,adj!E$3:E$275)</f>
        <v>0</v>
      </c>
    </row>
    <row r="125" spans="1:14" ht="10.5" customHeight="1">
      <c r="A125" s="519">
        <v>121</v>
      </c>
      <c r="B125" t="str">
        <f>DataNameProd6 &amp; " Machinery Hours Req. Per Unit"</f>
        <v>Prod6 Machinery Hours Req. Per Unit</v>
      </c>
      <c r="C125" t="s">
        <v>2030</v>
      </c>
      <c r="D125">
        <v>5</v>
      </c>
      <c r="E125">
        <f>$D125*(1+L125+N125*($C125="R"))+J125+N125*($C125="A")</f>
        <v>5</v>
      </c>
      <c r="F125" t="s">
        <v>3245</v>
      </c>
      <c r="G125">
        <f>COUNTIF(adj!$C$200:$C$275,$A125)</f>
        <v>0</v>
      </c>
      <c r="H125" s="10">
        <f>SUMIF(adj!$C$200:$C$275,$A125,adj!H$200:H$275)</f>
        <v>0</v>
      </c>
      <c r="J125" s="62"/>
      <c r="L125" s="62"/>
      <c r="N125">
        <f>SUMIF(adj!$C$3:$C$275,$A125,adj!E$3:E$275)</f>
        <v>0</v>
      </c>
    </row>
    <row r="126" spans="1:14" ht="10.5" customHeight="1">
      <c r="A126" s="519">
        <v>122</v>
      </c>
      <c r="B126" t="str">
        <f>DataNameProd6 &amp; " Engineers Required"</f>
        <v>Prod6 Engineers Required</v>
      </c>
      <c r="C126" t="s">
        <v>2030</v>
      </c>
      <c r="D126">
        <v>50</v>
      </c>
      <c r="E126">
        <f>$D126*(1+L126+N126*($C126="R"))+J126+N126*($C126="A")</f>
        <v>50</v>
      </c>
      <c r="F126" t="s">
        <v>3246</v>
      </c>
      <c r="G126">
        <f>COUNTIF(adj!$C$200:$C$275,$A126)</f>
        <v>0</v>
      </c>
      <c r="H126" s="10">
        <f>SUMIF(adj!$C$200:$C$275,$A126,adj!H$200:H$275)</f>
        <v>0</v>
      </c>
      <c r="J126" s="62"/>
      <c r="L126" s="62"/>
      <c r="N126">
        <f>SUMIF(adj!$C$3:$C$275,$A126,adj!E$3:E$275)</f>
        <v>0</v>
      </c>
    </row>
    <row r="127" spans="1:14" ht="10.5" customHeight="1">
      <c r="A127" s="519">
        <v>123</v>
      </c>
      <c r="B127" t="str">
        <f>DataNameProd6 &amp; " Inventory Handling % of Closing Value"</f>
        <v>Prod6 Inventory Handling % of Closing Value</v>
      </c>
      <c r="C127" t="s">
        <v>2030</v>
      </c>
      <c r="D127" s="12">
        <v>0.1</v>
      </c>
      <c r="E127" s="12">
        <f>$D127*(1+L127+N127*($C127="R"))+J127+N127*($C127="A")</f>
        <v>0.1</v>
      </c>
      <c r="F127" t="s">
        <v>3845</v>
      </c>
      <c r="G127">
        <f>COUNTIF(adj!$C$200:$C$275,$A127)</f>
        <v>0</v>
      </c>
      <c r="H127" s="10">
        <f>SUMIF(adj!$C$200:$C$275,$A127,adj!H$200:H$275)</f>
        <v>0</v>
      </c>
      <c r="J127" s="62"/>
      <c r="L127" s="62"/>
      <c r="N127">
        <f>SUMIF(adj!$C$3:$C$275,$A127,adj!E$3:E$275)</f>
        <v>0</v>
      </c>
    </row>
    <row r="128" spans="1:14" ht="10.5" customHeight="1">
      <c r="A128" s="519">
        <v>124</v>
      </c>
      <c r="B128" t="str">
        <f>DataNameProd6 &amp; " Distribution Costs"</f>
        <v>Prod6 Distribution Costs</v>
      </c>
      <c r="C128" t="s">
        <v>2030</v>
      </c>
      <c r="D128" s="10">
        <v>40</v>
      </c>
      <c r="E128" s="10">
        <f>$D128*(1+L128+N128*($C128="R"))+J128+N128*($C128="A")</f>
        <v>40</v>
      </c>
      <c r="F128" t="s">
        <v>3846</v>
      </c>
      <c r="G128">
        <f>COUNTIF(adj!$C$200:$C$275,$A128)</f>
        <v>0</v>
      </c>
      <c r="H128" s="10">
        <f>SUMIF(adj!$C$200:$C$275,$A128,adj!H$200:H$275)</f>
        <v>0</v>
      </c>
      <c r="J128" s="62"/>
      <c r="L128" s="62"/>
      <c r="N128">
        <f>SUMIF(adj!$C$3:$C$275,$A128,adj!E$3:E$275)</f>
        <v>0</v>
      </c>
    </row>
    <row r="129" spans="1:20" ht="10.5" customHeight="1">
      <c r="A129" s="519">
        <v>125</v>
      </c>
      <c r="B129" t="str">
        <f>DataNameProd6 &amp; " Admin Costs"</f>
        <v>Prod6 Admin Costs</v>
      </c>
      <c r="C129" t="s">
        <v>2030</v>
      </c>
      <c r="D129" s="11">
        <v>1000000</v>
      </c>
      <c r="E129" s="11">
        <f>$D129*(1+L129+N129*($C129="R"))+J129+N129*($C129="A")</f>
        <v>1000000</v>
      </c>
      <c r="F129" t="s">
        <v>3847</v>
      </c>
      <c r="G129">
        <f>COUNTIF(adj!$C$200:$C$275,$A129)</f>
        <v>0</v>
      </c>
      <c r="H129" s="10">
        <f>SUMIF(adj!$C$200:$C$275,$A129,adj!H$200:H$275)</f>
        <v>0</v>
      </c>
      <c r="J129" s="62"/>
      <c r="L129" s="62"/>
      <c r="N129">
        <f>SUMIF(adj!$C$3:$C$275,$A129,adj!E$3:E$275)</f>
        <v>0</v>
      </c>
    </row>
    <row r="130" spans="1:20" ht="10.5" customHeight="1">
      <c r="A130" s="519">
        <v>126</v>
      </c>
      <c r="B130" t="str">
        <f>DataNameProd6 &amp; " Other Costs"</f>
        <v>Prod6 Other Costs</v>
      </c>
      <c r="C130" t="s">
        <v>2030</v>
      </c>
      <c r="D130" s="11">
        <v>50000</v>
      </c>
      <c r="E130" s="11">
        <f>$D130*(1+L130+N130*($C130="R"))+J130+N130*($C130="A")</f>
        <v>50000</v>
      </c>
      <c r="F130" t="s">
        <v>3848</v>
      </c>
      <c r="G130">
        <f>COUNTIF(adj!$C$200:$C$275,$A130)</f>
        <v>0</v>
      </c>
      <c r="H130" s="10">
        <f>SUMIF(adj!$C$200:$C$275,$A130,adj!H$200:H$275)</f>
        <v>0</v>
      </c>
      <c r="J130" s="62"/>
      <c r="L130" s="62"/>
      <c r="N130">
        <f>SUMIF(adj!$C$3:$C$275,$A130,adj!E$3:E$275)</f>
        <v>0</v>
      </c>
    </row>
    <row r="131" spans="1:20" ht="10.5" customHeight="1">
      <c r="A131" s="519">
        <v>127</v>
      </c>
      <c r="D131" s="11"/>
      <c r="E131" s="11"/>
      <c r="G131">
        <f>COUNTIF(adj!$C$200:$C$275,$A131)</f>
        <v>0</v>
      </c>
      <c r="H131" s="10">
        <f>SUMIF(adj!$C$200:$C$275,$A131,adj!H$200:H$275)</f>
        <v>0</v>
      </c>
      <c r="J131" s="62"/>
      <c r="L131" s="62"/>
      <c r="N131">
        <f>SUMIF(adj!$C$3:$C$275,$A131,adj!E$3:E$275)</f>
        <v>0</v>
      </c>
    </row>
    <row r="132" spans="1:20" ht="10.5" customHeight="1">
      <c r="A132" s="519">
        <v>128</v>
      </c>
      <c r="D132" s="11"/>
      <c r="E132" s="11"/>
      <c r="G132">
        <f>COUNTIF(adj!$C$200:$C$275,$A132)</f>
        <v>0</v>
      </c>
      <c r="H132" s="10">
        <f>SUMIF(adj!$C$200:$C$275,$A132,adj!H$200:H$275)</f>
        <v>0</v>
      </c>
      <c r="J132" s="62"/>
      <c r="L132" s="62"/>
      <c r="N132">
        <f>SUMIF(adj!$C$3:$C$275,$A132,adj!E$3:E$275)</f>
        <v>0</v>
      </c>
    </row>
    <row r="133" spans="1:20" ht="10.5" customHeight="1">
      <c r="A133" s="519">
        <v>129</v>
      </c>
      <c r="D133" s="11"/>
      <c r="E133" s="11"/>
      <c r="G133">
        <f>COUNTIF(adj!$C$200:$C$275,$A133)</f>
        <v>0</v>
      </c>
      <c r="H133" s="10">
        <f>SUMIF(adj!$C$200:$C$275,$A133,adj!H$200:H$275)</f>
        <v>0</v>
      </c>
      <c r="J133" s="62"/>
      <c r="L133" s="62"/>
      <c r="N133">
        <f>SUMIF(adj!$C$3:$C$275,$A133,adj!E$3:E$275)</f>
        <v>0</v>
      </c>
    </row>
    <row r="134" spans="1:20" ht="10.5" customHeight="1">
      <c r="A134" s="519">
        <v>130</v>
      </c>
      <c r="D134" s="11"/>
      <c r="E134" s="11"/>
      <c r="G134">
        <f>COUNTIF(adj!$C$200:$C$275,$A134)</f>
        <v>0</v>
      </c>
      <c r="H134" s="10">
        <f>SUMIF(adj!$C$200:$C$275,$A134,adj!H$200:H$275)</f>
        <v>0</v>
      </c>
      <c r="J134" s="62"/>
      <c r="L134" s="62"/>
      <c r="N134">
        <f>SUMIF(adj!$C$3:$C$275,$A134,adj!E$3:E$275)</f>
        <v>0</v>
      </c>
    </row>
    <row r="135" spans="1:20" ht="10.5" customHeight="1">
      <c r="A135" s="519">
        <v>131</v>
      </c>
      <c r="D135" s="11"/>
      <c r="E135" s="11"/>
      <c r="G135">
        <f>COUNTIF(adj!$C$200:$C$275,$A135)</f>
        <v>0</v>
      </c>
      <c r="H135" s="10">
        <f>SUMIF(adj!$C$200:$C$275,$A135,adj!H$200:H$275)</f>
        <v>0</v>
      </c>
      <c r="J135" s="62"/>
      <c r="L135" s="62"/>
      <c r="N135">
        <f>SUMIF(adj!$C$3:$C$275,$A135,adj!E$3:E$275)</f>
        <v>0</v>
      </c>
    </row>
    <row r="136" spans="1:20" ht="10.5" customHeight="1">
      <c r="A136" s="519">
        <v>132</v>
      </c>
      <c r="D136">
        <v>0</v>
      </c>
      <c r="E136">
        <f>$D136*(1+L136+N136*($C136="R"))+J136+N136*($C136="A")</f>
        <v>0</v>
      </c>
      <c r="G136">
        <f>COUNTIF(adj!$C$200:$C$275,$A136)</f>
        <v>0</v>
      </c>
      <c r="H136" s="10">
        <f>SUMIF(adj!$C$200:$C$275,$A136,adj!H$200:H$275)</f>
        <v>0</v>
      </c>
      <c r="J136" s="62"/>
      <c r="L136" s="62"/>
      <c r="N136">
        <f>SUMIF(adj!$C$3:$C$275,$A136,adj!E$3:E$275)</f>
        <v>0</v>
      </c>
    </row>
    <row r="137" spans="1:20" ht="11.25">
      <c r="A137" s="519">
        <v>133</v>
      </c>
      <c r="B137" s="2" t="str">
        <f>DataNameEmp1 &amp; " Parameters"</f>
        <v>Offshore Parameters</v>
      </c>
      <c r="G137">
        <f>COUNTIF(adj!$C$200:$C$275,$A137)</f>
        <v>0</v>
      </c>
      <c r="H137" s="10">
        <f>SUMIF(adj!$C$200:$C$275,$A137,adj!H$200:H$275)</f>
        <v>0</v>
      </c>
      <c r="J137" s="62"/>
      <c r="L137" s="62"/>
      <c r="N137">
        <f>SUMIF(adj!$C$3:$C$275,$A137,adj!E$3:E$275)</f>
        <v>0</v>
      </c>
    </row>
    <row r="138" spans="1:20" ht="11.25">
      <c r="A138" s="519">
        <v>134</v>
      </c>
      <c r="B138" t="str">
        <f>DataNameEmp1 &amp; " Attrition rate"</f>
        <v>Offshore Attrition rate</v>
      </c>
      <c r="C138" t="s">
        <v>2030</v>
      </c>
      <c r="D138" s="271">
        <v>0.25</v>
      </c>
      <c r="E138" s="271">
        <f>$D138*(1+L138+N138*($C138="R"))+J138+N138*($C138="A")</f>
        <v>0.24983749999999999</v>
      </c>
      <c r="F138" t="s">
        <v>4274</v>
      </c>
      <c r="G138">
        <f>COUNTIF(adj!$C$200:$C$275,$A138)</f>
        <v>0</v>
      </c>
      <c r="H138" s="10">
        <f>SUMIF(adj!$C$200:$C$275,$A138,adj!H$200:H$275)</f>
        <v>0</v>
      </c>
      <c r="J138" s="62"/>
      <c r="L138" s="62"/>
      <c r="N138">
        <f>SUMIF(adj!$C$3:$C$275,$A138,adj!E$3:E$275)</f>
        <v>-6.5000000000000008E-4</v>
      </c>
      <c r="P138" t="s">
        <v>650</v>
      </c>
      <c r="Q138" t="s">
        <v>651</v>
      </c>
      <c r="R138" t="s">
        <v>652</v>
      </c>
      <c r="S138" t="s">
        <v>653</v>
      </c>
      <c r="T138" t="s">
        <v>654</v>
      </c>
    </row>
    <row r="139" spans="1:20" ht="11.25">
      <c r="A139" s="519">
        <v>135</v>
      </c>
      <c r="B139" t="str">
        <f>DataNameEmp1 &amp; " Salary"</f>
        <v>Offshore Salary</v>
      </c>
      <c r="C139" t="s">
        <v>2030</v>
      </c>
      <c r="D139" s="16">
        <f>INDEX(P139:T139,xxYear+1)</f>
        <v>50000</v>
      </c>
      <c r="E139" s="16">
        <f>$D139*(1+L139+N139*($C139="R"))+J139+N139*($C139="A")</f>
        <v>50000</v>
      </c>
      <c r="F139" t="s">
        <v>4275</v>
      </c>
      <c r="G139">
        <f>COUNTIF(adj!$C$200:$C$275,$A139)</f>
        <v>0</v>
      </c>
      <c r="H139" s="10">
        <f>SUMIF(adj!$C$200:$C$275,$A139,adj!H$200:H$275)</f>
        <v>0</v>
      </c>
      <c r="J139" s="62"/>
      <c r="L139" s="62"/>
      <c r="N139">
        <f>SUMIF(adj!$C$3:$C$275,$A139,adj!E$3:E$275)</f>
        <v>0</v>
      </c>
      <c r="P139">
        <v>50000</v>
      </c>
      <c r="Q139">
        <f>P139*1</f>
        <v>50000</v>
      </c>
      <c r="R139">
        <f>Q139*1.05</f>
        <v>52500</v>
      </c>
      <c r="S139">
        <f>R139*1.05</f>
        <v>55125</v>
      </c>
      <c r="T139">
        <f>S139*1.05</f>
        <v>57881.25</v>
      </c>
    </row>
    <row r="140" spans="1:20" ht="12" customHeight="1">
      <c r="A140" s="519">
        <v>136</v>
      </c>
      <c r="B140" t="str">
        <f>DataNameEmp1 &amp; " Recruit/Dismissal Cost"</f>
        <v>Offshore Recruit/Dismissal Cost</v>
      </c>
      <c r="C140" t="s">
        <v>2030</v>
      </c>
      <c r="D140" s="12">
        <v>0.35</v>
      </c>
      <c r="E140" s="12">
        <f>$D140*(1+L140+N140*($C140="R"))+J140+N140*($C140="A")</f>
        <v>0.35</v>
      </c>
      <c r="F140" t="s">
        <v>4276</v>
      </c>
      <c r="G140">
        <f>COUNTIF(adj!$C$200:$C$275,$A140)</f>
        <v>0</v>
      </c>
      <c r="H140" s="10">
        <f>SUMIF(adj!$C$200:$C$275,$A140,adj!H$200:H$275)</f>
        <v>0</v>
      </c>
      <c r="J140" s="62"/>
      <c r="L140" s="62"/>
      <c r="N140">
        <f>SUMIF(adj!$C$3:$C$275,$A140,adj!E$3:E$275)</f>
        <v>0</v>
      </c>
    </row>
    <row r="141" spans="1:20" ht="11.25">
      <c r="A141" s="519">
        <v>137</v>
      </c>
      <c r="B141" t="str">
        <f>DataNameEmp1 &amp; " Admin Cost as Pct of Salary"</f>
        <v>Offshore Admin Cost as Pct of Salary</v>
      </c>
      <c r="C141" t="s">
        <v>2030</v>
      </c>
      <c r="D141" s="12">
        <v>0.05</v>
      </c>
      <c r="E141" s="12">
        <f>$D141*(1+L141+N141*($C141="R"))+J141+N141*($C141="A")</f>
        <v>0.05</v>
      </c>
      <c r="F141" t="s">
        <v>4273</v>
      </c>
      <c r="G141">
        <f>COUNTIF(adj!$C$200:$C$275,$A141)</f>
        <v>0</v>
      </c>
      <c r="H141" s="10">
        <f>SUMIF(adj!$C$200:$C$275,$A141,adj!H$200:H$275)</f>
        <v>0</v>
      </c>
      <c r="J141" s="62"/>
      <c r="L141" s="62"/>
      <c r="N141">
        <f>SUMIF(adj!$C$3:$C$275,$A141,adj!E$3:E$275)</f>
        <v>0</v>
      </c>
    </row>
    <row r="142" spans="1:20" ht="11.25">
      <c r="A142" s="519">
        <v>138</v>
      </c>
      <c r="B142" t="str">
        <f>DataNameEmp1 &amp; " Overtime Rate"</f>
        <v>Offshore Overtime Rate</v>
      </c>
      <c r="C142" t="s">
        <v>2030</v>
      </c>
      <c r="D142" s="12">
        <v>0</v>
      </c>
      <c r="E142" s="12">
        <f>$D142*(1+L142+N142*($C142="R"))+J142+N142*($C142="A")</f>
        <v>0</v>
      </c>
      <c r="F142" t="s">
        <v>4035</v>
      </c>
      <c r="G142">
        <f>COUNTIF(adj!$C$200:$C$275,$A142)</f>
        <v>0</v>
      </c>
      <c r="H142" s="10">
        <f>SUMIF(adj!$C$200:$C$275,$A142,adj!H$200:H$275)</f>
        <v>0</v>
      </c>
      <c r="J142" s="62"/>
      <c r="L142" s="62"/>
      <c r="N142">
        <f>SUMIF(adj!$C$3:$C$275,$A142,adj!E$3:E$275)</f>
        <v>0</v>
      </c>
    </row>
    <row r="143" spans="1:20" ht="11.25">
      <c r="A143" s="519">
        <v>139</v>
      </c>
      <c r="B143" t="str">
        <f>DataNameEmp1 &amp; " Hours Per Year"</f>
        <v>Offshore Hours Per Year</v>
      </c>
      <c r="C143" t="s">
        <v>2030</v>
      </c>
      <c r="D143" s="11">
        <f>1350</f>
        <v>1350</v>
      </c>
      <c r="E143" s="11">
        <f>$D143*(1+L143+N143*($C143="R"))+J143+N143*($C143="A")</f>
        <v>1350</v>
      </c>
      <c r="F143" t="s">
        <v>4449</v>
      </c>
      <c r="G143">
        <f>COUNTIF(adj!$C$200:$C$275,$A143)</f>
        <v>0</v>
      </c>
      <c r="H143" s="10">
        <f>SUMIF(adj!$C$200:$C$275,$A143,adj!H$200:H$275)</f>
        <v>0</v>
      </c>
      <c r="J143" s="62"/>
      <c r="L143" s="62"/>
      <c r="N143">
        <f>SUMIF(adj!$C$3:$C$275,$A143,adj!E$3:E$275)</f>
        <v>0</v>
      </c>
    </row>
    <row r="144" spans="1:20" ht="11.25">
      <c r="A144" s="519">
        <v>140</v>
      </c>
      <c r="B144" t="str">
        <f>DataNameEmp1 &amp; " Productivity Coeficient"</f>
        <v>Offshore Productivity Coeficient</v>
      </c>
      <c r="C144" t="s">
        <v>2030</v>
      </c>
      <c r="D144" s="312">
        <v>1</v>
      </c>
      <c r="E144" s="312">
        <f>$D144*(1+L144+N144*($C144="R"))+J144+N144*($C144="A")</f>
        <v>0.99474500536903587</v>
      </c>
      <c r="F144" t="s">
        <v>85</v>
      </c>
      <c r="G144">
        <f>COUNTIF(adj!$C$200:$C$275,$A144)</f>
        <v>0</v>
      </c>
      <c r="H144" s="10">
        <f>SUMIF(adj!$C$200:$C$275,$A144,adj!H$200:H$275)</f>
        <v>0</v>
      </c>
      <c r="J144" s="62"/>
      <c r="L144" s="62"/>
      <c r="N144">
        <f>SUMIF(adj!$C$3:$C$275,$A144,adj!E$3:E$275)</f>
        <v>-5.2549946309641306E-3</v>
      </c>
    </row>
    <row r="145" spans="1:20" ht="11.25">
      <c r="A145" s="519">
        <v>141</v>
      </c>
      <c r="B145" t="str">
        <f>DataNameEmp1 &amp; " Load Cost % of Salary"</f>
        <v>Offshore Load Cost % of Salary</v>
      </c>
      <c r="C145" t="s">
        <v>2030</v>
      </c>
      <c r="D145" s="312">
        <v>0.1</v>
      </c>
      <c r="E145" s="312">
        <f>$D145*(1+L145+N145*($C145="R"))+J145+N145*($C145="A")</f>
        <v>0.1</v>
      </c>
      <c r="F145" t="s">
        <v>2350</v>
      </c>
      <c r="G145">
        <f>COUNTIF(adj!$C$200:$C$275,$A145)</f>
        <v>0</v>
      </c>
      <c r="H145" s="10">
        <f>SUMIF(adj!$C$200:$C$275,$A145,adj!H$200:H$275)</f>
        <v>0</v>
      </c>
      <c r="J145" s="62"/>
      <c r="L145" s="62"/>
      <c r="N145">
        <f>SUMIF(adj!$C$3:$C$275,$A145,adj!E$3:E$275)</f>
        <v>0</v>
      </c>
    </row>
    <row r="146" spans="1:20" ht="11.25">
      <c r="A146" s="519">
        <v>142</v>
      </c>
      <c r="B146" t="str">
        <f>DataNameEmp1 &amp; " Competency Multiplier"</f>
        <v>Offshore Competency Multiplier</v>
      </c>
      <c r="C146" t="s">
        <v>2030</v>
      </c>
      <c r="D146" s="312">
        <v>1</v>
      </c>
      <c r="E146" s="312">
        <f>$D146*(1+L146+N146*($C146="R"))+J146+N146*($C146="A")</f>
        <v>1</v>
      </c>
      <c r="F146" t="s">
        <v>1800</v>
      </c>
      <c r="G146">
        <f>COUNTIF(adj!$C$200:$C$275,$A146)</f>
        <v>0</v>
      </c>
      <c r="H146" s="10">
        <f>SUMIF(adj!$C$200:$C$275,$A146,adj!H$200:H$275)</f>
        <v>0</v>
      </c>
      <c r="J146" s="62"/>
      <c r="L146" s="62"/>
      <c r="N146">
        <f>SUMIF(adj!$C$3:$C$275,$A146,adj!E$3:E$275)</f>
        <v>0</v>
      </c>
    </row>
    <row r="147" spans="1:20" ht="11.25">
      <c r="A147" s="519">
        <v>143</v>
      </c>
      <c r="B147" t="str">
        <f>DataNameEmp1 &amp; " Hrs Req Per Cons. Comp. Dev. Level"</f>
        <v>Offshore Hrs Req Per Cons. Comp. Dev. Level</v>
      </c>
      <c r="C147" t="s">
        <v>2030</v>
      </c>
      <c r="D147" s="312">
        <v>1500</v>
      </c>
      <c r="E147" s="312">
        <f>$D147*(1+L147+N147*($C147="R"))+J147+N147*($C147="A")</f>
        <v>1500</v>
      </c>
      <c r="F147" t="s">
        <v>1716</v>
      </c>
      <c r="G147">
        <f>COUNTIF(adj!$C$200:$C$275,$A147)</f>
        <v>0</v>
      </c>
      <c r="H147" s="10">
        <f>SUMIF(adj!$C$200:$C$275,$A147,adj!H$200:H$275)</f>
        <v>0</v>
      </c>
      <c r="J147" s="62"/>
      <c r="L147" s="62"/>
      <c r="N147">
        <f>SUMIF(adj!$C$3:$C$275,$A147,adj!E$3:E$275)</f>
        <v>0</v>
      </c>
    </row>
    <row r="148" spans="1:20" ht="11.25">
      <c r="A148" s="519">
        <v>144</v>
      </c>
      <c r="B148" t="str">
        <f>DataNameEmp1 &amp; " Hrs Req Per BPO Comp. Dev. Level"</f>
        <v>Offshore Hrs Req Per BPO Comp. Dev. Level</v>
      </c>
      <c r="C148" t="s">
        <v>2030</v>
      </c>
      <c r="D148" s="312">
        <v>800</v>
      </c>
      <c r="E148" s="312">
        <f>$D148*(1+L148+N148*($C148="R"))+J148+N148*($C148="A")</f>
        <v>800</v>
      </c>
      <c r="F148" t="s">
        <v>1717</v>
      </c>
      <c r="G148">
        <f>COUNTIF(adj!$C$200:$C$275,$A148)</f>
        <v>0</v>
      </c>
      <c r="H148" s="10">
        <f>SUMIF(adj!$C$200:$C$275,$A148,adj!H$200:H$275)</f>
        <v>0</v>
      </c>
      <c r="J148" s="62"/>
      <c r="L148" s="62"/>
      <c r="N148">
        <f>SUMIF(adj!$C$3:$C$275,$A148,adj!E$3:E$275)</f>
        <v>0</v>
      </c>
    </row>
    <row r="149" spans="1:20" ht="11.25">
      <c r="A149" s="519">
        <v>145</v>
      </c>
      <c r="B149" t="str">
        <f>DataNameEmp1 &amp; " General Ops Cost Reduction % Per Hr"</f>
        <v>Offshore General Ops Cost Reduction % Per Hr</v>
      </c>
      <c r="C149" t="s">
        <v>2030</v>
      </c>
      <c r="D149" s="375">
        <v>1E-4</v>
      </c>
      <c r="E149" s="375">
        <f>$D149*(1+L149+N149*($C149="R"))+J149+N149*($C149="A")</f>
        <v>1E-4</v>
      </c>
      <c r="F149" t="s">
        <v>3884</v>
      </c>
      <c r="G149">
        <f>COUNTIF(adj!$C$200:$C$275,$A149)</f>
        <v>0</v>
      </c>
      <c r="H149" s="10">
        <f>SUMIF(adj!$C$200:$C$275,$A149,adj!H$200:H$275)</f>
        <v>0</v>
      </c>
      <c r="J149" s="62"/>
      <c r="L149" s="62"/>
      <c r="N149">
        <f>SUMIF(adj!$C$3:$C$275,$A149,adj!E$3:E$275)</f>
        <v>0</v>
      </c>
    </row>
    <row r="150" spans="1:20" ht="11.25">
      <c r="A150" s="519">
        <v>146</v>
      </c>
      <c r="B150" t="str">
        <f>DataNameEmp1 &amp; " Training Hrs per Budget $"</f>
        <v>Offshore Training Hrs per Budget $</v>
      </c>
      <c r="C150" t="s">
        <v>2030</v>
      </c>
      <c r="D150" s="385">
        <v>0.12</v>
      </c>
      <c r="E150" s="385">
        <f>$D150*(1+L150+N150*($C150="R"))+J150+N150*($C150="A")</f>
        <v>0.12</v>
      </c>
      <c r="F150" t="s">
        <v>2143</v>
      </c>
      <c r="G150">
        <f>COUNTIF(adj!$C$200:$C$275,$A150)</f>
        <v>0</v>
      </c>
      <c r="H150" s="10">
        <f>SUMIF(adj!$C$200:$C$275,$A150,adj!H$200:H$275)</f>
        <v>0</v>
      </c>
      <c r="J150" s="62"/>
      <c r="L150" s="62"/>
      <c r="N150">
        <f>SUMIF(adj!$C$3:$C$275,$A150,adj!E$3:E$275)</f>
        <v>0</v>
      </c>
    </row>
    <row r="151" spans="1:20" ht="11.25">
      <c r="A151" s="519">
        <v>147</v>
      </c>
      <c r="B151" t="str">
        <f>DataNameEmp1 &amp; " General Ops Cost Reduction % Per Hr"</f>
        <v>Offshore General Ops Cost Reduction % Per Hr</v>
      </c>
      <c r="C151" t="s">
        <v>2030</v>
      </c>
      <c r="D151" s="375">
        <v>1E-4</v>
      </c>
      <c r="E151" s="375">
        <f>$D151*(1+L151+N151*($C151="R"))+J151+N151*($C151="A")</f>
        <v>1E-4</v>
      </c>
      <c r="F151" t="s">
        <v>4585</v>
      </c>
      <c r="G151">
        <f>COUNTIF(adj!$C$200:$C$275,$A151)</f>
        <v>0</v>
      </c>
      <c r="H151" s="10">
        <f>SUMIF(adj!$C$200:$C$275,$A151,adj!H$200:H$275)</f>
        <v>0</v>
      </c>
      <c r="J151" s="62"/>
      <c r="L151" s="62"/>
      <c r="N151">
        <f>SUMIF(adj!$C$3:$C$275,$A151,adj!E$3:E$275)</f>
        <v>0</v>
      </c>
    </row>
    <row r="152" spans="1:20" ht="11.25">
      <c r="A152" s="519">
        <v>148</v>
      </c>
      <c r="D152" s="385"/>
      <c r="E152" s="385"/>
      <c r="G152">
        <f>COUNTIF(adj!$C$200:$C$275,$A152)</f>
        <v>0</v>
      </c>
      <c r="H152" s="10">
        <f>SUMIF(adj!$C$200:$C$275,$A152,adj!H$200:H$275)</f>
        <v>0</v>
      </c>
      <c r="J152" s="62"/>
      <c r="L152" s="62"/>
      <c r="N152">
        <f>SUMIF(adj!$C$3:$C$275,$A152,adj!E$3:E$275)</f>
        <v>0</v>
      </c>
    </row>
    <row r="153" spans="1:20" ht="11.25">
      <c r="A153" s="519">
        <v>149</v>
      </c>
      <c r="D153" s="385"/>
      <c r="E153" s="385"/>
      <c r="G153">
        <f>COUNTIF(adj!$C$200:$C$275,$A153)</f>
        <v>0</v>
      </c>
      <c r="H153" s="10">
        <f>SUMIF(adj!$C$200:$C$275,$A153,adj!H$200:H$275)</f>
        <v>0</v>
      </c>
      <c r="J153" s="62"/>
      <c r="L153" s="62"/>
      <c r="N153">
        <f>SUMIF(adj!$C$3:$C$275,$A153,adj!E$3:E$275)</f>
        <v>0</v>
      </c>
    </row>
    <row r="154" spans="1:20" ht="11.25">
      <c r="A154" s="519">
        <v>150</v>
      </c>
      <c r="D154" s="385"/>
      <c r="E154" s="385"/>
      <c r="G154">
        <f>COUNTIF(adj!$C$200:$C$275,$A154)</f>
        <v>0</v>
      </c>
      <c r="H154" s="10">
        <f>SUMIF(adj!$C$200:$C$275,$A154,adj!H$200:H$275)</f>
        <v>0</v>
      </c>
      <c r="J154" s="62"/>
      <c r="L154" s="62"/>
      <c r="N154">
        <f>SUMIF(adj!$C$3:$C$275,$A154,adj!E$3:E$275)</f>
        <v>0</v>
      </c>
    </row>
    <row r="155" spans="1:20" ht="11.25">
      <c r="A155" s="519">
        <v>151</v>
      </c>
      <c r="D155" s="385"/>
      <c r="E155" s="385"/>
      <c r="G155">
        <f>COUNTIF(adj!$C$200:$C$275,$A155)</f>
        <v>0</v>
      </c>
      <c r="H155" s="10">
        <f>SUMIF(adj!$C$200:$C$275,$A155,adj!H$200:H$275)</f>
        <v>0</v>
      </c>
      <c r="J155" s="62"/>
      <c r="L155" s="62"/>
      <c r="N155">
        <f>SUMIF(adj!$C$3:$C$275,$A155,adj!E$3:E$275)</f>
        <v>0</v>
      </c>
    </row>
    <row r="156" spans="1:20" ht="11.25">
      <c r="A156" s="519">
        <v>152</v>
      </c>
      <c r="D156" s="385"/>
      <c r="E156" s="385"/>
      <c r="G156">
        <f>COUNTIF(adj!$C$200:$C$275,$A156)</f>
        <v>0</v>
      </c>
      <c r="H156" s="10">
        <f>SUMIF(adj!$C$200:$C$275,$A156,adj!H$200:H$275)</f>
        <v>0</v>
      </c>
      <c r="J156" s="62"/>
      <c r="L156" s="62"/>
      <c r="N156">
        <f>SUMIF(adj!$C$3:$C$275,$A156,adj!E$3:E$275)</f>
        <v>0</v>
      </c>
    </row>
    <row r="157" spans="1:20" ht="11.25">
      <c r="A157" s="519">
        <v>153</v>
      </c>
      <c r="E157">
        <f>$D157*(1+L157+N157*($C157="R"))+J157+N157*($C157="A")</f>
        <v>0</v>
      </c>
      <c r="G157">
        <f>COUNTIF(adj!$C$200:$C$275,$A157)</f>
        <v>0</v>
      </c>
      <c r="H157" s="10">
        <f>SUMIF(adj!$C$200:$C$275,$A157,adj!H$200:H$275)</f>
        <v>0</v>
      </c>
      <c r="J157" s="62"/>
      <c r="L157" s="62"/>
      <c r="N157">
        <f>SUMIF(adj!$C$3:$C$275,$A157,adj!E$3:E$275)</f>
        <v>0</v>
      </c>
    </row>
    <row r="158" spans="1:20" ht="11.25">
      <c r="A158" s="519">
        <v>154</v>
      </c>
      <c r="B158" s="2" t="str">
        <f>DataNameEmp2 &amp; " Parameters"</f>
        <v>Technical Parameters</v>
      </c>
      <c r="G158">
        <f>COUNTIF(adj!$C$200:$C$275,$A158)</f>
        <v>0</v>
      </c>
      <c r="H158" s="10">
        <f>SUMIF(adj!$C$200:$C$275,$A158,adj!H$200:H$275)</f>
        <v>0</v>
      </c>
      <c r="J158" s="62"/>
      <c r="L158" s="62"/>
      <c r="N158">
        <f>SUMIF(adj!$C$3:$C$275,$A158,adj!E$3:E$275)</f>
        <v>0</v>
      </c>
      <c r="P158">
        <v>1.1499999999999999</v>
      </c>
    </row>
    <row r="159" spans="1:20" ht="11.25">
      <c r="A159" s="519">
        <v>155</v>
      </c>
      <c r="B159" t="str">
        <f>DataNameEmp2 &amp; " Attrition rate"</f>
        <v>Technical Attrition rate</v>
      </c>
      <c r="C159" t="s">
        <v>2030</v>
      </c>
      <c r="D159" s="12">
        <v>0.2</v>
      </c>
      <c r="E159" s="12">
        <f>$D159*(1+L159+N159*($C159="R"))+J159+N159*($C159="A")</f>
        <v>0.19986999999999999</v>
      </c>
      <c r="F159" t="s">
        <v>4278</v>
      </c>
      <c r="G159">
        <f>COUNTIF(adj!$C$200:$C$275,$A159)</f>
        <v>0</v>
      </c>
      <c r="H159" s="10">
        <f>SUMIF(adj!$C$200:$C$275,$A159,adj!H$200:H$275)</f>
        <v>0</v>
      </c>
      <c r="J159" s="62"/>
      <c r="L159" s="62"/>
      <c r="N159">
        <f>SUMIF(adj!$C$3:$C$275,$A159,adj!E$3:E$275)</f>
        <v>-6.5000000000000008E-4</v>
      </c>
      <c r="P159" t="s">
        <v>650</v>
      </c>
      <c r="Q159" t="s">
        <v>651</v>
      </c>
      <c r="R159" t="s">
        <v>652</v>
      </c>
      <c r="S159" t="s">
        <v>653</v>
      </c>
      <c r="T159" t="s">
        <v>654</v>
      </c>
    </row>
    <row r="160" spans="1:20" ht="11.25">
      <c r="A160" s="519">
        <v>156</v>
      </c>
      <c r="B160" t="str">
        <f>DataNameEmp2 &amp; " Salary"</f>
        <v>Technical Salary</v>
      </c>
      <c r="C160" t="s">
        <v>2030</v>
      </c>
      <c r="D160" s="16">
        <f>INDEX(P160:T160,xxYear+1)</f>
        <v>85962.5</v>
      </c>
      <c r="E160" s="16">
        <f>$D160*(1+L160+N160*($C160="R"))+J160+N160*($C160="A")</f>
        <v>85962.5</v>
      </c>
      <c r="F160" t="s">
        <v>4279</v>
      </c>
      <c r="G160">
        <f>COUNTIF(adj!$C$200:$C$275,$A160)</f>
        <v>0</v>
      </c>
      <c r="H160" s="10">
        <f>SUMIF(adj!$C$200:$C$275,$A160,adj!H$200:H$275)</f>
        <v>0</v>
      </c>
      <c r="J160" s="62"/>
      <c r="L160" s="62"/>
      <c r="N160">
        <f>SUMIF(adj!$C$3:$C$275,$A160,adj!E$3:E$275)</f>
        <v>0</v>
      </c>
      <c r="P160">
        <v>74750</v>
      </c>
      <c r="Q160">
        <f>(P160*1)*1.15</f>
        <v>85962.5</v>
      </c>
      <c r="R160">
        <f>(Q160*1.05)*1.15</f>
        <v>103799.71874999999</v>
      </c>
      <c r="S160">
        <f>(R160*1.05)*1.15</f>
        <v>125338.16039062498</v>
      </c>
      <c r="T160">
        <f>(S160*1.05)*1.15</f>
        <v>151345.82867167966</v>
      </c>
    </row>
    <row r="161" spans="1:14" ht="11.25">
      <c r="A161" s="519">
        <v>157</v>
      </c>
      <c r="B161" t="str">
        <f>DataNameEmp2 &amp; " OT Rate"</f>
        <v>Technical OT Rate</v>
      </c>
      <c r="C161" t="s">
        <v>2030</v>
      </c>
      <c r="D161" s="12">
        <v>0.35</v>
      </c>
      <c r="E161" s="12">
        <f>$D161*(1+L161+N161*($C161="R"))+J161+N161*($C161="A")</f>
        <v>0.35</v>
      </c>
      <c r="F161" t="s">
        <v>4281</v>
      </c>
      <c r="G161">
        <f>COUNTIF(adj!$C$200:$C$275,$A161)</f>
        <v>0</v>
      </c>
      <c r="H161" s="10">
        <f>SUMIF(adj!$C$200:$C$275,$A161,adj!H$200:H$275)</f>
        <v>0</v>
      </c>
      <c r="J161" s="62"/>
      <c r="L161" s="62"/>
      <c r="N161">
        <f>SUMIF(adj!$C$3:$C$275,$A161,adj!E$3:E$275)</f>
        <v>0</v>
      </c>
    </row>
    <row r="162" spans="1:14" ht="11.25">
      <c r="A162" s="519">
        <v>158</v>
      </c>
      <c r="B162" t="str">
        <f>DataNameEmp2 &amp; " Recruit/Dismissal Cost"</f>
        <v>Technical Recruit/Dismissal Cost</v>
      </c>
      <c r="C162" t="s">
        <v>2030</v>
      </c>
      <c r="D162" s="12">
        <v>0.5</v>
      </c>
      <c r="E162" s="12">
        <f>$D162*(1+L162+N162*($C162="R"))+J162+N162*($C162="A")</f>
        <v>0.5</v>
      </c>
      <c r="F162" t="s">
        <v>4282</v>
      </c>
      <c r="G162">
        <f>COUNTIF(adj!$C$200:$C$275,$A162)</f>
        <v>0</v>
      </c>
      <c r="H162" s="10">
        <f>SUMIF(adj!$C$200:$C$275,$A162,adj!H$200:H$275)</f>
        <v>0</v>
      </c>
      <c r="J162" s="62"/>
      <c r="L162" s="62"/>
      <c r="N162">
        <f>SUMIF(adj!$C$3:$C$275,$A162,adj!E$3:E$275)</f>
        <v>0</v>
      </c>
    </row>
    <row r="163" spans="1:14" ht="11.25">
      <c r="A163" s="519">
        <v>159</v>
      </c>
      <c r="B163" t="str">
        <f>DataNameEmp2 &amp; " Admin Cost as Pct of Salary"</f>
        <v>Technical Admin Cost as Pct of Salary</v>
      </c>
      <c r="C163" t="s">
        <v>2030</v>
      </c>
      <c r="D163" s="12">
        <v>0.05</v>
      </c>
      <c r="E163" s="12">
        <f>$D163*(1+L163+N163*($C163="R"))+J163+N163*($C163="A")</f>
        <v>0.05</v>
      </c>
      <c r="F163" t="s">
        <v>4277</v>
      </c>
      <c r="G163">
        <f>COUNTIF(adj!$C$200:$C$275,$A163)</f>
        <v>0</v>
      </c>
      <c r="H163" s="10">
        <f>SUMIF(adj!$C$200:$C$275,$A163,adj!H$200:H$275)</f>
        <v>0</v>
      </c>
      <c r="J163" s="62"/>
      <c r="L163" s="62"/>
      <c r="N163">
        <f>SUMIF(adj!$C$3:$C$275,$A163,adj!E$3:E$275)</f>
        <v>0</v>
      </c>
    </row>
    <row r="164" spans="1:14" ht="11.25">
      <c r="A164" s="519">
        <v>160</v>
      </c>
      <c r="B164" t="str">
        <f>DataNameEmp2 &amp; " Hours Per Year"</f>
        <v>Technical Hours Per Year</v>
      </c>
      <c r="C164" t="s">
        <v>2030</v>
      </c>
      <c r="D164" s="11">
        <v>2000</v>
      </c>
      <c r="E164" s="11">
        <f>$D164*(1+L164+N164*($C164="R"))+J164+N164*($C164="A")</f>
        <v>2000</v>
      </c>
      <c r="F164" t="s">
        <v>4280</v>
      </c>
      <c r="G164">
        <f>COUNTIF(adj!$C$200:$C$275,$A164)</f>
        <v>0</v>
      </c>
      <c r="H164" s="10">
        <f>SUMIF(adj!$C$200:$C$275,$A164,adj!H$200:H$275)</f>
        <v>0</v>
      </c>
      <c r="J164" s="62"/>
      <c r="L164" s="62"/>
      <c r="N164">
        <f>SUMIF(adj!$C$3:$C$275,$A164,adj!E$3:E$275)</f>
        <v>0</v>
      </c>
    </row>
    <row r="165" spans="1:14" ht="11.25">
      <c r="A165" s="1065">
        <v>161</v>
      </c>
      <c r="B165" t="str">
        <f>DataNameEmp2 &amp; " Productivity Coeficient"</f>
        <v>Technical Productivity Coeficient</v>
      </c>
      <c r="C165" t="s">
        <v>2030</v>
      </c>
      <c r="D165" s="313">
        <v>0.6</v>
      </c>
      <c r="E165" s="313">
        <f>$D165*(1+L165+N165*($C165="R"))+J165+N165*($C165="A")</f>
        <v>0.59288251141552506</v>
      </c>
      <c r="F165" t="s">
        <v>86</v>
      </c>
      <c r="G165">
        <f>COUNTIF(adj!$C$200:$C$275,$A165)</f>
        <v>0</v>
      </c>
      <c r="H165" s="10">
        <f>SUMIF(adj!$C$200:$C$275,$A165,adj!H$200:H$275)</f>
        <v>0</v>
      </c>
      <c r="J165" s="62"/>
      <c r="L165" s="62"/>
      <c r="N165">
        <f>SUMIF(adj!$C$3:$C$275,$A165,adj!E$3:E$275)</f>
        <v>-1.186248097412481E-2</v>
      </c>
    </row>
    <row r="166" spans="1:14" ht="11.25">
      <c r="A166" s="519">
        <v>162</v>
      </c>
      <c r="B166" t="str">
        <f>DataNameEmp2 &amp; " Load Cost % of Salary"</f>
        <v>Technical Load Cost % of Salary</v>
      </c>
      <c r="C166" t="s">
        <v>2030</v>
      </c>
      <c r="D166" s="313">
        <v>0.1</v>
      </c>
      <c r="E166" s="313">
        <f>$D166*(1+L166+N166*($C166="R"))+J166+N166*($C166="A")</f>
        <v>0.1</v>
      </c>
      <c r="F166" t="s">
        <v>2351</v>
      </c>
      <c r="G166">
        <f>COUNTIF(adj!$C$200:$C$275,$A166)</f>
        <v>0</v>
      </c>
      <c r="H166" s="10">
        <f>SUMIF(adj!$C$200:$C$275,$A166,adj!H$200:H$275)</f>
        <v>0</v>
      </c>
      <c r="J166" s="62"/>
      <c r="L166" s="62"/>
      <c r="N166">
        <f>SUMIF(adj!$C$3:$C$275,$A166,adj!E$3:E$275)</f>
        <v>0</v>
      </c>
    </row>
    <row r="167" spans="1:14" ht="11.25">
      <c r="A167" s="519">
        <v>163</v>
      </c>
      <c r="B167" t="str">
        <f>DataNameEmp2 &amp; " Competency Multiplier"</f>
        <v>Technical Competency Multiplier</v>
      </c>
      <c r="C167" t="s">
        <v>2030</v>
      </c>
      <c r="D167" s="313">
        <v>1</v>
      </c>
      <c r="E167" s="313">
        <f>$D167*(1+L167+N167*($C167="R"))+J167+N167*($C167="A")</f>
        <v>1</v>
      </c>
      <c r="F167" t="s">
        <v>2403</v>
      </c>
      <c r="G167">
        <f>COUNTIF(adj!$C$200:$C$275,$A167)</f>
        <v>0</v>
      </c>
      <c r="H167" s="10">
        <f>SUMIF(adj!$C$200:$C$275,$A167,adj!H$200:H$275)</f>
        <v>0</v>
      </c>
      <c r="J167" s="62"/>
      <c r="L167" s="62"/>
      <c r="N167">
        <f>SUMIF(adj!$C$3:$C$275,$A167,adj!E$3:E$275)</f>
        <v>0</v>
      </c>
    </row>
    <row r="168" spans="1:14" ht="11.25">
      <c r="A168" s="519">
        <v>164</v>
      </c>
      <c r="B168" t="str">
        <f>DataNameEmp2 &amp; " Hrs Req Per Cons. Comp. Dev. Level"</f>
        <v>Technical Hrs Req Per Cons. Comp. Dev. Level</v>
      </c>
      <c r="C168" t="s">
        <v>2030</v>
      </c>
      <c r="D168" s="312">
        <v>500</v>
      </c>
      <c r="E168" s="312">
        <f>$D168*(1+L168+N168*($C168="R"))+J168+N168*($C168="A")</f>
        <v>500</v>
      </c>
      <c r="F168" t="s">
        <v>3586</v>
      </c>
      <c r="G168">
        <f>COUNTIF(adj!$C$200:$C$275,$A168)</f>
        <v>0</v>
      </c>
      <c r="H168" s="10">
        <f>SUMIF(adj!$C$200:$C$275,$A168,adj!H$200:H$275)</f>
        <v>0</v>
      </c>
      <c r="J168" s="62"/>
      <c r="L168" s="62"/>
      <c r="N168">
        <f>SUMIF(adj!$C$3:$C$275,$A168,adj!E$3:E$275)</f>
        <v>0</v>
      </c>
    </row>
    <row r="169" spans="1:14" ht="11.25">
      <c r="A169" s="519">
        <v>165</v>
      </c>
      <c r="B169" t="str">
        <f>DataNameEmp2 &amp; " Hrs Req Per BPO Comp. Dev. Level"</f>
        <v>Technical Hrs Req Per BPO Comp. Dev. Level</v>
      </c>
      <c r="C169" t="s">
        <v>2030</v>
      </c>
      <c r="D169" s="312">
        <v>1000</v>
      </c>
      <c r="E169" s="312">
        <f>$D169*(1+L169+N169*($C169="R"))+J169+N169*($C169="A")</f>
        <v>1000</v>
      </c>
      <c r="F169" t="s">
        <v>3587</v>
      </c>
      <c r="G169">
        <f>COUNTIF(adj!$C$200:$C$275,$A169)</f>
        <v>0</v>
      </c>
      <c r="H169" s="10">
        <f>SUMIF(adj!$C$200:$C$275,$A169,adj!H$200:H$275)</f>
        <v>0</v>
      </c>
      <c r="J169" s="62"/>
      <c r="L169" s="62"/>
      <c r="N169">
        <f>SUMIF(adj!$C$3:$C$275,$A169,adj!E$3:E$275)</f>
        <v>0</v>
      </c>
    </row>
    <row r="170" spans="1:14" ht="11.25">
      <c r="A170" s="519">
        <v>166</v>
      </c>
      <c r="B170" t="str">
        <f>DataNameEmp2 &amp; " General Ops Cost Reduction % Per Hr"</f>
        <v>Technical General Ops Cost Reduction % Per Hr</v>
      </c>
      <c r="C170" t="s">
        <v>2030</v>
      </c>
      <c r="D170" s="375">
        <v>1.7000000000000001E-4</v>
      </c>
      <c r="E170" s="375">
        <f>$D170*(1+L170+N170*($C170="R"))+J170+N170*($C170="A")</f>
        <v>1.7000000000000001E-4</v>
      </c>
      <c r="F170" t="s">
        <v>3885</v>
      </c>
      <c r="G170">
        <f>COUNTIF(adj!$C$200:$C$275,$A170)</f>
        <v>0</v>
      </c>
      <c r="H170" s="10">
        <f>SUMIF(adj!$C$200:$C$275,$A170,adj!H$200:H$275)</f>
        <v>0</v>
      </c>
      <c r="J170" s="62"/>
      <c r="L170" s="62"/>
      <c r="N170">
        <f>SUMIF(adj!$C$3:$C$275,$A170,adj!E$3:E$275)</f>
        <v>0</v>
      </c>
    </row>
    <row r="171" spans="1:14" ht="11.25">
      <c r="A171" s="519">
        <v>167</v>
      </c>
      <c r="B171" t="str">
        <f>DataNameEmp2 &amp; " Training Hrs per Budget $"</f>
        <v>Technical Training Hrs per Budget $</v>
      </c>
      <c r="C171" t="s">
        <v>2030</v>
      </c>
      <c r="D171" s="385">
        <v>2.823529411764706E-2</v>
      </c>
      <c r="E171" s="385">
        <f>$D171*(1+L171+N171*($C171="R"))+J171+N171*($C171="A")</f>
        <v>2.823529411764706E-2</v>
      </c>
      <c r="F171" t="s">
        <v>2144</v>
      </c>
      <c r="G171">
        <f>COUNTIF(adj!$C$200:$C$275,$A171)</f>
        <v>0</v>
      </c>
      <c r="H171" s="10">
        <f>SUMIF(adj!$C$200:$C$275,$A171,adj!H$200:H$275)</f>
        <v>0</v>
      </c>
      <c r="J171" s="62"/>
      <c r="L171" s="62"/>
      <c r="N171">
        <f>SUMIF(adj!$C$3:$C$275,$A171,adj!E$3:E$275)</f>
        <v>0</v>
      </c>
    </row>
    <row r="172" spans="1:14" ht="11.25">
      <c r="A172" s="519">
        <v>168</v>
      </c>
      <c r="B172" t="str">
        <f>DataNameEmp2 &amp; " General Ops Cost Reduction % Per Hr"</f>
        <v>Technical General Ops Cost Reduction % Per Hr</v>
      </c>
      <c r="C172" t="s">
        <v>2030</v>
      </c>
      <c r="D172" s="375">
        <v>1.7000000000000001E-4</v>
      </c>
      <c r="E172" s="375">
        <f>$D172*(1+L172+N172*($C172="R"))+J172+N172*($C172="A")</f>
        <v>1.7000000000000001E-4</v>
      </c>
      <c r="F172" t="s">
        <v>4586</v>
      </c>
      <c r="G172">
        <f>COUNTIF(adj!$C$200:$C$275,$A172)</f>
        <v>0</v>
      </c>
      <c r="H172" s="10">
        <f>SUMIF(adj!$C$200:$C$275,$A172,adj!H$200:H$275)</f>
        <v>0</v>
      </c>
      <c r="J172" s="62"/>
      <c r="L172" s="62"/>
      <c r="N172">
        <f>SUMIF(adj!$C$3:$C$275,$A172,adj!E$3:E$275)</f>
        <v>0</v>
      </c>
    </row>
    <row r="173" spans="1:14" ht="11.25">
      <c r="A173" s="519">
        <v>169</v>
      </c>
      <c r="D173" s="385"/>
      <c r="E173" s="385"/>
      <c r="G173">
        <f>COUNTIF(adj!$C$200:$C$275,$A173)</f>
        <v>0</v>
      </c>
      <c r="H173" s="10">
        <f>SUMIF(adj!$C$200:$C$275,$A173,adj!H$200:H$275)</f>
        <v>0</v>
      </c>
      <c r="J173" s="62"/>
      <c r="L173" s="62"/>
      <c r="N173">
        <f>SUMIF(adj!$C$3:$C$275,$A173,adj!E$3:E$275)</f>
        <v>0</v>
      </c>
    </row>
    <row r="174" spans="1:14" ht="11.25">
      <c r="A174" s="519">
        <v>170</v>
      </c>
      <c r="D174" s="385"/>
      <c r="E174" s="385"/>
      <c r="G174">
        <f>COUNTIF(adj!$C$200:$C$275,$A174)</f>
        <v>0</v>
      </c>
      <c r="H174" s="10">
        <f>SUMIF(adj!$C$200:$C$275,$A174,adj!H$200:H$275)</f>
        <v>0</v>
      </c>
      <c r="J174" s="62"/>
      <c r="L174" s="62"/>
      <c r="N174">
        <f>SUMIF(adj!$C$3:$C$275,$A174,adj!E$3:E$275)</f>
        <v>0</v>
      </c>
    </row>
    <row r="175" spans="1:14" ht="11.25">
      <c r="A175" s="519">
        <v>171</v>
      </c>
      <c r="D175" s="385"/>
      <c r="E175" s="385"/>
      <c r="G175">
        <f>COUNTIF(adj!$C$200:$C$275,$A175)</f>
        <v>0</v>
      </c>
      <c r="H175" s="10">
        <f>SUMIF(adj!$C$200:$C$275,$A175,adj!H$200:H$275)</f>
        <v>0</v>
      </c>
      <c r="J175" s="62"/>
      <c r="L175" s="62"/>
      <c r="N175">
        <f>SUMIF(adj!$C$3:$C$275,$A175,adj!E$3:E$275)</f>
        <v>0</v>
      </c>
    </row>
    <row r="176" spans="1:14" ht="11.25">
      <c r="A176" s="519">
        <v>172</v>
      </c>
      <c r="D176" s="385"/>
      <c r="E176" s="385"/>
      <c r="G176">
        <f>COUNTIF(adj!$C$200:$C$275,$A176)</f>
        <v>0</v>
      </c>
      <c r="H176" s="10">
        <f>SUMIF(adj!$C$200:$C$275,$A176,adj!H$200:H$275)</f>
        <v>0</v>
      </c>
      <c r="J176" s="62"/>
      <c r="L176" s="62"/>
      <c r="N176">
        <f>SUMIF(adj!$C$3:$C$275,$A176,adj!E$3:E$275)</f>
        <v>0</v>
      </c>
    </row>
    <row r="177" spans="1:20" ht="11.25">
      <c r="A177" s="519">
        <v>173</v>
      </c>
      <c r="D177" s="385"/>
      <c r="E177" s="385"/>
      <c r="G177">
        <f>COUNTIF(adj!$C$200:$C$275,$A177)</f>
        <v>0</v>
      </c>
      <c r="H177" s="10">
        <f>SUMIF(adj!$C$200:$C$275,$A177,adj!H$200:H$275)</f>
        <v>0</v>
      </c>
      <c r="J177" s="62"/>
      <c r="L177" s="62"/>
      <c r="N177">
        <f>SUMIF(adj!$C$3:$C$275,$A177,adj!E$3:E$275)</f>
        <v>0</v>
      </c>
    </row>
    <row r="178" spans="1:20" ht="11.25">
      <c r="A178" s="519">
        <v>174</v>
      </c>
      <c r="D178" s="385"/>
      <c r="E178" s="385"/>
      <c r="G178">
        <f>COUNTIF(adj!$C$200:$C$275,$A178)</f>
        <v>0</v>
      </c>
      <c r="H178" s="10">
        <f>SUMIF(adj!$C$200:$C$275,$A178,adj!H$200:H$275)</f>
        <v>0</v>
      </c>
      <c r="J178" s="62"/>
      <c r="L178" s="62"/>
      <c r="N178">
        <f>SUMIF(adj!$C$3:$C$275,$A178,adj!E$3:E$275)</f>
        <v>0</v>
      </c>
    </row>
    <row r="179" spans="1:20" ht="11.25">
      <c r="A179" s="519">
        <v>175</v>
      </c>
      <c r="G179">
        <f>COUNTIF(adj!$C$200:$C$275,$A179)</f>
        <v>0</v>
      </c>
      <c r="H179" s="10">
        <f>SUMIF(adj!$C$200:$C$275,$A179,adj!H$200:H$275)</f>
        <v>0</v>
      </c>
      <c r="J179" s="62"/>
      <c r="L179" s="62"/>
      <c r="N179">
        <f>SUMIF(adj!$C$3:$C$275,$A179,adj!E$3:E$275)</f>
        <v>0</v>
      </c>
    </row>
    <row r="180" spans="1:20" ht="11.25">
      <c r="A180" s="519">
        <v>176</v>
      </c>
      <c r="B180" s="2" t="str">
        <f>DataNameEmp3 &amp; " Parameters"</f>
        <v>PM / Analyst Parameters</v>
      </c>
      <c r="G180">
        <f>COUNTIF(adj!$C$200:$C$275,$A180)</f>
        <v>0</v>
      </c>
      <c r="H180" s="10">
        <f>SUMIF(adj!$C$200:$C$275,$A180,adj!H$200:H$275)</f>
        <v>0</v>
      </c>
      <c r="J180" s="62"/>
      <c r="L180" s="62"/>
      <c r="N180">
        <f>SUMIF(adj!$C$3:$C$275,$A180,adj!E$3:E$275)</f>
        <v>0</v>
      </c>
      <c r="P180">
        <v>0.75</v>
      </c>
    </row>
    <row r="181" spans="1:20" ht="11.25">
      <c r="A181" s="519">
        <v>177</v>
      </c>
      <c r="B181" t="str">
        <f>DataNameEmp3 &amp; " Attrition rate"</f>
        <v>PM / Analyst Attrition rate</v>
      </c>
      <c r="C181" t="s">
        <v>2030</v>
      </c>
      <c r="D181" s="12">
        <v>0.15</v>
      </c>
      <c r="E181" s="12">
        <f>$D181*(1+L181+N181*($C181="R"))+J181+N181*($C181="A")</f>
        <v>0.14990249999999999</v>
      </c>
      <c r="F181" t="s">
        <v>147</v>
      </c>
      <c r="G181">
        <f>COUNTIF(adj!$C$200:$C$275,$A181)</f>
        <v>0</v>
      </c>
      <c r="H181" s="10">
        <f>SUMIF(adj!$C$200:$C$275,$A181,adj!H$200:H$275)</f>
        <v>0</v>
      </c>
      <c r="J181" s="62"/>
      <c r="L181" s="62"/>
      <c r="N181">
        <f>SUMIF(adj!$C$3:$C$275,$A181,adj!E$3:E$275)</f>
        <v>-6.5000000000000008E-4</v>
      </c>
      <c r="P181" t="s">
        <v>650</v>
      </c>
      <c r="Q181" t="s">
        <v>651</v>
      </c>
      <c r="R181" t="s">
        <v>652</v>
      </c>
      <c r="S181" t="s">
        <v>653</v>
      </c>
      <c r="T181" t="s">
        <v>654</v>
      </c>
    </row>
    <row r="182" spans="1:20" ht="11.25">
      <c r="A182" s="519">
        <v>178</v>
      </c>
      <c r="B182" t="str">
        <f>DataNameEmp3 &amp; " Salary"</f>
        <v>PM / Analyst Salary</v>
      </c>
      <c r="C182" t="s">
        <v>2030</v>
      </c>
      <c r="D182" s="16">
        <f>INDEX(P182:T182,xxYear+1)</f>
        <v>64687.5</v>
      </c>
      <c r="E182" s="16">
        <f>$D182*(1+L182+N182*($C182="R"))+J182+N182*($C182="A")</f>
        <v>64687.5</v>
      </c>
      <c r="F182" t="s">
        <v>148</v>
      </c>
      <c r="G182">
        <f>COUNTIF(adj!$C$200:$C$275,$A182)</f>
        <v>0</v>
      </c>
      <c r="H182" s="10">
        <f>SUMIF(adj!$C$200:$C$275,$A182,adj!H$200:H$275)</f>
        <v>0</v>
      </c>
      <c r="J182" s="62"/>
      <c r="L182" s="62"/>
      <c r="N182">
        <f>SUMIF(adj!$C$3:$C$275,$A182,adj!E$3:E$275)</f>
        <v>0</v>
      </c>
      <c r="P182">
        <v>86250</v>
      </c>
      <c r="Q182">
        <f>(P182*1)*0.75</f>
        <v>64687.5</v>
      </c>
      <c r="R182">
        <f>(Q182*1.05)*0.75</f>
        <v>50941.40625</v>
      </c>
      <c r="S182">
        <f>(R182*1.05)*0.75</f>
        <v>40116.357421875</v>
      </c>
      <c r="T182">
        <f>(S182*1.05)*0.75</f>
        <v>31591.631469726563</v>
      </c>
    </row>
    <row r="183" spans="1:20" ht="11.25">
      <c r="A183" s="519">
        <v>179</v>
      </c>
      <c r="B183" t="str">
        <f>DataNameEmp3 &amp; " Recruit/Dismissal Cost"</f>
        <v>PM / Analyst Recruit/Dismissal Cost</v>
      </c>
      <c r="C183" t="s">
        <v>2030</v>
      </c>
      <c r="D183" s="12">
        <v>0.35</v>
      </c>
      <c r="E183" s="12">
        <f>$D183*(1+L183+N183*($C183="R"))+J183+N183*($C183="A")</f>
        <v>0.35</v>
      </c>
      <c r="F183" t="s">
        <v>149</v>
      </c>
      <c r="G183">
        <f>COUNTIF(adj!$C$200:$C$275,$A183)</f>
        <v>0</v>
      </c>
      <c r="H183" s="10">
        <f>SUMIF(adj!$C$200:$C$275,$A183,adj!H$200:H$275)</f>
        <v>0</v>
      </c>
      <c r="J183" s="62"/>
      <c r="L183" s="62"/>
      <c r="N183">
        <f>SUMIF(adj!$C$3:$C$275,$A183,adj!E$3:E$275)</f>
        <v>0</v>
      </c>
    </row>
    <row r="184" spans="1:20" ht="11.25">
      <c r="A184" s="519">
        <v>180</v>
      </c>
      <c r="B184" t="str">
        <f>DataNameEmp3 &amp; " Admin Cost as Pct of Salary"</f>
        <v>PM / Analyst Admin Cost as Pct of Salary</v>
      </c>
      <c r="C184" t="s">
        <v>2030</v>
      </c>
      <c r="D184" s="12">
        <v>0.05</v>
      </c>
      <c r="E184" s="12">
        <f>$D184*(1+L184+N184*($C184="R"))+J184+N184*($C184="A")</f>
        <v>0.05</v>
      </c>
      <c r="F184" t="s">
        <v>4283</v>
      </c>
      <c r="G184">
        <f>COUNTIF(adj!$C$200:$C$275,$A184)</f>
        <v>0</v>
      </c>
      <c r="H184" s="10">
        <f>SUMIF(adj!$C$200:$C$275,$A184,adj!H$200:H$275)</f>
        <v>0</v>
      </c>
      <c r="J184" s="62"/>
      <c r="L184" s="62"/>
      <c r="N184">
        <f>SUMIF(adj!$C$3:$C$275,$A184,adj!E$3:E$275)</f>
        <v>0</v>
      </c>
    </row>
    <row r="185" spans="1:20" ht="11.25">
      <c r="A185" s="519">
        <v>181</v>
      </c>
      <c r="B185" t="str">
        <f>DataNameEmp3 &amp; " Overtime Rate"</f>
        <v>PM / Analyst Overtime Rate</v>
      </c>
      <c r="C185" t="s">
        <v>2030</v>
      </c>
      <c r="D185" s="12">
        <v>0</v>
      </c>
      <c r="E185" s="12">
        <f>$D185*(1+L185+N185*($C185="R"))+J185+N185*($C185="A")</f>
        <v>0</v>
      </c>
      <c r="F185" t="s">
        <v>4289</v>
      </c>
      <c r="G185">
        <f>COUNTIF(adj!$C$200:$C$275,$A185)</f>
        <v>0</v>
      </c>
      <c r="H185" s="10">
        <f>SUMIF(adj!$C$200:$C$275,$A185,adj!H$200:H$275)</f>
        <v>0</v>
      </c>
      <c r="J185" s="62"/>
      <c r="L185" s="62"/>
      <c r="N185">
        <f>SUMIF(adj!$C$3:$C$275,$A185,adj!E$3:E$275)</f>
        <v>0</v>
      </c>
    </row>
    <row r="186" spans="1:20" ht="11.25">
      <c r="A186" s="519">
        <v>182</v>
      </c>
      <c r="B186" t="str">
        <f>DataNameEmp3 &amp; " Hours Per Year"</f>
        <v>PM / Analyst Hours Per Year</v>
      </c>
      <c r="C186" t="s">
        <v>2030</v>
      </c>
      <c r="D186" s="11">
        <v>2000</v>
      </c>
      <c r="E186" s="11">
        <f>$D186*(1+L186+N186*($C186="R"))+J186+N186*($C186="A")</f>
        <v>2000</v>
      </c>
      <c r="F186" t="s">
        <v>4450</v>
      </c>
      <c r="G186">
        <f>COUNTIF(adj!$C$200:$C$275,$A186)</f>
        <v>0</v>
      </c>
      <c r="H186" s="10">
        <f>SUMIF(adj!$C$200:$C$275,$A186,adj!H$200:H$275)</f>
        <v>0</v>
      </c>
      <c r="J186" s="62"/>
      <c r="L186" s="62"/>
      <c r="N186">
        <f>SUMIF(adj!$C$3:$C$275,$A186,adj!E$3:E$275)</f>
        <v>0</v>
      </c>
    </row>
    <row r="187" spans="1:20" ht="11.25">
      <c r="A187" s="519">
        <v>183</v>
      </c>
      <c r="B187" t="str">
        <f>DataNameEmp3 &amp; "  Productivity Coeficient"</f>
        <v>PM / Analyst  Productivity Coeficient</v>
      </c>
      <c r="C187" t="s">
        <v>2030</v>
      </c>
      <c r="D187" s="313">
        <v>0.85</v>
      </c>
      <c r="E187" s="313">
        <f>$D187*(1+L187+N187*($C187="R"))+J187+N187*($C187="A")</f>
        <v>0.83756965573770481</v>
      </c>
      <c r="F187" t="s">
        <v>347</v>
      </c>
      <c r="G187">
        <f>COUNTIF(adj!$C$200:$C$275,$A187)</f>
        <v>6</v>
      </c>
      <c r="H187" s="10">
        <f>SUMIF(adj!$C$200:$C$275,$A187,adj!H$200:H$275)</f>
        <v>0.02</v>
      </c>
      <c r="J187" s="62"/>
      <c r="L187" s="62"/>
      <c r="N187">
        <f>SUMIF(adj!$C$3:$C$275,$A187,adj!E$3:E$275)</f>
        <v>-1.4623934426229508E-2</v>
      </c>
    </row>
    <row r="188" spans="1:20" ht="11.25">
      <c r="A188" s="519">
        <v>184</v>
      </c>
      <c r="B188" t="str">
        <f>DataNameEmp3 &amp; " Load Cost % of Salary"</f>
        <v>PM / Analyst Load Cost % of Salary</v>
      </c>
      <c r="C188" t="s">
        <v>2030</v>
      </c>
      <c r="D188" s="313">
        <v>0.1</v>
      </c>
      <c r="E188" s="313">
        <f>$D188*(1+L188+N188*($C188="R"))+J188+N188*($C188="A")</f>
        <v>0.1</v>
      </c>
      <c r="F188" t="s">
        <v>2352</v>
      </c>
      <c r="G188">
        <f>COUNTIF(adj!$C$200:$C$275,$A188)</f>
        <v>0</v>
      </c>
      <c r="H188" s="10">
        <f>SUMIF(adj!$C$200:$C$275,$A188,adj!H$200:H$275)</f>
        <v>0</v>
      </c>
      <c r="J188" s="62"/>
      <c r="L188" s="62"/>
      <c r="N188">
        <f>SUMIF(adj!$C$3:$C$275,$A188,adj!E$3:E$275)</f>
        <v>0</v>
      </c>
    </row>
    <row r="189" spans="1:20" ht="11.25">
      <c r="A189" s="519">
        <v>185</v>
      </c>
      <c r="B189" t="str">
        <f>DataNameEmp3 &amp; " Competency Multiplier"</f>
        <v>PM / Analyst Competency Multiplier</v>
      </c>
      <c r="C189" t="s">
        <v>2030</v>
      </c>
      <c r="D189" s="313">
        <v>1</v>
      </c>
      <c r="E189" s="313">
        <f>$D189*(1+L189+N189*($C189="R"))+J189+N189*($C189="A")</f>
        <v>1</v>
      </c>
      <c r="F189" t="s">
        <v>2404</v>
      </c>
      <c r="G189">
        <f>COUNTIF(adj!$C$200:$C$275,$A189)</f>
        <v>0</v>
      </c>
      <c r="H189" s="10">
        <f>SUMIF(adj!$C$200:$C$275,$A189,adj!H$200:H$275)</f>
        <v>0</v>
      </c>
      <c r="J189" s="62"/>
      <c r="L189" s="62"/>
      <c r="N189">
        <f>SUMIF(adj!$C$3:$C$275,$A189,adj!E$3:E$275)</f>
        <v>0</v>
      </c>
    </row>
    <row r="190" spans="1:20" ht="11.25">
      <c r="A190" s="519">
        <v>186</v>
      </c>
      <c r="B190" t="str">
        <f>DataNameEmp3 &amp; " Hrs Req Per Cons. Comp. Dev. Level"</f>
        <v>PM / Analyst Hrs Req Per Cons. Comp. Dev. Level</v>
      </c>
      <c r="C190" t="s">
        <v>2030</v>
      </c>
      <c r="D190" s="312">
        <v>375</v>
      </c>
      <c r="E190" s="312">
        <f>$D190*(1+L190+N190*($C190="R"))+J190+N190*($C190="A")</f>
        <v>375</v>
      </c>
      <c r="F190" t="s">
        <v>3238</v>
      </c>
      <c r="G190">
        <f>COUNTIF(adj!$C$200:$C$275,$A190)</f>
        <v>0</v>
      </c>
      <c r="H190" s="10">
        <f>SUMIF(adj!$C$200:$C$275,$A190,adj!H$200:H$275)</f>
        <v>0</v>
      </c>
      <c r="J190" s="62"/>
      <c r="L190" s="62"/>
      <c r="N190">
        <f>SUMIF(adj!$C$3:$C$275,$A190,adj!E$3:E$275)</f>
        <v>0</v>
      </c>
    </row>
    <row r="191" spans="1:20" ht="11.25">
      <c r="A191" s="519">
        <v>187</v>
      </c>
      <c r="B191" t="str">
        <f>DataNameEmp3 &amp; " Hrs Req Per BPO Comp. Dev. Level"</f>
        <v>PM / Analyst Hrs Req Per BPO Comp. Dev. Level</v>
      </c>
      <c r="C191" t="s">
        <v>2030</v>
      </c>
      <c r="D191" s="312">
        <v>750</v>
      </c>
      <c r="E191" s="312">
        <f>$D191*(1+L191+N191*($C191="R"))+J191+N191*($C191="A")</f>
        <v>750</v>
      </c>
      <c r="F191" t="s">
        <v>3239</v>
      </c>
      <c r="G191">
        <f>COUNTIF(adj!$C$200:$C$275,$A191)</f>
        <v>0</v>
      </c>
      <c r="H191" s="10">
        <f>SUMIF(adj!$C$200:$C$275,$A191,adj!H$200:H$275)</f>
        <v>0</v>
      </c>
      <c r="J191" s="62"/>
      <c r="L191" s="62"/>
      <c r="N191">
        <f>SUMIF(adj!$C$3:$C$275,$A191,adj!E$3:E$275)</f>
        <v>0</v>
      </c>
    </row>
    <row r="192" spans="1:20" ht="11.25">
      <c r="A192" s="519">
        <v>188</v>
      </c>
      <c r="B192" t="str">
        <f>DataNameEmp3 &amp; " General Ops Cost Reduction % Per Hr"</f>
        <v>PM / Analyst General Ops Cost Reduction % Per Hr</v>
      </c>
      <c r="C192" t="s">
        <v>2030</v>
      </c>
      <c r="D192" s="375">
        <v>2.2000000000000001E-4</v>
      </c>
      <c r="E192" s="375">
        <f>$D192*(1+L192+N192*($C192="R"))+J192+N192*($C192="A")</f>
        <v>2.2000000000000001E-4</v>
      </c>
      <c r="F192" t="s">
        <v>3886</v>
      </c>
      <c r="G192">
        <f>COUNTIF(adj!$C$200:$C$275,$A192)</f>
        <v>0</v>
      </c>
      <c r="H192" s="10">
        <f>SUMIF(adj!$C$200:$C$275,$A192,adj!H$200:H$275)</f>
        <v>0</v>
      </c>
      <c r="J192" s="62"/>
      <c r="L192" s="62"/>
      <c r="N192">
        <f>SUMIF(adj!$C$3:$C$275,$A192,adj!E$3:E$275)</f>
        <v>0</v>
      </c>
    </row>
    <row r="193" spans="1:20" ht="11.25">
      <c r="A193" s="519">
        <v>189</v>
      </c>
      <c r="B193" t="str">
        <f>DataNameEmp3 &amp; " Training Hrs per Budget $"</f>
        <v>PM / Analyst Training Hrs per Budget $</v>
      </c>
      <c r="C193" t="s">
        <v>2030</v>
      </c>
      <c r="D193" s="385">
        <v>2.823529411764706E-2</v>
      </c>
      <c r="E193" s="385">
        <f>$D193*(1+L193+N193*($C193="R"))+J193+N193*($C193="A")</f>
        <v>2.823529411764706E-2</v>
      </c>
      <c r="F193" t="s">
        <v>2145</v>
      </c>
      <c r="G193">
        <f>COUNTIF(adj!$C$200:$C$275,$A193)</f>
        <v>0</v>
      </c>
      <c r="H193" s="10">
        <f>SUMIF(adj!$C$200:$C$275,$A193,adj!H$200:H$275)</f>
        <v>0</v>
      </c>
      <c r="J193" s="62"/>
      <c r="L193" s="62"/>
      <c r="N193">
        <f>SUMIF(adj!$C$3:$C$275,$A193,adj!E$3:E$275)</f>
        <v>0</v>
      </c>
    </row>
    <row r="194" spans="1:20" ht="11.25">
      <c r="A194" s="519">
        <v>190</v>
      </c>
      <c r="B194" t="str">
        <f>DataNameEmp3 &amp; " General Ops Cost Reduction % Per Hr"</f>
        <v>PM / Analyst General Ops Cost Reduction % Per Hr</v>
      </c>
      <c r="C194" t="s">
        <v>2030</v>
      </c>
      <c r="D194" s="375">
        <v>2.2000000000000001E-4</v>
      </c>
      <c r="E194" s="375">
        <f>$D194*(1+L194+N194*($C194="R"))+J194+N194*($C194="A")</f>
        <v>2.2000000000000001E-4</v>
      </c>
      <c r="F194" t="s">
        <v>4587</v>
      </c>
      <c r="G194">
        <f>COUNTIF(adj!$C$200:$C$275,$A194)</f>
        <v>0</v>
      </c>
      <c r="H194" s="10">
        <f>SUMIF(adj!$C$200:$C$275,$A194,adj!H$200:H$275)</f>
        <v>0</v>
      </c>
      <c r="J194" s="62"/>
      <c r="L194" s="62"/>
      <c r="N194">
        <f>SUMIF(adj!$C$3:$C$275,$A194,adj!E$3:E$275)</f>
        <v>0</v>
      </c>
    </row>
    <row r="195" spans="1:20" ht="11.25">
      <c r="A195" s="519">
        <v>191</v>
      </c>
      <c r="D195" s="385"/>
      <c r="E195" s="385"/>
      <c r="G195">
        <f>COUNTIF(adj!$C$200:$C$275,$A195)</f>
        <v>0</v>
      </c>
      <c r="H195" s="10">
        <f>SUMIF(adj!$C$200:$C$275,$A195,adj!H$200:H$275)</f>
        <v>0</v>
      </c>
      <c r="J195" s="62"/>
      <c r="L195" s="62"/>
      <c r="N195">
        <f>SUMIF(adj!$C$3:$C$275,$A195,adj!E$3:E$275)</f>
        <v>0</v>
      </c>
    </row>
    <row r="196" spans="1:20" ht="11.25">
      <c r="A196" s="519">
        <v>192</v>
      </c>
      <c r="D196" s="385"/>
      <c r="E196" s="385"/>
      <c r="G196">
        <f>COUNTIF(adj!$C$200:$C$275,$A196)</f>
        <v>0</v>
      </c>
      <c r="H196" s="10">
        <f>SUMIF(adj!$C$200:$C$275,$A196,adj!H$200:H$275)</f>
        <v>0</v>
      </c>
      <c r="J196" s="62"/>
      <c r="L196" s="62"/>
      <c r="N196">
        <f>SUMIF(adj!$C$3:$C$275,$A196,adj!E$3:E$275)</f>
        <v>0</v>
      </c>
    </row>
    <row r="197" spans="1:20" ht="11.25">
      <c r="A197" s="519">
        <v>193</v>
      </c>
      <c r="D197" s="385"/>
      <c r="E197" s="385"/>
      <c r="G197">
        <f>COUNTIF(adj!$C$200:$C$275,$A197)</f>
        <v>0</v>
      </c>
      <c r="H197" s="10">
        <f>SUMIF(adj!$C$200:$C$275,$A197,adj!H$200:H$275)</f>
        <v>0</v>
      </c>
      <c r="J197" s="62"/>
      <c r="L197" s="62"/>
      <c r="N197">
        <f>SUMIF(adj!$C$3:$C$275,$A197,adj!E$3:E$275)</f>
        <v>0</v>
      </c>
    </row>
    <row r="198" spans="1:20" ht="11.25">
      <c r="A198" s="519">
        <v>194</v>
      </c>
      <c r="D198" s="385"/>
      <c r="E198" s="385"/>
      <c r="G198">
        <f>COUNTIF(adj!$C$200:$C$275,$A198)</f>
        <v>0</v>
      </c>
      <c r="H198" s="10">
        <f>SUMIF(adj!$C$200:$C$275,$A198,adj!H$200:H$275)</f>
        <v>0</v>
      </c>
      <c r="J198" s="62"/>
      <c r="L198" s="62"/>
      <c r="N198">
        <f>SUMIF(adj!$C$3:$C$275,$A198,adj!E$3:E$275)</f>
        <v>0</v>
      </c>
    </row>
    <row r="199" spans="1:20" ht="11.25">
      <c r="A199" s="519">
        <v>195</v>
      </c>
      <c r="D199" s="385"/>
      <c r="E199" s="385"/>
      <c r="G199">
        <f>COUNTIF(adj!$C$200:$C$275,$A199)</f>
        <v>0</v>
      </c>
      <c r="H199" s="10">
        <f>SUMIF(adj!$C$200:$C$275,$A199,adj!H$200:H$275)</f>
        <v>0</v>
      </c>
      <c r="J199" s="62"/>
      <c r="L199" s="62"/>
      <c r="N199">
        <f>SUMIF(adj!$C$3:$C$275,$A199,adj!E$3:E$275)</f>
        <v>0</v>
      </c>
    </row>
    <row r="200" spans="1:20" ht="11.25">
      <c r="A200" s="519">
        <v>196</v>
      </c>
      <c r="D200" s="385"/>
      <c r="E200" s="385"/>
      <c r="G200">
        <f>COUNTIF(adj!$C$200:$C$275,$A200)</f>
        <v>0</v>
      </c>
      <c r="H200" s="10">
        <f>SUMIF(adj!$C$200:$C$275,$A200,adj!H$200:H$275)</f>
        <v>0</v>
      </c>
      <c r="J200" s="62"/>
      <c r="L200" s="62"/>
      <c r="N200">
        <f>SUMIF(adj!$C$3:$C$275,$A200,adj!E$3:E$275)</f>
        <v>0</v>
      </c>
    </row>
    <row r="201" spans="1:20" ht="11.25">
      <c r="A201" s="519">
        <v>197</v>
      </c>
      <c r="D201" s="16"/>
      <c r="E201" s="16"/>
      <c r="G201">
        <f>COUNTIF(adj!$C$200:$C$275,$A201)</f>
        <v>0</v>
      </c>
      <c r="H201" s="10">
        <f>SUMIF(adj!$C$200:$C$275,$A201,adj!H$200:H$275)</f>
        <v>0</v>
      </c>
      <c r="J201" s="62"/>
      <c r="L201" s="62"/>
      <c r="N201">
        <f>SUMIF(adj!$C$3:$C$275,$A201,adj!E$3:E$275)</f>
        <v>0</v>
      </c>
    </row>
    <row r="202" spans="1:20" ht="11.25">
      <c r="A202" s="519">
        <v>198</v>
      </c>
      <c r="B202" s="2" t="str">
        <f>DataNameEmp4 &amp; " Parameters"</f>
        <v>Director / EM Parameters</v>
      </c>
      <c r="G202">
        <f>COUNTIF(adj!$C$200:$C$275,$A202)</f>
        <v>0</v>
      </c>
      <c r="H202" s="10">
        <f>SUMIF(adj!$C$200:$C$275,$A202,adj!H$200:H$275)</f>
        <v>0</v>
      </c>
      <c r="J202" s="62"/>
      <c r="L202" s="62"/>
      <c r="N202">
        <f>SUMIF(adj!$C$3:$C$275,$A202,adj!E$3:E$275)</f>
        <v>0</v>
      </c>
    </row>
    <row r="203" spans="1:20" ht="11.25">
      <c r="A203" s="519">
        <v>199</v>
      </c>
      <c r="B203" t="str">
        <f>DataNameEmp4 &amp; " Attrition rate"</f>
        <v>Director / EM Attrition rate</v>
      </c>
      <c r="C203" t="s">
        <v>2030</v>
      </c>
      <c r="D203" s="12">
        <v>0.09</v>
      </c>
      <c r="E203" s="12">
        <f>$D203*(1+L203+N203*($C203="R"))+J203+N203*($C203="A")</f>
        <v>8.9941499999999994E-2</v>
      </c>
      <c r="F203" t="s">
        <v>3849</v>
      </c>
      <c r="G203">
        <f>COUNTIF(adj!$C$200:$C$275,$A203)</f>
        <v>0</v>
      </c>
      <c r="H203" s="10">
        <f>SUMIF(adj!$C$200:$C$275,$A203,adj!H$200:H$275)</f>
        <v>0</v>
      </c>
      <c r="J203" s="62"/>
      <c r="L203" s="62"/>
      <c r="N203">
        <f>SUMIF(adj!$C$3:$C$275,$A203,adj!E$3:E$275)</f>
        <v>-6.5000000000000008E-4</v>
      </c>
      <c r="P203" t="s">
        <v>650</v>
      </c>
      <c r="Q203" t="s">
        <v>651</v>
      </c>
      <c r="R203" t="s">
        <v>652</v>
      </c>
      <c r="S203" t="s">
        <v>653</v>
      </c>
      <c r="T203" t="s">
        <v>654</v>
      </c>
    </row>
    <row r="204" spans="1:20" ht="11.25">
      <c r="A204" s="519">
        <v>200</v>
      </c>
      <c r="B204" t="str">
        <f>DataNameEmp4 &amp; " Salary"</f>
        <v>Director / EM Salary</v>
      </c>
      <c r="C204" t="s">
        <v>2030</v>
      </c>
      <c r="D204" s="16">
        <f>INDEX(P204:T204,xxYear+1)</f>
        <v>180000</v>
      </c>
      <c r="E204" s="16">
        <f>$D204*(1+L204+N204*($C204="R"))+J204+N204*($C204="A")</f>
        <v>180000</v>
      </c>
      <c r="F204" t="s">
        <v>3850</v>
      </c>
      <c r="G204">
        <f>COUNTIF(adj!$C$200:$C$275,$A204)</f>
        <v>0</v>
      </c>
      <c r="H204" s="10">
        <f>SUMIF(adj!$C$200:$C$275,$A204,adj!H$200:H$275)</f>
        <v>0</v>
      </c>
      <c r="J204" s="62"/>
      <c r="L204" s="62"/>
      <c r="N204">
        <f>SUMIF(adj!$C$3:$C$275,$A204,adj!E$3:E$275)</f>
        <v>0</v>
      </c>
      <c r="P204">
        <v>180000</v>
      </c>
      <c r="Q204">
        <f>P204*1</f>
        <v>180000</v>
      </c>
      <c r="R204">
        <f>Q204*1.05</f>
        <v>189000</v>
      </c>
      <c r="S204">
        <f>R204*1.05</f>
        <v>198450</v>
      </c>
      <c r="T204">
        <f>S204*1.05</f>
        <v>208372.5</v>
      </c>
    </row>
    <row r="205" spans="1:20" ht="11.25">
      <c r="A205" s="519">
        <v>201</v>
      </c>
      <c r="B205" t="str">
        <f>DataNameEmp4 &amp; " Recruit/Dismissal Cost"</f>
        <v>Director / EM Recruit/Dismissal Cost</v>
      </c>
      <c r="C205" t="s">
        <v>2030</v>
      </c>
      <c r="D205" s="12">
        <v>0.35</v>
      </c>
      <c r="E205" s="12">
        <f>$D205*(1+L205+N205*($C205="R"))+J205+N205*($C205="A")</f>
        <v>0.35</v>
      </c>
      <c r="F205" t="s">
        <v>3851</v>
      </c>
      <c r="G205">
        <f>COUNTIF(adj!$C$200:$C$275,$A205)</f>
        <v>0</v>
      </c>
      <c r="H205" s="10">
        <f>SUMIF(adj!$C$200:$C$275,$A205,adj!H$200:H$275)</f>
        <v>0</v>
      </c>
      <c r="J205" s="62"/>
      <c r="L205" s="62"/>
      <c r="N205">
        <f>SUMIF(adj!$C$3:$C$275,$A205,adj!E$3:E$275)</f>
        <v>0</v>
      </c>
    </row>
    <row r="206" spans="1:20" ht="11.25">
      <c r="A206" s="519">
        <v>202</v>
      </c>
      <c r="B206" t="str">
        <f>DataNameEmp4 &amp; " Admin Cost as Pct of Salary"</f>
        <v>Director / EM Admin Cost as Pct of Salary</v>
      </c>
      <c r="C206" t="s">
        <v>2030</v>
      </c>
      <c r="D206" s="12">
        <v>0.05</v>
      </c>
      <c r="E206" s="12">
        <f>$D206*(1+L206+N206*($C206="R"))+J206+N206*($C206="A")</f>
        <v>0.05</v>
      </c>
      <c r="F206" t="s">
        <v>3852</v>
      </c>
      <c r="G206">
        <f>COUNTIF(adj!$C$200:$C$275,$A206)</f>
        <v>0</v>
      </c>
      <c r="H206" s="10">
        <f>SUMIF(adj!$C$200:$C$275,$A206,adj!H$200:H$275)</f>
        <v>0</v>
      </c>
      <c r="J206" s="62"/>
      <c r="L206" s="62"/>
      <c r="N206">
        <f>SUMIF(adj!$C$3:$C$275,$A206,adj!E$3:E$275)</f>
        <v>0</v>
      </c>
    </row>
    <row r="207" spans="1:20" ht="11.25">
      <c r="A207" s="519">
        <v>203</v>
      </c>
      <c r="B207" t="str">
        <f>DataNameEmp4 &amp; " Overtime Rate"</f>
        <v>Director / EM Overtime Rate</v>
      </c>
      <c r="C207" t="s">
        <v>2030</v>
      </c>
      <c r="D207" s="12">
        <v>0</v>
      </c>
      <c r="E207" s="12">
        <f>$D207*(1+L207+N207*($C207="R"))+J207+N207*($C207="A")</f>
        <v>0</v>
      </c>
      <c r="F207" t="s">
        <v>3853</v>
      </c>
      <c r="G207">
        <f>COUNTIF(adj!$C$200:$C$275,$A207)</f>
        <v>0</v>
      </c>
      <c r="H207" s="10">
        <f>SUMIF(adj!$C$200:$C$275,$A207,adj!H$200:H$275)</f>
        <v>0</v>
      </c>
      <c r="J207" s="62"/>
      <c r="L207" s="62"/>
      <c r="N207">
        <f>SUMIF(adj!$C$3:$C$275,$A207,adj!E$3:E$275)</f>
        <v>0</v>
      </c>
    </row>
    <row r="208" spans="1:20" ht="11.25">
      <c r="A208" s="519">
        <v>204</v>
      </c>
      <c r="B208" t="str">
        <f>DataNameEmp4 &amp; " Hours Per Year"</f>
        <v>Director / EM Hours Per Year</v>
      </c>
      <c r="C208" t="s">
        <v>2030</v>
      </c>
      <c r="D208" s="11">
        <v>2000</v>
      </c>
      <c r="E208" s="11">
        <f>$D208*(1+L208+N208*($C208="R"))+J208+N208*($C208="A")</f>
        <v>2000</v>
      </c>
      <c r="F208" t="s">
        <v>3854</v>
      </c>
      <c r="G208">
        <f>COUNTIF(adj!$C$200:$C$275,$A208)</f>
        <v>0</v>
      </c>
      <c r="H208" s="10">
        <f>SUMIF(adj!$C$200:$C$275,$A208,adj!H$200:H$275)</f>
        <v>0</v>
      </c>
      <c r="J208" s="62"/>
      <c r="L208" s="62"/>
      <c r="N208">
        <f>SUMIF(adj!$C$3:$C$275,$A208,adj!E$3:E$275)</f>
        <v>0</v>
      </c>
    </row>
    <row r="209" spans="1:14" ht="11.25">
      <c r="A209" s="519">
        <v>205</v>
      </c>
      <c r="B209" t="str">
        <f>DataNameEmp4 &amp; "  Productivity Coeficient"</f>
        <v>Director / EM  Productivity Coeficient</v>
      </c>
      <c r="C209" t="s">
        <v>2030</v>
      </c>
      <c r="D209" s="313">
        <v>1.1000000000000001</v>
      </c>
      <c r="E209" s="313">
        <f>$D209*(1+L209+N209*($C209="R"))+J209+N209*($C209="A")</f>
        <v>1.0781446153846155</v>
      </c>
      <c r="F209" t="s">
        <v>348</v>
      </c>
      <c r="G209">
        <f>COUNTIF(adj!$C$200:$C$275,$A209)</f>
        <v>11</v>
      </c>
      <c r="H209" s="10">
        <f>SUMIF(adj!$C$200:$C$275,$A209,adj!H$200:H$275)</f>
        <v>2.9999999999999992E-2</v>
      </c>
      <c r="J209" s="62"/>
      <c r="L209" s="62"/>
      <c r="N209">
        <f>SUMIF(adj!$C$3:$C$275,$A209,adj!E$3:E$275)</f>
        <v>-1.9868531468531469E-2</v>
      </c>
    </row>
    <row r="210" spans="1:14" ht="11.25">
      <c r="A210" s="519">
        <v>206</v>
      </c>
      <c r="B210" t="str">
        <f>DataNameEmp4 &amp; " Load Cost % of Salary"</f>
        <v>Director / EM Load Cost % of Salary</v>
      </c>
      <c r="C210" t="s">
        <v>2030</v>
      </c>
      <c r="D210" s="313">
        <v>0.1</v>
      </c>
      <c r="E210" s="313">
        <f>$D210*(1+L210+N210*($C210="R"))+J210+N210*($C210="A")</f>
        <v>0.1</v>
      </c>
      <c r="F210" t="s">
        <v>2353</v>
      </c>
      <c r="G210">
        <f>COUNTIF(adj!$C$200:$C$275,$A210)</f>
        <v>0</v>
      </c>
      <c r="H210" s="10">
        <f>SUMIF(adj!$C$200:$C$275,$A210,adj!H$200:H$275)</f>
        <v>0</v>
      </c>
      <c r="J210" s="62"/>
      <c r="L210" s="62"/>
      <c r="N210">
        <f>SUMIF(adj!$C$3:$C$275,$A210,adj!E$3:E$275)</f>
        <v>0</v>
      </c>
    </row>
    <row r="211" spans="1:14" ht="11.25">
      <c r="A211" s="519">
        <v>207</v>
      </c>
      <c r="B211" t="str">
        <f>DataNameEmp4 &amp; " Competency Multiplier"</f>
        <v>Director / EM Competency Multiplier</v>
      </c>
      <c r="C211" t="s">
        <v>2030</v>
      </c>
      <c r="D211" s="313">
        <v>1</v>
      </c>
      <c r="E211" s="313">
        <f>$D211*(1+L211+N211*($C211="R"))+J211+N211*($C211="A")</f>
        <v>1</v>
      </c>
      <c r="F211" t="s">
        <v>2405</v>
      </c>
      <c r="G211">
        <f>COUNTIF(adj!$C$200:$C$275,$A211)</f>
        <v>0</v>
      </c>
      <c r="H211" s="10">
        <f>SUMIF(adj!$C$200:$C$275,$A211,adj!H$200:H$275)</f>
        <v>0</v>
      </c>
      <c r="J211" s="62"/>
      <c r="L211" s="62"/>
      <c r="N211">
        <f>SUMIF(adj!$C$3:$C$275,$A211,adj!E$3:E$275)</f>
        <v>0</v>
      </c>
    </row>
    <row r="212" spans="1:14" ht="11.25">
      <c r="A212" s="519">
        <v>208</v>
      </c>
      <c r="B212" t="str">
        <f>DataNameEmp4 &amp; " Hrs Req Per Cons. Comp. Dev. Level"</f>
        <v>Director / EM Hrs Req Per Cons. Comp. Dev. Level</v>
      </c>
      <c r="C212" t="s">
        <v>2030</v>
      </c>
      <c r="D212" s="312">
        <v>250</v>
      </c>
      <c r="E212" s="312">
        <f>$D212*(1+L212+N212*($C212="R"))+J212+N212*($C212="A")</f>
        <v>250</v>
      </c>
      <c r="F212" t="s">
        <v>3240</v>
      </c>
      <c r="G212">
        <f>COUNTIF(adj!$C$200:$C$275,$A212)</f>
        <v>0</v>
      </c>
      <c r="H212" s="10">
        <f>SUMIF(adj!$C$200:$C$275,$A212,adj!H$200:H$275)</f>
        <v>0</v>
      </c>
      <c r="J212" s="62"/>
      <c r="L212" s="62"/>
      <c r="N212">
        <f>SUMIF(adj!$C$3:$C$275,$A212,adj!E$3:E$275)</f>
        <v>0</v>
      </c>
    </row>
    <row r="213" spans="1:14" ht="11.25">
      <c r="A213" s="519">
        <v>209</v>
      </c>
      <c r="B213" t="str">
        <f>DataNameEmp4 &amp; " Hrs Req Per BPO Comp. Dev. Level"</f>
        <v>Director / EM Hrs Req Per BPO Comp. Dev. Level</v>
      </c>
      <c r="C213" t="s">
        <v>2030</v>
      </c>
      <c r="D213" s="312">
        <v>500</v>
      </c>
      <c r="E213" s="312">
        <f>$D213*(1+L213+N213*($C213="R"))+J213+N213*($C213="A")</f>
        <v>500</v>
      </c>
      <c r="F213" t="s">
        <v>1918</v>
      </c>
      <c r="G213">
        <f>COUNTIF(adj!$C$200:$C$275,$A213)</f>
        <v>0</v>
      </c>
      <c r="H213" s="10">
        <f>SUMIF(adj!$C$200:$C$275,$A213,adj!H$200:H$275)</f>
        <v>0</v>
      </c>
      <c r="J213" s="62"/>
      <c r="L213" s="62"/>
      <c r="N213">
        <f>SUMIF(adj!$C$3:$C$275,$A213,adj!E$3:E$275)</f>
        <v>0</v>
      </c>
    </row>
    <row r="214" spans="1:14" ht="11.25">
      <c r="A214" s="519">
        <v>210</v>
      </c>
      <c r="B214" t="str">
        <f>DataNameEmp4 &amp; " General Ops Cost Reduction % Per Hr"</f>
        <v>Director / EM General Ops Cost Reduction % Per Hr</v>
      </c>
      <c r="C214" t="s">
        <v>2030</v>
      </c>
      <c r="D214" s="375">
        <v>2.7E-4</v>
      </c>
      <c r="E214" s="375">
        <f>$D214*(1+L214+N214*($C214="R"))+J214+N214*($C214="A")</f>
        <v>2.7E-4</v>
      </c>
      <c r="F214" t="s">
        <v>3560</v>
      </c>
      <c r="G214">
        <f>COUNTIF(adj!$C$200:$C$275,$A214)</f>
        <v>0</v>
      </c>
      <c r="H214" s="10">
        <f>SUMIF(adj!$C$200:$C$275,$A214,adj!H$200:H$275)</f>
        <v>0</v>
      </c>
      <c r="J214" s="62"/>
      <c r="L214" s="62"/>
      <c r="N214">
        <f>SUMIF(adj!$C$3:$C$275,$A214,adj!E$3:E$275)</f>
        <v>0</v>
      </c>
    </row>
    <row r="215" spans="1:14" ht="11.25">
      <c r="A215" s="519">
        <v>211</v>
      </c>
      <c r="B215" t="str">
        <f>DataNameEmp4 &amp; " Training Hrs per Budget $"</f>
        <v>Director / EM Training Hrs per Budget $</v>
      </c>
      <c r="C215" t="s">
        <v>2030</v>
      </c>
      <c r="D215" s="385">
        <v>1.8823529411764704E-2</v>
      </c>
      <c r="E215" s="385">
        <f>$D215*(1+L215+N215*($C215="R"))+J215+N215*($C215="A")</f>
        <v>1.8823529411764704E-2</v>
      </c>
      <c r="F215" t="s">
        <v>1979</v>
      </c>
      <c r="G215">
        <f>COUNTIF(adj!$C$200:$C$275,$A215)</f>
        <v>0</v>
      </c>
      <c r="H215" s="10">
        <f>SUMIF(adj!$C$200:$C$275,$A215,adj!H$200:H$275)</f>
        <v>0</v>
      </c>
      <c r="J215" s="62"/>
      <c r="L215" s="62"/>
      <c r="N215">
        <f>SUMIF(adj!$C$3:$C$275,$A215,adj!E$3:E$275)</f>
        <v>0</v>
      </c>
    </row>
    <row r="216" spans="1:14" ht="11.25">
      <c r="A216" s="519">
        <v>212</v>
      </c>
      <c r="B216" t="str">
        <f>DataNameEmp4 &amp; " General Ops Cost Reduction % Per Hr"</f>
        <v>Director / EM General Ops Cost Reduction % Per Hr</v>
      </c>
      <c r="C216" t="s">
        <v>2030</v>
      </c>
      <c r="D216" s="375">
        <v>2.7E-4</v>
      </c>
      <c r="E216" s="375">
        <f>$D216*(1+L216+N216*($C216="R"))+J216+N216*($C216="A")</f>
        <v>2.7E-4</v>
      </c>
      <c r="F216" t="s">
        <v>4588</v>
      </c>
      <c r="G216">
        <f>COUNTIF(adj!$C$200:$C$275,$A216)</f>
        <v>0</v>
      </c>
      <c r="H216" s="10">
        <f>SUMIF(adj!$C$200:$C$275,$A216,adj!H$200:H$275)</f>
        <v>0</v>
      </c>
      <c r="J216" s="62"/>
      <c r="L216" s="62"/>
      <c r="N216">
        <f>SUMIF(adj!$C$3:$C$275,$A216,adj!E$3:E$275)</f>
        <v>0</v>
      </c>
    </row>
    <row r="217" spans="1:14" ht="11.25">
      <c r="A217" s="519">
        <v>213</v>
      </c>
      <c r="D217" s="385"/>
      <c r="E217" s="385"/>
      <c r="G217">
        <f>COUNTIF(adj!$C$200:$C$275,$A217)</f>
        <v>0</v>
      </c>
      <c r="H217" s="10">
        <f>SUMIF(adj!$C$200:$C$275,$A217,adj!H$200:H$275)</f>
        <v>0</v>
      </c>
      <c r="J217" s="62"/>
      <c r="L217" s="62"/>
      <c r="N217">
        <f>SUMIF(adj!$C$3:$C$275,$A217,adj!E$3:E$275)</f>
        <v>0</v>
      </c>
    </row>
    <row r="218" spans="1:14" ht="11.25">
      <c r="A218" s="519">
        <v>214</v>
      </c>
      <c r="D218" s="385"/>
      <c r="E218" s="385"/>
      <c r="G218">
        <f>COUNTIF(adj!$C$200:$C$275,$A218)</f>
        <v>0</v>
      </c>
      <c r="H218" s="10">
        <f>SUMIF(adj!$C$200:$C$275,$A218,adj!H$200:H$275)</f>
        <v>0</v>
      </c>
      <c r="J218" s="62"/>
      <c r="L218" s="62"/>
      <c r="N218">
        <f>SUMIF(adj!$C$3:$C$275,$A218,adj!E$3:E$275)</f>
        <v>0</v>
      </c>
    </row>
    <row r="219" spans="1:14" ht="11.25">
      <c r="A219" s="519">
        <v>215</v>
      </c>
      <c r="D219" s="385"/>
      <c r="E219" s="385"/>
      <c r="G219">
        <f>COUNTIF(adj!$C$200:$C$275,$A219)</f>
        <v>0</v>
      </c>
      <c r="H219" s="10">
        <f>SUMIF(adj!$C$200:$C$275,$A219,adj!H$200:H$275)</f>
        <v>0</v>
      </c>
      <c r="J219" s="62"/>
      <c r="L219" s="62"/>
      <c r="N219">
        <f>SUMIF(adj!$C$3:$C$275,$A219,adj!E$3:E$275)</f>
        <v>0</v>
      </c>
    </row>
    <row r="220" spans="1:14" ht="11.25">
      <c r="A220" s="519">
        <v>216</v>
      </c>
      <c r="D220" s="385"/>
      <c r="E220" s="385"/>
      <c r="G220">
        <f>COUNTIF(adj!$C$200:$C$275,$A220)</f>
        <v>0</v>
      </c>
      <c r="H220" s="10">
        <f>SUMIF(adj!$C$200:$C$275,$A220,adj!H$200:H$275)</f>
        <v>0</v>
      </c>
      <c r="J220" s="62"/>
      <c r="L220" s="62"/>
      <c r="N220">
        <f>SUMIF(adj!$C$3:$C$275,$A220,adj!E$3:E$275)</f>
        <v>0</v>
      </c>
    </row>
    <row r="221" spans="1:14" ht="11.25">
      <c r="A221" s="519">
        <v>217</v>
      </c>
      <c r="D221" s="385"/>
      <c r="E221" s="385"/>
      <c r="G221">
        <f>COUNTIF(adj!$C$200:$C$275,$A221)</f>
        <v>0</v>
      </c>
      <c r="H221" s="10">
        <f>SUMIF(adj!$C$200:$C$275,$A221,adj!H$200:H$275)</f>
        <v>0</v>
      </c>
      <c r="J221" s="62"/>
      <c r="L221" s="62"/>
      <c r="N221">
        <f>SUMIF(adj!$C$3:$C$275,$A221,adj!E$3:E$275)</f>
        <v>0</v>
      </c>
    </row>
    <row r="222" spans="1:14" ht="11.25">
      <c r="A222" s="519">
        <v>218</v>
      </c>
      <c r="D222" s="16"/>
      <c r="E222" s="16"/>
      <c r="G222">
        <f>COUNTIF(adj!$C$200:$C$275,$A222)</f>
        <v>0</v>
      </c>
      <c r="H222" s="10">
        <f>SUMIF(adj!$C$200:$C$275,$A222,adj!H$200:H$275)</f>
        <v>0</v>
      </c>
      <c r="J222" s="62"/>
      <c r="L222" s="62"/>
      <c r="N222">
        <f>SUMIF(adj!$C$3:$C$275,$A222,adj!E$3:E$275)</f>
        <v>0</v>
      </c>
    </row>
    <row r="223" spans="1:14" ht="11.25">
      <c r="A223" s="519">
        <v>219</v>
      </c>
      <c r="B223" s="2" t="str">
        <f>DataNameEmp5 &amp; " Parameters"</f>
        <v>Global Resources Parameters</v>
      </c>
      <c r="G223">
        <f>COUNTIF(adj!$C$200:$C$275,$A223)</f>
        <v>0</v>
      </c>
      <c r="H223" s="10">
        <f>SUMIF(adj!$C$200:$C$275,$A223,adj!H$200:H$275)</f>
        <v>0</v>
      </c>
      <c r="J223" s="62"/>
      <c r="L223" s="62"/>
      <c r="N223">
        <f>SUMIF(adj!$C$3:$C$275,$A223,adj!E$3:E$275)</f>
        <v>0</v>
      </c>
    </row>
    <row r="224" spans="1:14" ht="11.25">
      <c r="A224" s="519">
        <v>220</v>
      </c>
      <c r="B224" t="str">
        <f>DataNameEmp5 &amp; " Attrition rate"</f>
        <v>Global Resources Attrition rate</v>
      </c>
      <c r="C224" t="s">
        <v>2030</v>
      </c>
      <c r="D224" s="12">
        <v>0</v>
      </c>
      <c r="E224" s="12">
        <f>$D224*(1+L224+N224*($C224="R"))+J224+N224*($C224="A")</f>
        <v>0</v>
      </c>
      <c r="F224" t="s">
        <v>3855</v>
      </c>
      <c r="G224">
        <f>COUNTIF(adj!$C$200:$C$275,$A224)</f>
        <v>0</v>
      </c>
      <c r="H224" s="10">
        <f>SUMIF(adj!$C$200:$C$275,$A224,adj!H$200:H$275)</f>
        <v>0</v>
      </c>
      <c r="J224" s="62"/>
      <c r="L224" s="62"/>
      <c r="N224">
        <f>SUMIF(adj!$C$3:$C$275,$A224,adj!E$3:E$275)</f>
        <v>0</v>
      </c>
    </row>
    <row r="225" spans="1:20" ht="11.25">
      <c r="A225" s="519">
        <v>221</v>
      </c>
      <c r="B225" t="str">
        <f>DataNameEmp5 &amp; " Salary V1"</f>
        <v>Global Resources Salary V1</v>
      </c>
      <c r="C225" t="s">
        <v>2030</v>
      </c>
      <c r="D225" s="320">
        <v>250000</v>
      </c>
      <c r="E225" s="16">
        <f>$D225*(1+L225+N225*($C225="R"))+J225+N225*($C225="A")</f>
        <v>250000</v>
      </c>
      <c r="F225" t="s">
        <v>3285</v>
      </c>
      <c r="G225">
        <f>COUNTIF(adj!$C$200:$C$275,$A225)</f>
        <v>0</v>
      </c>
      <c r="H225" s="10">
        <f>SUMIF(adj!$C$200:$C$275,$A225,adj!H$200:H$275)</f>
        <v>0</v>
      </c>
      <c r="J225" s="62"/>
      <c r="L225" s="62"/>
      <c r="N225">
        <f>SUMIF(adj!$C$3:$C$275,$A225,adj!E$3:E$275)</f>
        <v>0</v>
      </c>
    </row>
    <row r="226" spans="1:20" ht="11.25">
      <c r="A226" s="519">
        <v>222</v>
      </c>
      <c r="B226" t="str">
        <f>DataNameEmp5 &amp; " Salary V2"</f>
        <v>Global Resources Salary V2</v>
      </c>
      <c r="C226" t="s">
        <v>2030</v>
      </c>
      <c r="D226" s="320">
        <v>250000</v>
      </c>
      <c r="E226" s="16">
        <f>$D226*(1+L226+N226*($C226="R"))+J226+N226*($C226="A")</f>
        <v>250000</v>
      </c>
      <c r="F226" t="s">
        <v>323</v>
      </c>
      <c r="G226">
        <f>COUNTIF(adj!$C$200:$C$275,$A226)</f>
        <v>0</v>
      </c>
      <c r="H226" s="10">
        <f>SUMIF(adj!$C$200:$C$275,$A226,adj!H$200:H$275)</f>
        <v>0</v>
      </c>
      <c r="J226" s="62"/>
      <c r="L226" s="62"/>
      <c r="N226">
        <f>SUMIF(adj!$C$3:$C$275,$A226,adj!E$3:E$275)</f>
        <v>0</v>
      </c>
    </row>
    <row r="227" spans="1:20" ht="11.25">
      <c r="A227" s="519">
        <v>223</v>
      </c>
      <c r="B227" t="str">
        <f>DataNameEmp5 &amp; " Salary V3"</f>
        <v>Global Resources Salary V3</v>
      </c>
      <c r="C227" t="s">
        <v>2030</v>
      </c>
      <c r="D227" s="320">
        <v>250000</v>
      </c>
      <c r="E227" s="16">
        <f>$D227*(1+L227+N227*($C227="R"))+J227+N227*($C227="A")</f>
        <v>250000</v>
      </c>
      <c r="F227" t="s">
        <v>324</v>
      </c>
      <c r="G227">
        <f>COUNTIF(adj!$C$200:$C$275,$A227)</f>
        <v>0</v>
      </c>
      <c r="H227" s="10">
        <f>SUMIF(adj!$C$200:$C$275,$A227,adj!H$200:H$275)</f>
        <v>0</v>
      </c>
      <c r="J227" s="62"/>
      <c r="L227" s="62"/>
      <c r="N227">
        <f>SUMIF(adj!$C$3:$C$275,$A227,adj!E$3:E$275)</f>
        <v>0</v>
      </c>
    </row>
    <row r="228" spans="1:20" ht="11.25">
      <c r="A228" s="519">
        <v>224</v>
      </c>
      <c r="B228" t="str">
        <f>DataNameEmp5 &amp; " Recruit/Dismissal Cost"</f>
        <v>Global Resources Recruit/Dismissal Cost</v>
      </c>
      <c r="C228" t="s">
        <v>2030</v>
      </c>
      <c r="D228" s="12">
        <v>0.1</v>
      </c>
      <c r="E228" s="12">
        <f>$D228*(1+L228+N228*($C228="R"))+J228+N228*($C228="A")</f>
        <v>0.1</v>
      </c>
      <c r="F228" t="s">
        <v>3286</v>
      </c>
      <c r="G228">
        <f>COUNTIF(adj!$C$200:$C$275,$A228)</f>
        <v>0</v>
      </c>
      <c r="H228" s="10">
        <f>SUMIF(adj!$C$200:$C$275,$A228,adj!H$200:H$275)</f>
        <v>0</v>
      </c>
      <c r="J228" s="62"/>
      <c r="L228" s="62"/>
      <c r="N228">
        <f>SUMIF(adj!$C$3:$C$275,$A228,adj!E$3:E$275)</f>
        <v>0</v>
      </c>
    </row>
    <row r="229" spans="1:20" ht="11.25">
      <c r="A229" s="519">
        <v>225</v>
      </c>
      <c r="B229" t="str">
        <f>DataNameEmp5 &amp; " Admin Cost as Pct of Salary"</f>
        <v>Global Resources Admin Cost as Pct of Salary</v>
      </c>
      <c r="C229" t="s">
        <v>2030</v>
      </c>
      <c r="D229" s="12">
        <v>0</v>
      </c>
      <c r="E229" s="12">
        <f>$D229*(1+L229+N229*($C229="R"))+J229+N229*($C229="A")</f>
        <v>0</v>
      </c>
      <c r="F229" t="s">
        <v>3287</v>
      </c>
      <c r="G229">
        <f>COUNTIF(adj!$C$200:$C$275,$A229)</f>
        <v>0</v>
      </c>
      <c r="H229" s="10">
        <f>SUMIF(adj!$C$200:$C$275,$A229,adj!H$200:H$275)</f>
        <v>0</v>
      </c>
      <c r="J229" s="62"/>
      <c r="L229" s="62"/>
      <c r="N229">
        <f>SUMIF(adj!$C$3:$C$275,$A229,adj!E$3:E$275)</f>
        <v>0</v>
      </c>
    </row>
    <row r="230" spans="1:20" ht="11.25">
      <c r="A230" s="519">
        <v>226</v>
      </c>
      <c r="B230" t="str">
        <f>DataNameEmp5 &amp; " Overtime Rate"</f>
        <v>Global Resources Overtime Rate</v>
      </c>
      <c r="C230" t="s">
        <v>2030</v>
      </c>
      <c r="D230" s="12">
        <v>1.5</v>
      </c>
      <c r="E230" s="12">
        <f>$D230*(1+L230+N230*($C230="R"))+J230+N230*($C230="A")</f>
        <v>1.5</v>
      </c>
      <c r="F230" t="s">
        <v>3288</v>
      </c>
      <c r="G230">
        <f>COUNTIF(adj!$C$200:$C$275,$A230)</f>
        <v>0</v>
      </c>
      <c r="H230" s="10">
        <f>SUMIF(adj!$C$200:$C$275,$A230,adj!H$200:H$275)</f>
        <v>0</v>
      </c>
      <c r="J230" s="62"/>
      <c r="L230" s="62"/>
      <c r="N230">
        <f>SUMIF(adj!$C$3:$C$275,$A230,adj!E$3:E$275)</f>
        <v>0</v>
      </c>
    </row>
    <row r="231" spans="1:20" ht="11.25">
      <c r="A231" s="519">
        <v>227</v>
      </c>
      <c r="B231" t="str">
        <f>DataNameEmp5 &amp; " Hours Per Year"</f>
        <v>Global Resources Hours Per Year</v>
      </c>
      <c r="C231" t="s">
        <v>2030</v>
      </c>
      <c r="D231" s="11">
        <v>2000</v>
      </c>
      <c r="E231" s="11">
        <f>$D231*(1+L231+N231*($C231="R"))+J231+N231*($C231="A")</f>
        <v>2000</v>
      </c>
      <c r="F231" t="s">
        <v>3289</v>
      </c>
      <c r="G231">
        <f>COUNTIF(adj!$C$200:$C$275,$A231)</f>
        <v>0</v>
      </c>
      <c r="H231" s="10">
        <f>SUMIF(adj!$C$200:$C$275,$A231,adj!H$200:H$275)</f>
        <v>0</v>
      </c>
      <c r="J231" s="62"/>
      <c r="L231" s="62"/>
      <c r="N231">
        <f>SUMIF(adj!$C$3:$C$275,$A231,adj!E$3:E$275)</f>
        <v>0</v>
      </c>
    </row>
    <row r="232" spans="1:20" ht="11.25">
      <c r="A232" s="519">
        <v>228</v>
      </c>
      <c r="B232" t="str">
        <f>DataNameEmp5 &amp; "  Productivity Coeficient"</f>
        <v>Global Resources  Productivity Coeficient</v>
      </c>
      <c r="C232" t="s">
        <v>4253</v>
      </c>
      <c r="D232" s="313">
        <v>0.85</v>
      </c>
      <c r="E232" s="313">
        <f>$D232*(1+L232+N232*($C232="R"))+J232+N232*($C232="A")</f>
        <v>0.85</v>
      </c>
      <c r="F232" t="s">
        <v>320</v>
      </c>
      <c r="G232">
        <f>COUNTIF(adj!$C$200:$C$275,$A232)</f>
        <v>0</v>
      </c>
      <c r="H232" s="10">
        <f>SUMIF(adj!$C$200:$C$275,$A232,adj!H$200:H$275)</f>
        <v>0</v>
      </c>
      <c r="J232" s="62"/>
      <c r="L232" s="62"/>
      <c r="N232">
        <f>SUMIF(adj!$C$3:$C$275,$A232,adj!E$3:E$275)</f>
        <v>0</v>
      </c>
    </row>
    <row r="233" spans="1:20" ht="11.25">
      <c r="A233" s="519">
        <v>229</v>
      </c>
      <c r="D233" s="313"/>
      <c r="E233" s="313"/>
      <c r="G233">
        <f>COUNTIF(adj!$C$200:$C$275,$A233)</f>
        <v>0</v>
      </c>
      <c r="H233" s="10">
        <f>SUMIF(adj!$C$200:$C$275,$A233,adj!H$200:H$275)</f>
        <v>0</v>
      </c>
      <c r="J233" s="62"/>
      <c r="L233" s="62"/>
      <c r="N233">
        <f>SUMIF(adj!$C$3:$C$275,$A233,adj!E$3:E$275)</f>
        <v>0</v>
      </c>
    </row>
    <row r="234" spans="1:20" ht="11.25">
      <c r="A234" s="519">
        <v>230</v>
      </c>
      <c r="D234" s="313"/>
      <c r="E234" s="313"/>
      <c r="G234">
        <f>COUNTIF(adj!$C$200:$C$275,$A234)</f>
        <v>0</v>
      </c>
      <c r="H234" s="10">
        <f>SUMIF(adj!$C$200:$C$275,$A234,adj!H$200:H$275)</f>
        <v>0</v>
      </c>
      <c r="J234" s="62"/>
      <c r="L234" s="62"/>
      <c r="N234">
        <f>SUMIF(adj!$C$3:$C$275,$A234,adj!E$3:E$275)</f>
        <v>0</v>
      </c>
    </row>
    <row r="235" spans="1:20" ht="11.25">
      <c r="A235" s="519">
        <v>231</v>
      </c>
      <c r="D235" s="313"/>
      <c r="E235" s="313"/>
      <c r="G235">
        <f>COUNTIF(adj!$C$200:$C$275,$A235)</f>
        <v>0</v>
      </c>
      <c r="H235" s="10">
        <f>SUMIF(adj!$C$200:$C$275,$A235,adj!H$200:H$275)</f>
        <v>0</v>
      </c>
      <c r="J235" s="62"/>
      <c r="L235" s="62"/>
      <c r="N235">
        <f>SUMIF(adj!$C$3:$C$275,$A235,adj!E$3:E$275)</f>
        <v>0</v>
      </c>
    </row>
    <row r="236" spans="1:20" ht="11.25">
      <c r="A236" s="519">
        <v>232</v>
      </c>
      <c r="D236" s="313"/>
      <c r="E236" s="313"/>
      <c r="G236">
        <f>COUNTIF(adj!$C$200:$C$275,$A236)</f>
        <v>0</v>
      </c>
      <c r="H236" s="10">
        <f>SUMIF(adj!$C$200:$C$275,$A236,adj!H$200:H$275)</f>
        <v>0</v>
      </c>
      <c r="J236" s="62"/>
      <c r="L236" s="62"/>
      <c r="N236">
        <f>SUMIF(adj!$C$3:$C$275,$A236,adj!E$3:E$275)</f>
        <v>0</v>
      </c>
    </row>
    <row r="237" spans="1:20" ht="11.25">
      <c r="A237" s="519">
        <v>233</v>
      </c>
      <c r="D237" s="313"/>
      <c r="E237" s="313"/>
      <c r="G237">
        <f>COUNTIF(adj!$C$200:$C$275,$A237)</f>
        <v>0</v>
      </c>
      <c r="H237" s="10">
        <f>SUMIF(adj!$C$200:$C$275,$A237,adj!H$200:H$275)</f>
        <v>0</v>
      </c>
      <c r="J237" s="62"/>
      <c r="L237" s="62"/>
      <c r="N237">
        <f>SUMIF(adj!$C$3:$C$275,$A237,adj!E$3:E$275)</f>
        <v>0</v>
      </c>
    </row>
    <row r="238" spans="1:20" ht="11.25">
      <c r="A238" s="519">
        <v>234</v>
      </c>
      <c r="D238" s="313"/>
      <c r="E238" s="313"/>
      <c r="G238">
        <f>COUNTIF(adj!$C$200:$C$275,$A238)</f>
        <v>0</v>
      </c>
      <c r="H238" s="10">
        <f>SUMIF(adj!$C$200:$C$275,$A238,adj!H$200:H$275)</f>
        <v>0</v>
      </c>
      <c r="J238" s="62"/>
      <c r="L238" s="62"/>
      <c r="N238">
        <f>SUMIF(adj!$C$3:$C$275,$A238,adj!E$3:E$275)</f>
        <v>0</v>
      </c>
    </row>
    <row r="239" spans="1:20" ht="11.25">
      <c r="A239" s="519">
        <v>235</v>
      </c>
      <c r="B239" s="2" t="str">
        <f>DataNameEmp6 &amp; " Parameters"</f>
        <v>Sales Parameters</v>
      </c>
      <c r="G239">
        <f>COUNTIF(adj!$C$200:$C$275,$A239)</f>
        <v>0</v>
      </c>
      <c r="H239" s="10">
        <f>SUMIF(adj!$C$200:$C$275,$A239,adj!H$200:H$275)</f>
        <v>0</v>
      </c>
      <c r="J239" s="62"/>
      <c r="L239" s="62"/>
      <c r="N239">
        <f>SUMIF(adj!$C$3:$C$275,$A239,adj!E$3:E$275)</f>
        <v>0</v>
      </c>
    </row>
    <row r="240" spans="1:20" ht="11.25">
      <c r="A240" s="519">
        <v>236</v>
      </c>
      <c r="B240" t="str">
        <f>DataNameEmp6 &amp; " Attrition rate"</f>
        <v>Sales Attrition rate</v>
      </c>
      <c r="C240" t="s">
        <v>2030</v>
      </c>
      <c r="D240" s="12">
        <v>0.12</v>
      </c>
      <c r="E240" s="12">
        <f>$D240*(1+L240+N240*($C240="R"))+J240+N240*($C240="A")</f>
        <v>0.11992199999999999</v>
      </c>
      <c r="F240" t="s">
        <v>3290</v>
      </c>
      <c r="G240">
        <f>COUNTIF(adj!$C$200:$C$275,$A240)</f>
        <v>0</v>
      </c>
      <c r="H240" s="10">
        <f>SUMIF(adj!$C$200:$C$275,$A240,adj!H$200:H$275)</f>
        <v>0</v>
      </c>
      <c r="J240" s="62"/>
      <c r="L240" s="62"/>
      <c r="N240">
        <f>SUMIF(adj!$C$3:$C$275,$A240,adj!E$3:E$275)</f>
        <v>-6.5000000000000008E-4</v>
      </c>
      <c r="P240" t="s">
        <v>650</v>
      </c>
      <c r="Q240" t="s">
        <v>651</v>
      </c>
      <c r="R240" t="s">
        <v>652</v>
      </c>
      <c r="S240" t="s">
        <v>653</v>
      </c>
      <c r="T240" t="s">
        <v>654</v>
      </c>
    </row>
    <row r="241" spans="1:20" ht="11.25">
      <c r="A241" s="519">
        <v>237</v>
      </c>
      <c r="B241" t="str">
        <f>DataNameEmp6 &amp; " Salary"</f>
        <v>Sales Salary</v>
      </c>
      <c r="C241" t="s">
        <v>2030</v>
      </c>
      <c r="D241" s="16">
        <v>250000</v>
      </c>
      <c r="E241" s="16">
        <f>$D241*(1+L241+N241*($C241="R"))+J241+N241*($C241="A")</f>
        <v>250000</v>
      </c>
      <c r="F241" t="s">
        <v>3291</v>
      </c>
      <c r="G241">
        <f>COUNTIF(adj!$C$200:$C$275,$A241)</f>
        <v>0</v>
      </c>
      <c r="H241" s="10">
        <f>SUMIF(adj!$C$200:$C$275,$A241,adj!H$200:H$275)</f>
        <v>0</v>
      </c>
      <c r="J241" s="62"/>
      <c r="L241" s="62"/>
      <c r="N241">
        <f>SUMIF(adj!$C$3:$C$275,$A241,adj!E$3:E$275)</f>
        <v>0</v>
      </c>
      <c r="P241">
        <v>60000</v>
      </c>
      <c r="Q241">
        <f>P241*1</f>
        <v>60000</v>
      </c>
      <c r="R241">
        <f>Q241*1.05</f>
        <v>63000</v>
      </c>
      <c r="S241">
        <f>R241*1.05</f>
        <v>66150</v>
      </c>
      <c r="T241">
        <f>S241*1.05</f>
        <v>69457.5</v>
      </c>
    </row>
    <row r="242" spans="1:20" ht="11.25">
      <c r="A242" s="519">
        <v>238</v>
      </c>
      <c r="B242" t="str">
        <f>DataNameEmp6 &amp; " Recruit/Dismissal Cost"</f>
        <v>Sales Recruit/Dismissal Cost</v>
      </c>
      <c r="C242" t="s">
        <v>2030</v>
      </c>
      <c r="D242" s="12">
        <v>0.5</v>
      </c>
      <c r="E242" s="12">
        <f>$D242*(1+L242+N242*($C242="R"))+J242+N242*($C242="A")</f>
        <v>0.5</v>
      </c>
      <c r="F242" t="s">
        <v>756</v>
      </c>
      <c r="G242">
        <f>COUNTIF(adj!$C$200:$C$275,$A242)</f>
        <v>0</v>
      </c>
      <c r="H242" s="10">
        <f>SUMIF(adj!$C$200:$C$275,$A242,adj!H$200:H$275)</f>
        <v>0</v>
      </c>
      <c r="J242" s="62"/>
      <c r="L242" s="62"/>
      <c r="N242">
        <f>SUMIF(adj!$C$3:$C$275,$A242,adj!E$3:E$275)</f>
        <v>0</v>
      </c>
    </row>
    <row r="243" spans="1:20" ht="11.25">
      <c r="A243" s="519">
        <v>239</v>
      </c>
      <c r="B243" t="str">
        <f>DataNameEmp6 &amp; " Admin Cost as Pct of Salary"</f>
        <v>Sales Admin Cost as Pct of Salary</v>
      </c>
      <c r="C243" t="s">
        <v>2030</v>
      </c>
      <c r="D243" s="12">
        <v>0.05</v>
      </c>
      <c r="E243" s="12">
        <f>$D243*(1+L243+N243*($C243="R"))+J243+N243*($C243="A")</f>
        <v>0.05</v>
      </c>
      <c r="F243" t="s">
        <v>757</v>
      </c>
      <c r="G243">
        <f>COUNTIF(adj!$C$200:$C$275,$A243)</f>
        <v>0</v>
      </c>
      <c r="H243" s="10">
        <f>SUMIF(adj!$C$200:$C$275,$A243,adj!H$200:H$275)</f>
        <v>0</v>
      </c>
      <c r="J243" s="62"/>
      <c r="L243" s="62"/>
      <c r="N243">
        <f>SUMIF(adj!$C$3:$C$275,$A243,adj!E$3:E$275)</f>
        <v>0</v>
      </c>
    </row>
    <row r="244" spans="1:20" ht="11.25">
      <c r="A244" s="519">
        <v>240</v>
      </c>
      <c r="B244" t="str">
        <f>DataNameEmp6 &amp; " Overtime Rate"</f>
        <v>Sales Overtime Rate</v>
      </c>
      <c r="C244" t="s">
        <v>2030</v>
      </c>
      <c r="D244" s="12">
        <v>0</v>
      </c>
      <c r="E244" s="12">
        <f>$D244*(1+L244+N244*($C244="R"))+J244+N244*($C244="A")</f>
        <v>0</v>
      </c>
      <c r="F244" t="s">
        <v>758</v>
      </c>
      <c r="G244">
        <f>COUNTIF(adj!$C$200:$C$275,$A244)</f>
        <v>0</v>
      </c>
      <c r="H244" s="10">
        <f>SUMIF(adj!$C$200:$C$275,$A244,adj!H$200:H$275)</f>
        <v>0</v>
      </c>
      <c r="J244" s="62"/>
      <c r="L244" s="62"/>
      <c r="N244">
        <f>SUMIF(adj!$C$3:$C$275,$A244,adj!E$3:E$275)</f>
        <v>0</v>
      </c>
    </row>
    <row r="245" spans="1:20" ht="11.25">
      <c r="A245" s="519">
        <v>241</v>
      </c>
      <c r="B245" t="str">
        <f>DataNameEmp6 &amp; " Hours Per Year"</f>
        <v>Sales Hours Per Year</v>
      </c>
      <c r="C245" t="s">
        <v>2030</v>
      </c>
      <c r="D245" s="11">
        <v>2000</v>
      </c>
      <c r="E245" s="11">
        <f>$D245*(1+L245+N245*($C245="R"))+J245+N245*($C245="A")</f>
        <v>2000</v>
      </c>
      <c r="F245" t="s">
        <v>759</v>
      </c>
      <c r="G245">
        <f>COUNTIF(adj!$C$200:$C$275,$A245)</f>
        <v>0</v>
      </c>
      <c r="H245" s="10">
        <f>SUMIF(adj!$C$200:$C$275,$A245,adj!H$200:H$275)</f>
        <v>0</v>
      </c>
      <c r="J245" s="62"/>
      <c r="L245" s="62"/>
      <c r="N245">
        <f>SUMIF(adj!$C$3:$C$275,$A245,adj!E$3:E$275)</f>
        <v>0</v>
      </c>
    </row>
    <row r="246" spans="1:20" ht="11.25">
      <c r="A246" s="519">
        <v>242</v>
      </c>
      <c r="B246" t="str">
        <f>DataNameEmp6 &amp; " HC Required per $Million in Rev"</f>
        <v>Sales HC Required per $Million in Rev</v>
      </c>
      <c r="C246" t="s">
        <v>2030</v>
      </c>
      <c r="D246" s="372">
        <v>0.55555555555555558</v>
      </c>
      <c r="E246" s="372">
        <f>$D246*(1+L246+N246*($C246="R"))+J246+N246*($C246="A")</f>
        <v>0.55555555555555558</v>
      </c>
      <c r="F246" t="s">
        <v>2504</v>
      </c>
      <c r="G246">
        <f>COUNTIF(adj!$C$200:$C$275,$A246)</f>
        <v>0</v>
      </c>
      <c r="H246" s="10">
        <f>SUMIF(adj!$C$200:$C$275,$A246,adj!H$200:H$275)</f>
        <v>0</v>
      </c>
      <c r="J246" s="62"/>
      <c r="L246" s="62"/>
      <c r="N246">
        <f>SUMIF(adj!$C$3:$C$275,$A246,adj!E$3:E$275)</f>
        <v>0</v>
      </c>
    </row>
    <row r="247" spans="1:20" ht="11.25">
      <c r="A247" s="519">
        <v>243</v>
      </c>
      <c r="B247" t="str">
        <f>DataNameEmp6 &amp; " Productivity Coeficient"</f>
        <v>Sales Productivity Coeficient</v>
      </c>
      <c r="C247" t="s">
        <v>4253</v>
      </c>
      <c r="D247" s="372">
        <v>1.4</v>
      </c>
      <c r="E247" s="372">
        <f>$D247*(1+L247+N247*($C247="R"))+J247+N247*($C247="A")</f>
        <v>1.4177</v>
      </c>
      <c r="F247" t="s">
        <v>2505</v>
      </c>
      <c r="G247">
        <f>COUNTIF(adj!$C$200:$C$275,$A247)</f>
        <v>0</v>
      </c>
      <c r="H247" s="10">
        <f>SUMIF(adj!$C$200:$C$275,$A247,adj!H$200:H$275)</f>
        <v>0</v>
      </c>
      <c r="J247" s="62"/>
      <c r="L247" s="62"/>
      <c r="N247">
        <f>SUMIF(adj!$C$3:$C$275,$A247,adj!E$3:E$275)</f>
        <v>1.77E-2</v>
      </c>
    </row>
    <row r="248" spans="1:20" ht="11.25">
      <c r="A248" s="519">
        <v>244</v>
      </c>
      <c r="B248" t="str">
        <f>DataNameEmp6 &amp; " Training Hrs per Budget $"</f>
        <v>Sales Training Hrs per Budget $</v>
      </c>
      <c r="C248" t="s">
        <v>2030</v>
      </c>
      <c r="D248" s="385">
        <v>0.08</v>
      </c>
      <c r="E248" s="385">
        <f>$D248*(1+L248+N248*($C248="R"))+J248+N248*($C248="A")</f>
        <v>0.08</v>
      </c>
      <c r="F248" t="s">
        <v>1980</v>
      </c>
      <c r="G248">
        <f>COUNTIF(adj!$C$200:$C$275,$A248)</f>
        <v>0</v>
      </c>
      <c r="H248" s="10">
        <f>SUMIF(adj!$C$200:$C$275,$A248,adj!H$200:H$275)</f>
        <v>0</v>
      </c>
      <c r="J248" s="62"/>
      <c r="L248" s="62"/>
      <c r="N248">
        <f>SUMIF(adj!$C$3:$C$275,$A248,adj!E$3:E$275)</f>
        <v>0</v>
      </c>
    </row>
    <row r="249" spans="1:20" ht="11.25">
      <c r="A249" s="519">
        <v>245</v>
      </c>
      <c r="B249" t="str">
        <f>DataNameEmp6 &amp; " Hrs per Sales SupportLevel"</f>
        <v>Sales Hrs per Sales SupportLevel</v>
      </c>
      <c r="C249" t="s">
        <v>2030</v>
      </c>
      <c r="D249" s="392">
        <v>20000</v>
      </c>
      <c r="E249" s="392">
        <f>$D249*(1+L249+N249*($C249="R"))+J249+N249*($C249="A")</f>
        <v>20000</v>
      </c>
      <c r="F249" t="s">
        <v>4508</v>
      </c>
      <c r="G249">
        <f>COUNTIF(adj!$C$200:$C$275,$A249)</f>
        <v>0</v>
      </c>
      <c r="H249" s="10">
        <f>SUMIF(adj!$C$200:$C$275,$A249,adj!H$200:H$275)</f>
        <v>0</v>
      </c>
      <c r="J249" s="62"/>
      <c r="L249" s="62"/>
      <c r="N249">
        <f>SUMIF(adj!$C$3:$C$275,$A249,adj!E$3:E$275)</f>
        <v>0</v>
      </c>
    </row>
    <row r="250" spans="1:20" ht="11.25">
      <c r="A250" s="519">
        <v>246</v>
      </c>
      <c r="D250" s="392"/>
      <c r="E250" s="392"/>
      <c r="G250">
        <f>COUNTIF(adj!$C$200:$C$275,$A250)</f>
        <v>0</v>
      </c>
      <c r="H250" s="10">
        <f>SUMIF(adj!$C$200:$C$275,$A250,adj!H$200:H$275)</f>
        <v>0</v>
      </c>
      <c r="J250" s="62"/>
      <c r="L250" s="62"/>
      <c r="N250">
        <f>SUMIF(adj!$C$3:$C$275,$A250,adj!E$3:E$275)</f>
        <v>0</v>
      </c>
    </row>
    <row r="251" spans="1:20" ht="11.25">
      <c r="A251" s="519">
        <v>247</v>
      </c>
      <c r="D251" s="392"/>
      <c r="E251" s="392"/>
      <c r="G251">
        <f>COUNTIF(adj!$C$200:$C$275,$A251)</f>
        <v>0</v>
      </c>
      <c r="H251" s="10">
        <f>SUMIF(adj!$C$200:$C$275,$A251,adj!H$200:H$275)</f>
        <v>0</v>
      </c>
      <c r="J251" s="62"/>
      <c r="L251" s="62"/>
      <c r="N251">
        <f>SUMIF(adj!$C$3:$C$275,$A251,adj!E$3:E$275)</f>
        <v>0</v>
      </c>
    </row>
    <row r="252" spans="1:20" ht="11.25">
      <c r="A252" s="519">
        <v>248</v>
      </c>
      <c r="D252" s="392"/>
      <c r="E252" s="392"/>
      <c r="G252">
        <f>COUNTIF(adj!$C$200:$C$275,$A252)</f>
        <v>0</v>
      </c>
      <c r="H252" s="10">
        <f>SUMIF(adj!$C$200:$C$275,$A252,adj!H$200:H$275)</f>
        <v>0</v>
      </c>
      <c r="J252" s="62"/>
      <c r="L252" s="62"/>
      <c r="N252">
        <f>SUMIF(adj!$C$3:$C$275,$A252,adj!E$3:E$275)</f>
        <v>0</v>
      </c>
    </row>
    <row r="253" spans="1:20" ht="11.25">
      <c r="A253" s="519">
        <v>249</v>
      </c>
      <c r="D253" s="392"/>
      <c r="E253" s="392"/>
      <c r="G253">
        <f>COUNTIF(adj!$C$200:$C$275,$A253)</f>
        <v>0</v>
      </c>
      <c r="H253" s="10">
        <f>SUMIF(adj!$C$200:$C$275,$A253,adj!H$200:H$275)</f>
        <v>0</v>
      </c>
      <c r="J253" s="62"/>
      <c r="L253" s="62"/>
      <c r="N253">
        <f>SUMIF(adj!$C$3:$C$275,$A253,adj!E$3:E$275)</f>
        <v>0</v>
      </c>
    </row>
    <row r="254" spans="1:20" ht="11.25">
      <c r="A254" s="519">
        <v>250</v>
      </c>
      <c r="D254" s="392"/>
      <c r="E254" s="392"/>
      <c r="G254">
        <f>COUNTIF(adj!$C$200:$C$275,$A254)</f>
        <v>0</v>
      </c>
      <c r="H254" s="10">
        <f>SUMIF(adj!$C$200:$C$275,$A254,adj!H$200:H$275)</f>
        <v>0</v>
      </c>
      <c r="J254" s="62"/>
      <c r="L254" s="62"/>
      <c r="N254">
        <f>SUMIF(adj!$C$3:$C$275,$A254,adj!E$3:E$275)</f>
        <v>0</v>
      </c>
    </row>
    <row r="255" spans="1:20" ht="11.25">
      <c r="A255" s="519">
        <v>251</v>
      </c>
      <c r="D255" s="16"/>
      <c r="E255" s="16">
        <f>$D255*(1+L255+N255*($C255="R"))+J255+N255*($C255="A")</f>
        <v>0</v>
      </c>
      <c r="G255">
        <f>COUNTIF(adj!$C$200:$C$275,$A255)</f>
        <v>0</v>
      </c>
      <c r="H255" s="10">
        <f>SUMIF(adj!$C$200:$C$275,$A255,adj!H$200:H$275)</f>
        <v>0</v>
      </c>
      <c r="J255" s="62"/>
      <c r="L255" s="62"/>
      <c r="N255">
        <f>SUMIF(adj!$C$3:$C$275,$A255,adj!E$3:E$275)</f>
        <v>0</v>
      </c>
    </row>
    <row r="256" spans="1:20" ht="11.25">
      <c r="A256" s="519">
        <v>252</v>
      </c>
      <c r="B256" s="2" t="str">
        <f>DataNameEmp7 &amp; " Parameters"</f>
        <v>SI &amp; T Sr. Exec. Parameters</v>
      </c>
      <c r="G256">
        <f>COUNTIF(adj!$C$200:$C$275,$A256)</f>
        <v>0</v>
      </c>
      <c r="H256" s="10">
        <f>SUMIF(adj!$C$200:$C$275,$A256,adj!H$200:H$275)</f>
        <v>0</v>
      </c>
      <c r="J256" s="62"/>
      <c r="L256" s="62"/>
      <c r="N256">
        <f>SUMIF(adj!$C$3:$C$275,$A256,adj!E$3:E$275)</f>
        <v>0</v>
      </c>
    </row>
    <row r="257" spans="1:20" ht="11.25">
      <c r="A257" s="519">
        <v>253</v>
      </c>
      <c r="B257" t="str">
        <f>DataNameEmp7 &amp; " Attrition rate"</f>
        <v>SI &amp; T Sr. Exec. Attrition rate</v>
      </c>
      <c r="C257" t="s">
        <v>2030</v>
      </c>
      <c r="D257" s="12">
        <v>0.09</v>
      </c>
      <c r="E257" s="12">
        <f>$D257*(1+L257+N257*($C257="R"))+J257+N257*($C257="A")</f>
        <v>0.09</v>
      </c>
      <c r="F257" t="s">
        <v>760</v>
      </c>
      <c r="G257">
        <f>COUNTIF(adj!$C$200:$C$275,$A257)</f>
        <v>0</v>
      </c>
      <c r="H257" s="10">
        <f>SUMIF(adj!$C$200:$C$275,$A257,adj!H$200:H$275)</f>
        <v>0</v>
      </c>
      <c r="J257" s="62"/>
      <c r="L257" s="62"/>
      <c r="N257">
        <f>SUMIF(adj!$C$3:$C$275,$A257,adj!E$3:E$275)</f>
        <v>0</v>
      </c>
      <c r="P257" t="s">
        <v>650</v>
      </c>
      <c r="Q257" t="s">
        <v>651</v>
      </c>
      <c r="R257" t="s">
        <v>652</v>
      </c>
      <c r="S257" t="s">
        <v>653</v>
      </c>
      <c r="T257" t="s">
        <v>654</v>
      </c>
    </row>
    <row r="258" spans="1:20" ht="11.25">
      <c r="A258" s="519">
        <v>254</v>
      </c>
      <c r="B258" t="str">
        <f>DataNameEmp7 &amp; " Salary"</f>
        <v>SI &amp; T Sr. Exec. Salary</v>
      </c>
      <c r="C258" t="s">
        <v>2030</v>
      </c>
      <c r="D258" s="16">
        <f>INDEX(P258:T258,xxYear+1)</f>
        <v>400000</v>
      </c>
      <c r="E258" s="16">
        <f>$D258*(1+L258+N258*($C258="R"))+J258+N258*($C258="A")</f>
        <v>400000</v>
      </c>
      <c r="F258" t="s">
        <v>761</v>
      </c>
      <c r="G258">
        <f>COUNTIF(adj!$C$200:$C$275,$A258)</f>
        <v>0</v>
      </c>
      <c r="H258" s="10">
        <f>SUMIF(adj!$C$200:$C$275,$A258,adj!H$200:H$275)</f>
        <v>0</v>
      </c>
      <c r="J258" s="62"/>
      <c r="L258" s="62"/>
      <c r="N258">
        <f>SUMIF(adj!$C$3:$C$275,$A258,adj!E$3:E$275)</f>
        <v>0</v>
      </c>
      <c r="P258">
        <v>400000</v>
      </c>
      <c r="Q258">
        <f>P258*1</f>
        <v>400000</v>
      </c>
      <c r="R258">
        <f>Q258*1.05</f>
        <v>420000</v>
      </c>
      <c r="S258">
        <f>R258*1.05</f>
        <v>441000</v>
      </c>
      <c r="T258">
        <f>S258*1.05</f>
        <v>463050</v>
      </c>
    </row>
    <row r="259" spans="1:20" ht="11.25">
      <c r="A259" s="519">
        <v>255</v>
      </c>
      <c r="B259" t="str">
        <f>DataNameEmp7 &amp; " Recruit/Dismissal Cost"</f>
        <v>SI &amp; T Sr. Exec. Recruit/Dismissal Cost</v>
      </c>
      <c r="C259" t="s">
        <v>2030</v>
      </c>
      <c r="D259" s="12">
        <v>0.35</v>
      </c>
      <c r="E259" s="12">
        <f>$D259*(1+L259+N259*($C259="R"))+J259+N259*($C259="A")</f>
        <v>0.35</v>
      </c>
      <c r="F259" t="s">
        <v>762</v>
      </c>
      <c r="G259">
        <f>COUNTIF(adj!$C$200:$C$275,$A259)</f>
        <v>0</v>
      </c>
      <c r="H259" s="10">
        <f>SUMIF(adj!$C$200:$C$275,$A259,adj!H$200:H$275)</f>
        <v>0</v>
      </c>
      <c r="J259" s="62"/>
      <c r="L259" s="62"/>
      <c r="N259">
        <f>SUMIF(adj!$C$3:$C$275,$A259,adj!E$3:E$275)</f>
        <v>0</v>
      </c>
    </row>
    <row r="260" spans="1:20" ht="11.25">
      <c r="A260" s="519">
        <v>256</v>
      </c>
      <c r="B260" t="str">
        <f>DataNameEmp7 &amp; " Admin Cost as Pct of Salary"</f>
        <v>SI &amp; T Sr. Exec. Admin Cost as Pct of Salary</v>
      </c>
      <c r="C260" t="s">
        <v>2030</v>
      </c>
      <c r="D260" s="12">
        <v>0.05</v>
      </c>
      <c r="E260" s="12">
        <f>$D260*(1+L260+N260*($C260="R"))+J260+N260*($C260="A")</f>
        <v>0.05</v>
      </c>
      <c r="F260" t="s">
        <v>763</v>
      </c>
      <c r="G260">
        <f>COUNTIF(adj!$C$200:$C$275,$A260)</f>
        <v>0</v>
      </c>
      <c r="H260" s="10">
        <f>SUMIF(adj!$C$200:$C$275,$A260,adj!H$200:H$275)</f>
        <v>0</v>
      </c>
      <c r="J260" s="62"/>
      <c r="L260" s="62"/>
      <c r="N260">
        <f>SUMIF(adj!$C$3:$C$275,$A260,adj!E$3:E$275)</f>
        <v>0</v>
      </c>
    </row>
    <row r="261" spans="1:20" ht="11.25">
      <c r="A261" s="519">
        <v>257</v>
      </c>
      <c r="B261" t="str">
        <f>DataNameEmp7 &amp; " Overtime Rate"</f>
        <v>SI &amp; T Sr. Exec. Overtime Rate</v>
      </c>
      <c r="C261" t="s">
        <v>2030</v>
      </c>
      <c r="D261" s="12">
        <v>0</v>
      </c>
      <c r="E261" s="12">
        <f>$D261*(1+L261+N261*($C261="R"))+J261+N261*($C261="A")</f>
        <v>0</v>
      </c>
      <c r="F261" t="s">
        <v>4484</v>
      </c>
      <c r="G261">
        <f>COUNTIF(adj!$C$200:$C$275,$A261)</f>
        <v>0</v>
      </c>
      <c r="H261" s="10">
        <f>SUMIF(adj!$C$200:$C$275,$A261,adj!H$200:H$275)</f>
        <v>0</v>
      </c>
      <c r="J261" s="62"/>
      <c r="L261" s="62"/>
      <c r="N261">
        <f>SUMIF(adj!$C$3:$C$275,$A261,adj!E$3:E$275)</f>
        <v>0</v>
      </c>
    </row>
    <row r="262" spans="1:20" ht="11.25">
      <c r="A262" s="519">
        <v>258</v>
      </c>
      <c r="B262" t="str">
        <f>DataNameEmp7 &amp; " Hours Per Year"</f>
        <v>SI &amp; T Sr. Exec. Hours Per Year</v>
      </c>
      <c r="C262" t="s">
        <v>2030</v>
      </c>
      <c r="D262" s="11">
        <v>2000</v>
      </c>
      <c r="E262" s="11">
        <f>$D262*(1+L262+N262*($C262="R"))+J262+N262*($C262="A")</f>
        <v>2000</v>
      </c>
      <c r="F262" t="s">
        <v>4485</v>
      </c>
      <c r="G262">
        <f>COUNTIF(adj!$C$200:$C$275,$A262)</f>
        <v>0</v>
      </c>
      <c r="H262" s="10">
        <f>SUMIF(adj!$C$200:$C$275,$A262,adj!H$200:H$275)</f>
        <v>0</v>
      </c>
      <c r="J262" s="62"/>
      <c r="L262" s="62"/>
      <c r="N262">
        <f>SUMIF(adj!$C$3:$C$275,$A262,adj!E$3:E$275)</f>
        <v>0</v>
      </c>
    </row>
    <row r="263" spans="1:20" ht="11.25">
      <c r="A263" s="519">
        <v>259</v>
      </c>
      <c r="B263" t="str">
        <f>DataNameEmp7 &amp; "  Productivity Coeficient"</f>
        <v>SI &amp; T Sr. Exec.  Productivity Coeficient</v>
      </c>
      <c r="C263" t="s">
        <v>2030</v>
      </c>
      <c r="D263" s="313">
        <v>1.1000000000000001</v>
      </c>
      <c r="E263" s="313">
        <f>$D263*(1+L263+N263*($C263="R"))+J263+N263*($C263="A")</f>
        <v>1.1000000000000001</v>
      </c>
      <c r="F263" t="s">
        <v>1330</v>
      </c>
      <c r="G263">
        <f>COUNTIF(adj!$C$200:$C$275,$A263)</f>
        <v>0</v>
      </c>
      <c r="H263" s="10">
        <f>SUMIF(adj!$C$200:$C$275,$A263,adj!H$200:H$275)</f>
        <v>0</v>
      </c>
      <c r="J263" s="62"/>
      <c r="L263" s="62"/>
      <c r="N263">
        <f>SUMIF(adj!$C$3:$C$275,$A263,adj!E$3:E$275)</f>
        <v>0</v>
      </c>
    </row>
    <row r="264" spans="1:20" ht="11.25">
      <c r="A264" s="604">
        <v>259.10000000000002</v>
      </c>
      <c r="B264" t="str">
        <f>DataNameEmp7 &amp; " Load Cost % of Salary"</f>
        <v>SI &amp; T Sr. Exec. Load Cost % of Salary</v>
      </c>
      <c r="C264" t="s">
        <v>2030</v>
      </c>
      <c r="D264" s="313">
        <v>0.1</v>
      </c>
      <c r="E264" s="313">
        <f>$D264*(1+L264+N264*($C264="R"))+J264+N264*($C264="A")</f>
        <v>0.1</v>
      </c>
      <c r="F264" t="s">
        <v>1331</v>
      </c>
      <c r="G264">
        <f>COUNTIF(adj!$C$200:$C$275,$A264)</f>
        <v>0</v>
      </c>
      <c r="H264" s="10">
        <f>SUMIF(adj!$C$200:$C$275,$A264,adj!H$200:H$275)</f>
        <v>0</v>
      </c>
      <c r="J264" s="62"/>
      <c r="L264" s="62"/>
      <c r="N264">
        <f>SUMIF(adj!$C$3:$C$275,$A264,adj!E$3:E$275)</f>
        <v>0</v>
      </c>
    </row>
    <row r="265" spans="1:20" ht="11.25">
      <c r="A265" s="604">
        <v>259.2</v>
      </c>
      <c r="B265" t="str">
        <f>DataNameEmp7 &amp; " Competency Multiplier"</f>
        <v>SI &amp; T Sr. Exec. Competency Multiplier</v>
      </c>
      <c r="C265" t="s">
        <v>2030</v>
      </c>
      <c r="D265" s="313">
        <v>1</v>
      </c>
      <c r="E265" s="313">
        <f>$D265*(1+L265+N265*($C265="R"))+J265+N265*($C265="A")</f>
        <v>1</v>
      </c>
      <c r="F265" t="s">
        <v>1332</v>
      </c>
      <c r="G265">
        <f>COUNTIF(adj!$C$200:$C$275,$A265)</f>
        <v>0</v>
      </c>
      <c r="H265" s="10">
        <f>SUMIF(adj!$C$200:$C$275,$A265,adj!H$200:H$275)</f>
        <v>0</v>
      </c>
      <c r="J265" s="62"/>
      <c r="L265" s="62"/>
      <c r="N265">
        <f>SUMIF(adj!$C$3:$C$275,$A265,adj!E$3:E$275)</f>
        <v>0</v>
      </c>
    </row>
    <row r="266" spans="1:20" ht="11.25">
      <c r="A266" s="604">
        <v>259.3</v>
      </c>
      <c r="B266" t="str">
        <f>DataNameEmp7 &amp; " Hrs Req Per Cons. Comp. Dev. Level"</f>
        <v>SI &amp; T Sr. Exec. Hrs Req Per Cons. Comp. Dev. Level</v>
      </c>
      <c r="C266" t="s">
        <v>2030</v>
      </c>
      <c r="D266" s="312">
        <v>250</v>
      </c>
      <c r="E266" s="312">
        <f>$D266*(1+L266+N266*($C266="R"))+J266+N266*($C266="A")</f>
        <v>250</v>
      </c>
      <c r="F266" t="s">
        <v>1333</v>
      </c>
      <c r="G266">
        <f>COUNTIF(adj!$C$200:$C$275,$A266)</f>
        <v>0</v>
      </c>
      <c r="H266" s="10">
        <f>SUMIF(adj!$C$200:$C$275,$A266,adj!H$200:H$275)</f>
        <v>0</v>
      </c>
      <c r="J266" s="62"/>
      <c r="L266" s="62"/>
      <c r="N266">
        <f>SUMIF(adj!$C$3:$C$275,$A266,adj!E$3:E$275)</f>
        <v>0</v>
      </c>
    </row>
    <row r="267" spans="1:20" ht="11.25">
      <c r="A267" s="604">
        <v>259.39999999999998</v>
      </c>
      <c r="B267" t="str">
        <f>DataNameEmp7 &amp; " Hrs Req Per BPO Comp. Dev. Level"</f>
        <v>SI &amp; T Sr. Exec. Hrs Req Per BPO Comp. Dev. Level</v>
      </c>
      <c r="C267" t="s">
        <v>2030</v>
      </c>
      <c r="D267" s="312">
        <v>500</v>
      </c>
      <c r="E267" s="312">
        <f>$D267*(1+L267+N267*($C267="R"))+J267+N267*($C267="A")</f>
        <v>500</v>
      </c>
      <c r="F267" t="s">
        <v>1334</v>
      </c>
      <c r="G267">
        <f>COUNTIF(adj!$C$200:$C$275,$A267)</f>
        <v>0</v>
      </c>
      <c r="H267" s="10">
        <f>SUMIF(adj!$C$200:$C$275,$A267,adj!H$200:H$275)</f>
        <v>0</v>
      </c>
      <c r="J267" s="62"/>
      <c r="L267" s="62"/>
      <c r="N267">
        <f>SUMIF(adj!$C$3:$C$275,$A267,adj!E$3:E$275)</f>
        <v>0</v>
      </c>
    </row>
    <row r="268" spans="1:20" ht="11.25">
      <c r="A268" s="604">
        <v>259.5</v>
      </c>
      <c r="B268" t="str">
        <f>DataNameEmp7 &amp; " General Ops Cost Reduction % Per Hr"</f>
        <v>SI &amp; T Sr. Exec. General Ops Cost Reduction % Per Hr</v>
      </c>
      <c r="C268" t="s">
        <v>2030</v>
      </c>
      <c r="D268" s="375">
        <v>2.7E-4</v>
      </c>
      <c r="E268" s="375">
        <f>$D268*(1+L268+N268*($C268="R"))+J268+N268*($C268="A")</f>
        <v>2.7E-4</v>
      </c>
      <c r="F268" t="s">
        <v>1335</v>
      </c>
      <c r="G268">
        <f>COUNTIF(adj!$C$200:$C$275,$A268)</f>
        <v>0</v>
      </c>
      <c r="H268" s="10">
        <f>SUMIF(adj!$C$200:$C$275,$A268,adj!H$200:H$275)</f>
        <v>0</v>
      </c>
      <c r="J268" s="62"/>
      <c r="L268" s="62"/>
      <c r="N268">
        <f>SUMIF(adj!$C$3:$C$275,$A268,adj!E$3:E$275)</f>
        <v>0</v>
      </c>
    </row>
    <row r="269" spans="1:20" ht="11.25">
      <c r="A269" s="604">
        <v>259.60000000000002</v>
      </c>
      <c r="B269" t="str">
        <f>DataNameEmp7 &amp; " Training Hrs per Budget $"</f>
        <v>SI &amp; T Sr. Exec. Training Hrs per Budget $</v>
      </c>
      <c r="C269" t="s">
        <v>2030</v>
      </c>
      <c r="D269" s="385">
        <v>1.8823529411764704E-2</v>
      </c>
      <c r="E269" s="385">
        <f>$D269*(1+L269+N269*($C269="R"))+J269+N269*($C269="A")</f>
        <v>1.8823529411764704E-2</v>
      </c>
      <c r="F269" t="s">
        <v>1336</v>
      </c>
      <c r="G269">
        <f>COUNTIF(adj!$C$200:$C$275,$A269)</f>
        <v>0</v>
      </c>
      <c r="H269" s="10">
        <f>SUMIF(adj!$C$200:$C$275,$A269,adj!H$200:H$275)</f>
        <v>0</v>
      </c>
      <c r="J269" s="62"/>
      <c r="L269" s="62"/>
      <c r="N269">
        <f>SUMIF(adj!$C$3:$C$275,$A269,adj!E$3:E$275)</f>
        <v>0</v>
      </c>
    </row>
    <row r="270" spans="1:20" ht="11.25">
      <c r="A270" s="604">
        <v>259.7</v>
      </c>
      <c r="D270" s="16"/>
      <c r="E270" s="16"/>
      <c r="G270">
        <f>COUNTIF(adj!$C$200:$C$275,$A270)</f>
        <v>0</v>
      </c>
      <c r="H270" s="10">
        <f>SUMIF(adj!$C$200:$C$275,$A270,adj!H$200:H$275)</f>
        <v>0</v>
      </c>
      <c r="J270" s="62"/>
      <c r="L270" s="62"/>
      <c r="N270">
        <f>SUMIF(adj!$C$3:$C$275,$A270,adj!E$3:E$275)</f>
        <v>0</v>
      </c>
    </row>
    <row r="271" spans="1:20" ht="11.25">
      <c r="A271" s="604">
        <v>259.8</v>
      </c>
      <c r="D271" s="16"/>
      <c r="E271" s="16"/>
      <c r="G271">
        <f>COUNTIF(adj!$C$200:$C$275,$A271)</f>
        <v>0</v>
      </c>
      <c r="H271" s="10">
        <f>SUMIF(adj!$C$200:$C$275,$A271,adj!H$200:H$275)</f>
        <v>0</v>
      </c>
      <c r="J271" s="62"/>
      <c r="L271" s="62"/>
      <c r="N271">
        <f>SUMIF(adj!$C$3:$C$275,$A271,adj!E$3:E$275)</f>
        <v>0</v>
      </c>
    </row>
    <row r="272" spans="1:20" ht="11.25">
      <c r="A272" s="604">
        <v>259.89999999999998</v>
      </c>
      <c r="D272" s="16"/>
      <c r="E272" s="16"/>
      <c r="G272">
        <f>COUNTIF(adj!$C$200:$C$275,$A272)</f>
        <v>0</v>
      </c>
      <c r="H272" s="10">
        <f>SUMIF(adj!$C$200:$C$275,$A272,adj!H$200:H$275)</f>
        <v>0</v>
      </c>
      <c r="J272" s="62"/>
      <c r="L272" s="62"/>
      <c r="N272">
        <f>SUMIF(adj!$C$3:$C$275,$A272,adj!E$3:E$275)</f>
        <v>0</v>
      </c>
    </row>
    <row r="273" spans="1:20" ht="11.25">
      <c r="A273" s="519">
        <v>260</v>
      </c>
      <c r="B273" s="2" t="str">
        <f>DataNameEmp8 &amp; " Parameters"</f>
        <v>SI &amp; T Sr. Mgr Parameters</v>
      </c>
      <c r="G273">
        <f>COUNTIF(adj!$C$200:$C$275,$A273)</f>
        <v>0</v>
      </c>
      <c r="H273" s="10">
        <f>SUMIF(adj!$C$200:$C$275,$A273,adj!H$200:H$275)</f>
        <v>0</v>
      </c>
      <c r="J273" s="62"/>
      <c r="L273" s="62"/>
      <c r="N273">
        <f>SUMIF(adj!$C$3:$C$275,$A273,adj!E$3:E$275)</f>
        <v>0</v>
      </c>
    </row>
    <row r="274" spans="1:20" ht="11.25">
      <c r="A274" s="519">
        <v>261</v>
      </c>
      <c r="B274" t="str">
        <f>DataNameEmp8 &amp; " Attrition rate"</f>
        <v>SI &amp; T Sr. Mgr Attrition rate</v>
      </c>
      <c r="C274" t="s">
        <v>2030</v>
      </c>
      <c r="D274" s="12">
        <v>0.15</v>
      </c>
      <c r="E274" s="12">
        <f>$D274*(1+L274+N274*($C274="R"))+J274+N274*($C274="A")</f>
        <v>0.15</v>
      </c>
      <c r="F274" t="s">
        <v>4486</v>
      </c>
      <c r="G274">
        <f>COUNTIF(adj!$C$200:$C$275,$A274)</f>
        <v>0</v>
      </c>
      <c r="H274" s="10">
        <f>SUMIF(adj!$C$200:$C$275,$A274,adj!H$200:H$275)</f>
        <v>0</v>
      </c>
      <c r="J274" s="62"/>
      <c r="L274" s="62"/>
      <c r="N274">
        <f>SUMIF(adj!$C$3:$C$275,$A274,adj!E$3:E$275)</f>
        <v>0</v>
      </c>
      <c r="P274" t="s">
        <v>650</v>
      </c>
      <c r="Q274" t="s">
        <v>651</v>
      </c>
      <c r="R274" t="s">
        <v>652</v>
      </c>
      <c r="S274" t="s">
        <v>653</v>
      </c>
      <c r="T274" t="s">
        <v>654</v>
      </c>
    </row>
    <row r="275" spans="1:20" ht="11.25">
      <c r="A275" s="519">
        <v>262</v>
      </c>
      <c r="B275" t="str">
        <f>DataNameEmp8 &amp; " Salary"</f>
        <v>SI &amp; T Sr. Mgr Salary</v>
      </c>
      <c r="C275" t="s">
        <v>2030</v>
      </c>
      <c r="D275" s="16">
        <f>INDEX(P275:T275,xxYear+1)</f>
        <v>200000</v>
      </c>
      <c r="E275" s="16">
        <f>$D275*(1+L275+N275*($C275="R"))+J275+N275*($C275="A")</f>
        <v>200000</v>
      </c>
      <c r="F275" t="s">
        <v>4487</v>
      </c>
      <c r="G275">
        <f>COUNTIF(adj!$C$200:$C$275,$A275)</f>
        <v>0</v>
      </c>
      <c r="H275" s="10">
        <f>SUMIF(adj!$C$200:$C$275,$A275,adj!H$200:H$275)</f>
        <v>0</v>
      </c>
      <c r="J275" s="62"/>
      <c r="L275" s="62"/>
      <c r="N275">
        <f>SUMIF(adj!$C$3:$C$275,$A275,adj!E$3:E$275)</f>
        <v>0</v>
      </c>
      <c r="P275">
        <v>200000</v>
      </c>
      <c r="Q275">
        <f>P275*1</f>
        <v>200000</v>
      </c>
      <c r="R275">
        <f>Q275*1.05</f>
        <v>210000</v>
      </c>
      <c r="S275">
        <f>R275*1.05</f>
        <v>220500</v>
      </c>
      <c r="T275">
        <f>S275*1.05</f>
        <v>231525</v>
      </c>
    </row>
    <row r="276" spans="1:20" ht="11.25">
      <c r="A276" s="519">
        <v>263</v>
      </c>
      <c r="B276" t="str">
        <f>DataNameEmp8 &amp; " Recruit/Dismissal Cost"</f>
        <v>SI &amp; T Sr. Mgr Recruit/Dismissal Cost</v>
      </c>
      <c r="C276" t="s">
        <v>2030</v>
      </c>
      <c r="D276" s="12">
        <v>0.35</v>
      </c>
      <c r="E276" s="12">
        <f>$D276*(1+L276+N276*($C276="R"))+J276+N276*($C276="A")</f>
        <v>0.35</v>
      </c>
      <c r="F276" t="s">
        <v>4488</v>
      </c>
      <c r="G276">
        <f>COUNTIF(adj!$C$200:$C$275,$A276)</f>
        <v>0</v>
      </c>
      <c r="H276" s="10">
        <f>SUMIF(adj!$C$200:$C$275,$A276,adj!H$200:H$275)</f>
        <v>0</v>
      </c>
      <c r="J276" s="62"/>
      <c r="L276" s="62"/>
      <c r="N276">
        <f>SUMIF(adj!$C$3:$C$275,$A276,adj!E$3:E$275)</f>
        <v>0</v>
      </c>
    </row>
    <row r="277" spans="1:20" ht="11.25">
      <c r="A277" s="519">
        <v>264</v>
      </c>
      <c r="B277" t="str">
        <f>DataNameEmp8 &amp; " Admin Cost as Pct of Salary"</f>
        <v>SI &amp; T Sr. Mgr Admin Cost as Pct of Salary</v>
      </c>
      <c r="C277" t="s">
        <v>2030</v>
      </c>
      <c r="D277" s="12">
        <v>0.05</v>
      </c>
      <c r="E277" s="12">
        <f>$D277*(1+L277+N277*($C277="R"))+J277+N277*($C277="A")</f>
        <v>0.05</v>
      </c>
      <c r="F277" t="s">
        <v>4489</v>
      </c>
      <c r="G277">
        <f>COUNTIF(adj!$C$200:$C$275,$A277)</f>
        <v>0</v>
      </c>
      <c r="H277" s="10">
        <f>SUMIF(adj!$C$200:$C$275,$A277,adj!H$200:H$275)</f>
        <v>0</v>
      </c>
      <c r="J277" s="62"/>
      <c r="L277" s="62"/>
      <c r="N277">
        <f>SUMIF(adj!$C$3:$C$275,$A277,adj!E$3:E$275)</f>
        <v>0</v>
      </c>
    </row>
    <row r="278" spans="1:20" ht="11.25">
      <c r="A278" s="519">
        <v>265</v>
      </c>
      <c r="B278" t="str">
        <f>DataNameEmp8 &amp; " Overtime Rate"</f>
        <v>SI &amp; T Sr. Mgr Overtime Rate</v>
      </c>
      <c r="C278" t="s">
        <v>2030</v>
      </c>
      <c r="D278" s="12">
        <v>0</v>
      </c>
      <c r="E278" s="12">
        <f>$D278*(1+L278+N278*($C278="R"))+J278+N278*($C278="A")</f>
        <v>0</v>
      </c>
      <c r="F278" t="s">
        <v>3593</v>
      </c>
      <c r="G278">
        <f>COUNTIF(adj!$C$200:$C$275,$A278)</f>
        <v>0</v>
      </c>
      <c r="H278" s="10">
        <f>SUMIF(adj!$C$200:$C$275,$A278,adj!H$200:H$275)</f>
        <v>0</v>
      </c>
      <c r="J278" s="62"/>
      <c r="L278" s="62"/>
      <c r="N278">
        <f>SUMIF(adj!$C$3:$C$275,$A278,adj!E$3:E$275)</f>
        <v>0</v>
      </c>
    </row>
    <row r="279" spans="1:20" ht="11.25">
      <c r="A279" s="519">
        <v>266</v>
      </c>
      <c r="B279" t="str">
        <f>DataNameEmp8 &amp; " Hours Per Year"</f>
        <v>SI &amp; T Sr. Mgr Hours Per Year</v>
      </c>
      <c r="C279" t="s">
        <v>2030</v>
      </c>
      <c r="D279" s="11">
        <v>2000</v>
      </c>
      <c r="E279" s="11">
        <f>$D279*(1+L279+N279*($C279="R"))+J279+N279*($C279="A")</f>
        <v>2000</v>
      </c>
      <c r="F279" t="s">
        <v>2437</v>
      </c>
      <c r="G279">
        <f>COUNTIF(adj!$C$200:$C$275,$A279)</f>
        <v>0</v>
      </c>
      <c r="H279" s="10">
        <f>SUMIF(adj!$C$200:$C$275,$A279,adj!H$200:H$275)</f>
        <v>0</v>
      </c>
      <c r="J279" s="62"/>
      <c r="L279" s="62"/>
      <c r="N279">
        <f>SUMIF(adj!$C$3:$C$275,$A279,adj!E$3:E$275)</f>
        <v>0</v>
      </c>
    </row>
    <row r="280" spans="1:20" ht="11.25">
      <c r="A280" s="604">
        <v>267</v>
      </c>
      <c r="B280" t="str">
        <f>DataNameEmp8 &amp; "  Productivity Coeficient"</f>
        <v>SI &amp; T Sr. Mgr  Productivity Coeficient</v>
      </c>
      <c r="C280" t="s">
        <v>2030</v>
      </c>
      <c r="D280" s="313">
        <v>0.85</v>
      </c>
      <c r="E280" s="313">
        <f>$D280*(1+L280+N280*($C280="R"))+J280+N280*($C280="A")</f>
        <v>0.85</v>
      </c>
      <c r="F280" t="s">
        <v>2255</v>
      </c>
      <c r="G280">
        <f>COUNTIF(adj!$C$200:$C$275,$A280)</f>
        <v>0</v>
      </c>
      <c r="H280" s="10">
        <f>SUMIF(adj!$C$200:$C$275,$A280,adj!H$200:H$275)</f>
        <v>0</v>
      </c>
      <c r="J280" s="62"/>
      <c r="L280" s="62"/>
      <c r="N280">
        <f>SUMIF(adj!$C$3:$C$275,$A280,adj!E$3:E$275)</f>
        <v>0</v>
      </c>
    </row>
    <row r="281" spans="1:20" ht="11.25">
      <c r="A281" s="604">
        <v>267.10000000000002</v>
      </c>
      <c r="B281" t="str">
        <f>DataNameEmp8 &amp; " Load Cost % of Salary"</f>
        <v>SI &amp; T Sr. Mgr Load Cost % of Salary</v>
      </c>
      <c r="C281" t="s">
        <v>2030</v>
      </c>
      <c r="D281" s="313">
        <v>0.1</v>
      </c>
      <c r="E281" s="313">
        <f>$D281*(1+L281+N281*($C281="R"))+J281+N281*($C281="A")</f>
        <v>0.1</v>
      </c>
      <c r="F281" t="s">
        <v>3864</v>
      </c>
      <c r="G281">
        <f>COUNTIF(adj!$C$200:$C$275,$A281)</f>
        <v>0</v>
      </c>
      <c r="H281" s="10">
        <f>SUMIF(adj!$C$200:$C$275,$A281,adj!H$200:H$275)</f>
        <v>0</v>
      </c>
      <c r="J281" s="62"/>
      <c r="L281" s="62"/>
      <c r="N281">
        <f>SUMIF(adj!$C$3:$C$275,$A281,adj!E$3:E$275)</f>
        <v>0</v>
      </c>
    </row>
    <row r="282" spans="1:20" ht="11.25">
      <c r="A282" s="604">
        <v>267.2</v>
      </c>
      <c r="B282" t="str">
        <f>DataNameEmp8 &amp; " Competency Multiplier"</f>
        <v>SI &amp; T Sr. Mgr Competency Multiplier</v>
      </c>
      <c r="C282" t="s">
        <v>2030</v>
      </c>
      <c r="D282" s="313">
        <v>1</v>
      </c>
      <c r="E282" s="313">
        <f>$D282*(1+L282+N282*($C282="R"))+J282+N282*($C282="A")</f>
        <v>1</v>
      </c>
      <c r="F282" t="s">
        <v>3865</v>
      </c>
      <c r="G282">
        <f>COUNTIF(adj!$C$200:$C$275,$A282)</f>
        <v>0</v>
      </c>
      <c r="H282" s="10">
        <f>SUMIF(adj!$C$200:$C$275,$A282,adj!H$200:H$275)</f>
        <v>0</v>
      </c>
      <c r="J282" s="62"/>
      <c r="L282" s="62"/>
      <c r="N282">
        <f>SUMIF(adj!$C$3:$C$275,$A282,adj!E$3:E$275)</f>
        <v>0</v>
      </c>
    </row>
    <row r="283" spans="1:20" ht="11.25">
      <c r="A283" s="604">
        <v>267.3</v>
      </c>
      <c r="B283" t="str">
        <f>DataNameEmp8 &amp; " Hrs Req Per Cons. Comp. Dev. Level"</f>
        <v>SI &amp; T Sr. Mgr Hrs Req Per Cons. Comp. Dev. Level</v>
      </c>
      <c r="C283" t="s">
        <v>2030</v>
      </c>
      <c r="D283" s="312">
        <v>375</v>
      </c>
      <c r="E283" s="312">
        <f>$D283*(1+L283+N283*($C283="R"))+J283+N283*($C283="A")</f>
        <v>375</v>
      </c>
      <c r="F283" t="s">
        <v>2239</v>
      </c>
      <c r="G283">
        <f>COUNTIF(adj!$C$200:$C$275,$A283)</f>
        <v>0</v>
      </c>
      <c r="H283" s="10">
        <f>SUMIF(adj!$C$200:$C$275,$A283,adj!H$200:H$275)</f>
        <v>0</v>
      </c>
      <c r="J283" s="62"/>
      <c r="L283" s="62"/>
      <c r="N283">
        <f>SUMIF(adj!$C$3:$C$275,$A283,adj!E$3:E$275)</f>
        <v>0</v>
      </c>
    </row>
    <row r="284" spans="1:20" ht="11.25">
      <c r="A284" s="604">
        <v>267.39999999999998</v>
      </c>
      <c r="B284" t="str">
        <f>DataNameEmp8 &amp; " Hrs Req Per BPO Comp. Dev. Level"</f>
        <v>SI &amp; T Sr. Mgr Hrs Req Per BPO Comp. Dev. Level</v>
      </c>
      <c r="C284" t="s">
        <v>2030</v>
      </c>
      <c r="D284" s="312">
        <v>750</v>
      </c>
      <c r="E284" s="312">
        <f>$D284*(1+L284+N284*($C284="R"))+J284+N284*($C284="A")</f>
        <v>750</v>
      </c>
      <c r="F284" t="s">
        <v>2240</v>
      </c>
      <c r="G284">
        <f>COUNTIF(adj!$C$200:$C$275,$A284)</f>
        <v>0</v>
      </c>
      <c r="H284" s="10">
        <f>SUMIF(adj!$C$200:$C$275,$A284,adj!H$200:H$275)</f>
        <v>0</v>
      </c>
      <c r="J284" s="62"/>
      <c r="L284" s="62"/>
      <c r="N284">
        <f>SUMIF(adj!$C$3:$C$275,$A284,adj!E$3:E$275)</f>
        <v>0</v>
      </c>
    </row>
    <row r="285" spans="1:20" ht="11.25">
      <c r="A285" s="604">
        <v>267.5</v>
      </c>
      <c r="B285" t="str">
        <f>DataNameEmp8 &amp; " General Ops Cost Reduction % Per Hr"</f>
        <v>SI &amp; T Sr. Mgr General Ops Cost Reduction % Per Hr</v>
      </c>
      <c r="C285" t="s">
        <v>2030</v>
      </c>
      <c r="D285" s="375">
        <v>2.2000000000000001E-4</v>
      </c>
      <c r="E285" s="375">
        <f>$D285*(1+L285+N285*($C285="R"))+J285+N285*($C285="A")</f>
        <v>2.2000000000000001E-4</v>
      </c>
      <c r="F285" t="s">
        <v>2241</v>
      </c>
      <c r="G285">
        <f>COUNTIF(adj!$C$200:$C$275,$A285)</f>
        <v>0</v>
      </c>
      <c r="H285" s="10">
        <f>SUMIF(adj!$C$200:$C$275,$A285,adj!H$200:H$275)</f>
        <v>0</v>
      </c>
      <c r="J285" s="62"/>
      <c r="L285" s="62"/>
      <c r="N285">
        <f>SUMIF(adj!$C$3:$C$275,$A285,adj!E$3:E$275)</f>
        <v>0</v>
      </c>
    </row>
    <row r="286" spans="1:20" ht="11.25">
      <c r="A286" s="604">
        <v>267.60000000000002</v>
      </c>
      <c r="B286" t="str">
        <f>DataNameEmp8 &amp; " Training Hrs per Budget $"</f>
        <v>SI &amp; T Sr. Mgr Training Hrs per Budget $</v>
      </c>
      <c r="C286" t="s">
        <v>2030</v>
      </c>
      <c r="D286" s="385">
        <v>2.823529411764706E-2</v>
      </c>
      <c r="E286" s="385">
        <f>$D286*(1+L286+N286*($C286="R"))+J286+N286*($C286="A")</f>
        <v>2.823529411764706E-2</v>
      </c>
      <c r="F286" t="s">
        <v>2242</v>
      </c>
      <c r="G286">
        <f>COUNTIF(adj!$C$200:$C$275,$A286)</f>
        <v>0</v>
      </c>
      <c r="H286" s="10">
        <f>SUMIF(adj!$C$200:$C$275,$A286,adj!H$200:H$275)</f>
        <v>0</v>
      </c>
      <c r="J286" s="62"/>
      <c r="L286" s="62"/>
      <c r="N286">
        <f>SUMIF(adj!$C$3:$C$275,$A286,adj!E$3:E$275)</f>
        <v>0</v>
      </c>
    </row>
    <row r="287" spans="1:20" ht="11.25">
      <c r="A287" s="604">
        <v>267.7</v>
      </c>
      <c r="D287" s="11"/>
      <c r="E287" s="11"/>
      <c r="G287">
        <f>COUNTIF(adj!$C$200:$C$275,$A287)</f>
        <v>0</v>
      </c>
      <c r="H287" s="10">
        <f>SUMIF(adj!$C$200:$C$275,$A287,adj!H$200:H$275)</f>
        <v>0</v>
      </c>
      <c r="J287" s="62"/>
      <c r="L287" s="62"/>
      <c r="N287">
        <f>SUMIF(adj!$C$3:$C$275,$A287,adj!E$3:E$275)</f>
        <v>0</v>
      </c>
    </row>
    <row r="288" spans="1:20" ht="11.25">
      <c r="A288" s="604">
        <v>267.8</v>
      </c>
      <c r="D288" s="11"/>
      <c r="E288" s="11"/>
      <c r="G288">
        <f>COUNTIF(adj!$C$200:$C$275,$A288)</f>
        <v>0</v>
      </c>
      <c r="H288" s="10">
        <f>SUMIF(adj!$C$200:$C$275,$A288,adj!H$200:H$275)</f>
        <v>0</v>
      </c>
      <c r="J288" s="62"/>
      <c r="L288" s="62"/>
      <c r="N288">
        <f>SUMIF(adj!$C$3:$C$275,$A288,adj!E$3:E$275)</f>
        <v>0</v>
      </c>
    </row>
    <row r="289" spans="1:20" ht="11.25">
      <c r="A289" s="604">
        <v>267.89999999999998</v>
      </c>
      <c r="D289" s="11"/>
      <c r="E289" s="11"/>
      <c r="G289">
        <f>COUNTIF(adj!$C$200:$C$275,$A289)</f>
        <v>0</v>
      </c>
      <c r="H289" s="10">
        <f>SUMIF(adj!$C$200:$C$275,$A289,adj!H$200:H$275)</f>
        <v>0</v>
      </c>
      <c r="J289" s="62"/>
      <c r="L289" s="62"/>
      <c r="N289">
        <f>SUMIF(adj!$C$3:$C$275,$A289,adj!E$3:E$275)</f>
        <v>0</v>
      </c>
    </row>
    <row r="290" spans="1:20" ht="11.25">
      <c r="A290" s="519">
        <v>268</v>
      </c>
      <c r="B290" s="2" t="str">
        <f>DataNameEmp9 &amp; " Parameters"</f>
        <v>Global Delivery Centers Parameters</v>
      </c>
      <c r="G290">
        <f>COUNTIF(adj!$C$200:$C$275,$A290)</f>
        <v>0</v>
      </c>
      <c r="H290" s="10">
        <f>SUMIF(adj!$C$200:$C$275,$A290,adj!H$200:H$275)</f>
        <v>0</v>
      </c>
      <c r="J290" s="62"/>
      <c r="L290" s="62"/>
      <c r="N290">
        <f>SUMIF(adj!$C$3:$C$275,$A290,adj!E$3:E$275)</f>
        <v>0</v>
      </c>
    </row>
    <row r="291" spans="1:20" ht="11.25">
      <c r="A291" s="519">
        <v>269</v>
      </c>
      <c r="B291" t="str">
        <f>DataNameEmp9 &amp; " Attrition rate"</f>
        <v>Global Delivery Centers Attrition rate</v>
      </c>
      <c r="C291" t="s">
        <v>2030</v>
      </c>
      <c r="D291" s="12">
        <v>0.18</v>
      </c>
      <c r="E291" s="12">
        <f>$D291*(1+L291+N291*($C291="R"))+J291+N291*($C291="A")</f>
        <v>0.18</v>
      </c>
      <c r="F291" t="s">
        <v>1229</v>
      </c>
      <c r="G291">
        <f>COUNTIF(adj!$C$200:$C$275,$A291)</f>
        <v>0</v>
      </c>
      <c r="H291" s="10">
        <f>SUMIF(adj!$C$200:$C$275,$A291,adj!H$200:H$275)</f>
        <v>0</v>
      </c>
      <c r="J291" s="62"/>
      <c r="L291" s="62"/>
      <c r="N291">
        <f>SUMIF(adj!$C$3:$C$275,$A291,adj!E$3:E$275)</f>
        <v>0</v>
      </c>
      <c r="P291" t="s">
        <v>650</v>
      </c>
      <c r="Q291" t="s">
        <v>651</v>
      </c>
      <c r="R291" t="s">
        <v>652</v>
      </c>
      <c r="S291" t="s">
        <v>653</v>
      </c>
      <c r="T291" t="s">
        <v>654</v>
      </c>
    </row>
    <row r="292" spans="1:20" ht="11.25">
      <c r="A292" s="519">
        <v>270</v>
      </c>
      <c r="B292" t="str">
        <f>DataNameEmp9 &amp; " Salary"</f>
        <v>Global Delivery Centers Salary</v>
      </c>
      <c r="C292" t="s">
        <v>2030</v>
      </c>
      <c r="D292" s="16">
        <f>INDEX(P292:T292,xxYear+1)</f>
        <v>120000</v>
      </c>
      <c r="E292" s="16">
        <f>$D292*(1+L292+N292*($C292="R"))+J292+N292*($C292="A")</f>
        <v>120000</v>
      </c>
      <c r="F292" t="s">
        <v>1230</v>
      </c>
      <c r="G292">
        <f>COUNTIF(adj!$C$200:$C$275,$A292)</f>
        <v>0</v>
      </c>
      <c r="H292" s="10">
        <f>SUMIF(adj!$C$200:$C$275,$A292,adj!H$200:H$275)</f>
        <v>0</v>
      </c>
      <c r="J292" s="62"/>
      <c r="L292" s="62"/>
      <c r="N292">
        <f>SUMIF(adj!$C$3:$C$275,$A292,adj!E$3:E$275)</f>
        <v>0</v>
      </c>
      <c r="P292">
        <v>120000</v>
      </c>
      <c r="Q292">
        <f>P292*1</f>
        <v>120000</v>
      </c>
      <c r="R292">
        <f>Q292*1.05</f>
        <v>126000</v>
      </c>
      <c r="S292">
        <f>R292*1.05</f>
        <v>132300</v>
      </c>
      <c r="T292">
        <f>S292*1.05</f>
        <v>138915</v>
      </c>
    </row>
    <row r="293" spans="1:20" ht="11.25">
      <c r="A293" s="519">
        <v>271</v>
      </c>
      <c r="B293" t="str">
        <f>DataNameEmp9 &amp; " Recruit/Dismissal Cost"</f>
        <v>Global Delivery Centers Recruit/Dismissal Cost</v>
      </c>
      <c r="C293" t="s">
        <v>2030</v>
      </c>
      <c r="D293" s="12">
        <v>0.35</v>
      </c>
      <c r="E293" s="12">
        <f>$D293*(1+L293+N293*($C293="R"))+J293+N293*($C293="A")</f>
        <v>0.35</v>
      </c>
      <c r="F293" t="s">
        <v>1231</v>
      </c>
      <c r="G293">
        <f>COUNTIF(adj!$C$200:$C$275,$A293)</f>
        <v>0</v>
      </c>
      <c r="H293" s="10">
        <f>SUMIF(adj!$C$200:$C$275,$A293,adj!H$200:H$275)</f>
        <v>0</v>
      </c>
      <c r="J293" s="62"/>
      <c r="L293" s="62"/>
      <c r="N293">
        <f>SUMIF(adj!$C$3:$C$275,$A293,adj!E$3:E$275)</f>
        <v>0</v>
      </c>
    </row>
    <row r="294" spans="1:20" ht="11.25">
      <c r="A294" s="519">
        <v>272</v>
      </c>
      <c r="B294" t="str">
        <f>DataNameEmp9 &amp; " Admin Cost as Pct of Salary"</f>
        <v>Global Delivery Centers Admin Cost as Pct of Salary</v>
      </c>
      <c r="C294" t="s">
        <v>2030</v>
      </c>
      <c r="D294" s="12">
        <v>0.05</v>
      </c>
      <c r="E294" s="12">
        <f>$D294*(1+L294+N294*($C294="R"))+J294+N294*($C294="A")</f>
        <v>0.05</v>
      </c>
      <c r="F294" t="s">
        <v>1232</v>
      </c>
      <c r="G294">
        <f>COUNTIF(adj!$C$200:$C$275,$A294)</f>
        <v>0</v>
      </c>
      <c r="H294" s="10">
        <f>SUMIF(adj!$C$200:$C$275,$A294,adj!H$200:H$275)</f>
        <v>0</v>
      </c>
      <c r="J294" s="62"/>
      <c r="L294" s="62"/>
      <c r="N294">
        <f>SUMIF(adj!$C$3:$C$275,$A294,adj!E$3:E$275)</f>
        <v>0</v>
      </c>
    </row>
    <row r="295" spans="1:20" ht="11.25">
      <c r="A295" s="519">
        <v>273</v>
      </c>
      <c r="B295" t="str">
        <f>DataNameEmp9 &amp; " Overtime Rate"</f>
        <v>Global Delivery Centers Overtime Rate</v>
      </c>
      <c r="C295" t="s">
        <v>2030</v>
      </c>
      <c r="D295" s="12">
        <v>0.05</v>
      </c>
      <c r="E295" s="12">
        <f>$D295*(1+L295+N295*($C295="R"))+J295+N295*($C295="A")</f>
        <v>0.05</v>
      </c>
      <c r="F295" t="s">
        <v>1233</v>
      </c>
      <c r="G295">
        <f>COUNTIF(adj!$C$200:$C$275,$A295)</f>
        <v>0</v>
      </c>
      <c r="H295" s="10">
        <f>SUMIF(adj!$C$200:$C$275,$A295,adj!H$200:H$275)</f>
        <v>0</v>
      </c>
      <c r="J295" s="62"/>
      <c r="L295" s="62"/>
      <c r="N295">
        <f>SUMIF(adj!$C$3:$C$275,$A295,adj!E$3:E$275)</f>
        <v>0</v>
      </c>
    </row>
    <row r="296" spans="1:20" ht="11.25">
      <c r="A296" s="519">
        <v>274</v>
      </c>
      <c r="B296" t="str">
        <f>DataNameEmp9 &amp; " Hours Per Year"</f>
        <v>Global Delivery Centers Hours Per Year</v>
      </c>
      <c r="C296" t="s">
        <v>2030</v>
      </c>
      <c r="D296" s="11">
        <v>2000</v>
      </c>
      <c r="E296" s="11">
        <f>$D296*(1+L296+N296*($C296="R"))+J296+N296*($C296="A")</f>
        <v>2000</v>
      </c>
      <c r="F296" t="s">
        <v>1676</v>
      </c>
      <c r="G296">
        <f>COUNTIF(adj!$C$200:$C$275,$A296)</f>
        <v>0</v>
      </c>
      <c r="H296" s="10">
        <f>SUMIF(adj!$C$200:$C$275,$A296,adj!H$200:H$275)</f>
        <v>0</v>
      </c>
      <c r="J296" s="62"/>
      <c r="L296" s="62"/>
      <c r="N296">
        <f>SUMIF(adj!$C$3:$C$275,$A296,adj!E$3:E$275)</f>
        <v>0</v>
      </c>
    </row>
    <row r="297" spans="1:20" ht="11.25">
      <c r="A297" s="604">
        <v>275</v>
      </c>
      <c r="B297" t="str">
        <f>DataNameEmp8 &amp; "  Productivity Coeficient"</f>
        <v>SI &amp; T Sr. Mgr  Productivity Coeficient</v>
      </c>
      <c r="C297" t="s">
        <v>2030</v>
      </c>
      <c r="D297" s="313">
        <v>0.6</v>
      </c>
      <c r="E297" s="313">
        <f>$D297*(1+L297+N297*($C297="R"))+J297+N297*($C297="A")</f>
        <v>0.6</v>
      </c>
      <c r="F297" t="s">
        <v>2243</v>
      </c>
      <c r="G297">
        <f>COUNTIF(adj!$C$200:$C$275,$A297)</f>
        <v>0</v>
      </c>
      <c r="H297" s="10">
        <f>SUMIF(adj!$C$200:$C$275,$A297,adj!H$200:H$275)</f>
        <v>0</v>
      </c>
      <c r="J297" s="62"/>
      <c r="L297" s="62"/>
      <c r="N297">
        <f>SUMIF(adj!$C$3:$C$275,$A297,adj!E$3:E$275)</f>
        <v>0</v>
      </c>
    </row>
    <row r="298" spans="1:20" ht="11.25">
      <c r="A298" s="604">
        <v>275.10000000000002</v>
      </c>
      <c r="B298" t="str">
        <f>DataNameEmp8 &amp; " Load Cost % of Salary"</f>
        <v>SI &amp; T Sr. Mgr Load Cost % of Salary</v>
      </c>
      <c r="C298" t="s">
        <v>2030</v>
      </c>
      <c r="D298" s="313">
        <v>0.1</v>
      </c>
      <c r="E298" s="313">
        <f>$D298*(1+L298+N298*($C298="R"))+J298+N298*($C298="A")</f>
        <v>0.1</v>
      </c>
      <c r="F298" t="s">
        <v>2244</v>
      </c>
      <c r="G298">
        <f>COUNTIF(adj!$C$200:$C$275,$A298)</f>
        <v>0</v>
      </c>
      <c r="H298" s="10">
        <f>SUMIF(adj!$C$200:$C$275,$A298,adj!H$200:H$275)</f>
        <v>0</v>
      </c>
      <c r="J298" s="62"/>
      <c r="L298" s="62"/>
      <c r="N298">
        <f>SUMIF(adj!$C$3:$C$275,$A298,adj!E$3:E$275)</f>
        <v>0</v>
      </c>
    </row>
    <row r="299" spans="1:20" ht="11.25">
      <c r="A299" s="604">
        <v>275.2</v>
      </c>
      <c r="B299" t="str">
        <f>DataNameEmp8 &amp; " Competency Multiplier"</f>
        <v>SI &amp; T Sr. Mgr Competency Multiplier</v>
      </c>
      <c r="C299" t="s">
        <v>2030</v>
      </c>
      <c r="D299" s="313">
        <v>1</v>
      </c>
      <c r="E299" s="313">
        <f>$D299*(1+L299+N299*($C299="R"))+J299+N299*($C299="A")</f>
        <v>1</v>
      </c>
      <c r="F299" t="s">
        <v>2245</v>
      </c>
      <c r="G299">
        <f>COUNTIF(adj!$C$200:$C$275,$A299)</f>
        <v>0</v>
      </c>
      <c r="H299" s="10">
        <f>SUMIF(adj!$C$200:$C$275,$A299,adj!H$200:H$275)</f>
        <v>0</v>
      </c>
      <c r="J299" s="62"/>
      <c r="L299" s="62"/>
      <c r="N299">
        <f>SUMIF(adj!$C$3:$C$275,$A299,adj!E$3:E$275)</f>
        <v>0</v>
      </c>
    </row>
    <row r="300" spans="1:20" ht="11.25">
      <c r="A300" s="604">
        <v>275.3</v>
      </c>
      <c r="B300" t="str">
        <f>DataNameEmp8 &amp; " Hrs Req Per Cons. Comp. Dev. Level"</f>
        <v>SI &amp; T Sr. Mgr Hrs Req Per Cons. Comp. Dev. Level</v>
      </c>
      <c r="C300" t="s">
        <v>2030</v>
      </c>
      <c r="D300" s="312">
        <v>500</v>
      </c>
      <c r="E300" s="312">
        <f>$D300*(1+L300+N300*($C300="R"))+J300+N300*($C300="A")</f>
        <v>500</v>
      </c>
      <c r="F300" t="s">
        <v>2246</v>
      </c>
      <c r="G300">
        <f>COUNTIF(adj!$C$200:$C$275,$A300)</f>
        <v>0</v>
      </c>
      <c r="H300" s="10">
        <f>SUMIF(adj!$C$200:$C$275,$A300,adj!H$200:H$275)</f>
        <v>0</v>
      </c>
      <c r="J300" s="62"/>
      <c r="L300" s="62"/>
      <c r="N300">
        <f>SUMIF(adj!$C$3:$C$275,$A300,adj!E$3:E$275)</f>
        <v>0</v>
      </c>
    </row>
    <row r="301" spans="1:20" ht="11.25">
      <c r="A301" s="604">
        <v>275.39999999999998</v>
      </c>
      <c r="B301" t="str">
        <f>DataNameEmp8 &amp; " Hrs Req Per BPO Comp. Dev. Level"</f>
        <v>SI &amp; T Sr. Mgr Hrs Req Per BPO Comp. Dev. Level</v>
      </c>
      <c r="C301" t="s">
        <v>2030</v>
      </c>
      <c r="D301" s="312">
        <v>1000</v>
      </c>
      <c r="E301" s="312">
        <f>$D301*(1+L301+N301*($C301="R"))+J301+N301*($C301="A")</f>
        <v>1000</v>
      </c>
      <c r="F301" t="s">
        <v>4360</v>
      </c>
      <c r="G301">
        <f>COUNTIF(adj!$C$200:$C$275,$A301)</f>
        <v>0</v>
      </c>
      <c r="H301" s="10">
        <f>SUMIF(adj!$C$200:$C$275,$A301,adj!H$200:H$275)</f>
        <v>0</v>
      </c>
      <c r="J301" s="62"/>
      <c r="L301" s="62"/>
      <c r="N301">
        <f>SUMIF(adj!$C$3:$C$275,$A301,adj!E$3:E$275)</f>
        <v>0</v>
      </c>
    </row>
    <row r="302" spans="1:20" ht="11.25">
      <c r="A302" s="604">
        <v>275.5</v>
      </c>
      <c r="B302" t="str">
        <f>DataNameEmp8 &amp; " General Ops Cost Reduction % Per Hr"</f>
        <v>SI &amp; T Sr. Mgr General Ops Cost Reduction % Per Hr</v>
      </c>
      <c r="C302" t="s">
        <v>2030</v>
      </c>
      <c r="D302" s="375">
        <v>1.7000000000000001E-4</v>
      </c>
      <c r="E302" s="375">
        <f>$D302*(1+L302+N302*($C302="R"))+J302+N302*($C302="A")</f>
        <v>1.7000000000000001E-4</v>
      </c>
      <c r="F302" t="s">
        <v>4361</v>
      </c>
      <c r="G302">
        <f>COUNTIF(adj!$C$200:$C$275,$A302)</f>
        <v>0</v>
      </c>
      <c r="H302" s="10">
        <f>SUMIF(adj!$C$200:$C$275,$A302,adj!H$200:H$275)</f>
        <v>0</v>
      </c>
      <c r="J302" s="62"/>
      <c r="L302" s="62"/>
      <c r="N302">
        <f>SUMIF(adj!$C$3:$C$275,$A302,adj!E$3:E$275)</f>
        <v>0</v>
      </c>
    </row>
    <row r="303" spans="1:20" ht="11.25">
      <c r="A303" s="604">
        <v>275.60000000000002</v>
      </c>
      <c r="B303" t="str">
        <f>DataNameEmp8 &amp; " Training Hrs per Budget $"</f>
        <v>SI &amp; T Sr. Mgr Training Hrs per Budget $</v>
      </c>
      <c r="C303" t="s">
        <v>2030</v>
      </c>
      <c r="D303" s="385">
        <v>2.823529411764706E-2</v>
      </c>
      <c r="E303" s="385">
        <f>$D303*(1+L303+N303*($C303="R"))+J303+N303*($C303="A")</f>
        <v>2.823529411764706E-2</v>
      </c>
      <c r="F303" t="s">
        <v>4362</v>
      </c>
      <c r="G303">
        <f>COUNTIF(adj!$C$200:$C$275,$A303)</f>
        <v>0</v>
      </c>
      <c r="H303" s="10">
        <f>SUMIF(adj!$C$200:$C$275,$A303,adj!H$200:H$275)</f>
        <v>0</v>
      </c>
      <c r="J303" s="62"/>
      <c r="L303" s="62"/>
      <c r="N303">
        <f>SUMIF(adj!$C$3:$C$275,$A303,adj!E$3:E$275)</f>
        <v>0</v>
      </c>
    </row>
    <row r="304" spans="1:20" ht="11.25">
      <c r="A304" s="604">
        <v>275.7</v>
      </c>
      <c r="D304" s="11"/>
      <c r="E304" s="11"/>
      <c r="G304">
        <f>COUNTIF(adj!$C$200:$C$275,$A304)</f>
        <v>0</v>
      </c>
      <c r="H304" s="10">
        <f>SUMIF(adj!$C$200:$C$275,$A304,adj!H$200:H$275)</f>
        <v>0</v>
      </c>
      <c r="J304" s="62"/>
      <c r="L304" s="62"/>
      <c r="N304">
        <f>SUMIF(adj!$C$3:$C$275,$A304,adj!E$3:E$275)</f>
        <v>0</v>
      </c>
    </row>
    <row r="305" spans="1:14" ht="11.25">
      <c r="A305" s="604">
        <v>275.8</v>
      </c>
      <c r="D305" s="11"/>
      <c r="E305" s="11"/>
      <c r="G305">
        <f>COUNTIF(adj!$C$200:$C$275,$A305)</f>
        <v>0</v>
      </c>
      <c r="H305" s="10">
        <f>SUMIF(adj!$C$200:$C$275,$A305,adj!H$200:H$275)</f>
        <v>0</v>
      </c>
      <c r="J305" s="62"/>
      <c r="L305" s="62"/>
      <c r="N305">
        <f>SUMIF(adj!$C$3:$C$275,$A305,adj!E$3:E$275)</f>
        <v>0</v>
      </c>
    </row>
    <row r="306" spans="1:14" ht="11.25">
      <c r="A306" s="604">
        <v>275.89999999999998</v>
      </c>
      <c r="D306" s="11"/>
      <c r="E306" s="11"/>
      <c r="G306">
        <f>COUNTIF(adj!$C$200:$C$275,$A306)</f>
        <v>0</v>
      </c>
      <c r="H306" s="10">
        <f>SUMIF(adj!$C$200:$C$275,$A306,adj!H$200:H$275)</f>
        <v>0</v>
      </c>
      <c r="J306" s="62"/>
      <c r="L306" s="62"/>
      <c r="N306">
        <f>SUMIF(adj!$C$3:$C$275,$A306,adj!E$3:E$275)</f>
        <v>0</v>
      </c>
    </row>
    <row r="307" spans="1:14" ht="11.25">
      <c r="A307" s="519">
        <v>276</v>
      </c>
      <c r="B307" s="2" t="str">
        <f>DataNameEmp10 &amp; " Parameters"</f>
        <v>Employee 10 Parameters</v>
      </c>
      <c r="G307">
        <f>COUNTIF(adj!$C$200:$C$275,$A307)</f>
        <v>0</v>
      </c>
      <c r="H307" s="10">
        <f>SUMIF(adj!$C$200:$C$275,$A307,adj!H$200:H$275)</f>
        <v>0</v>
      </c>
      <c r="J307" s="62"/>
      <c r="L307" s="62"/>
      <c r="N307">
        <f>SUMIF(adj!$C$3:$C$275,$A307,adj!E$3:E$275)</f>
        <v>0</v>
      </c>
    </row>
    <row r="308" spans="1:14" ht="11.25">
      <c r="A308" s="519">
        <v>277</v>
      </c>
      <c r="B308" t="str">
        <f>DataNameEmp10 &amp; " Attrition rate"</f>
        <v>Employee 10 Attrition rate</v>
      </c>
      <c r="C308" t="s">
        <v>2030</v>
      </c>
      <c r="D308" s="12">
        <v>0.2</v>
      </c>
      <c r="E308" s="12">
        <f>$D308*(1+L308+N308*($C308="R"))+J308+N308*($C308="A")</f>
        <v>0.2</v>
      </c>
      <c r="F308" t="s">
        <v>1677</v>
      </c>
      <c r="G308">
        <f>COUNTIF(adj!$C$200:$C$275,$A308)</f>
        <v>0</v>
      </c>
      <c r="H308" s="10">
        <f>SUMIF(adj!$C$200:$C$275,$A308,adj!H$200:H$275)</f>
        <v>0</v>
      </c>
      <c r="J308" s="62"/>
      <c r="L308" s="62"/>
      <c r="N308">
        <f>SUMIF(adj!$C$3:$C$275,$A308,adj!E$3:E$275)</f>
        <v>0</v>
      </c>
    </row>
    <row r="309" spans="1:14" ht="11.25">
      <c r="A309" s="519">
        <v>278</v>
      </c>
      <c r="B309" t="str">
        <f>DataNameEmp10 &amp; " Salary"</f>
        <v>Employee 10 Salary</v>
      </c>
      <c r="C309" t="s">
        <v>2030</v>
      </c>
      <c r="D309" s="16">
        <v>60000</v>
      </c>
      <c r="E309" s="16">
        <f>$D309*(1+L309+N309*($C309="R"))+J309+N309*($C309="A")</f>
        <v>60000</v>
      </c>
      <c r="F309" t="s">
        <v>1678</v>
      </c>
      <c r="G309">
        <f>COUNTIF(adj!$C$200:$C$275,$A309)</f>
        <v>0</v>
      </c>
      <c r="H309" s="10">
        <f>SUMIF(adj!$C$200:$C$275,$A309,adj!H$200:H$275)</f>
        <v>0</v>
      </c>
      <c r="J309" s="62"/>
      <c r="L309" s="62"/>
      <c r="N309">
        <f>SUMIF(adj!$C$3:$C$275,$A309,adj!E$3:E$275)</f>
        <v>0</v>
      </c>
    </row>
    <row r="310" spans="1:14" ht="11.25">
      <c r="A310" s="519">
        <v>279</v>
      </c>
      <c r="B310" t="str">
        <f>DataNameEmp10 &amp; " Recruit/Dismissal Cost"</f>
        <v>Employee 10 Recruit/Dismissal Cost</v>
      </c>
      <c r="C310" t="s">
        <v>2030</v>
      </c>
      <c r="D310" s="12">
        <v>0.5</v>
      </c>
      <c r="E310" s="12">
        <f>$D310*(1+L310+N310*($C310="R"))+J310+N310*($C310="A")</f>
        <v>0.5</v>
      </c>
      <c r="F310" t="s">
        <v>1679</v>
      </c>
      <c r="G310">
        <f>COUNTIF(adj!$C$200:$C$275,$A310)</f>
        <v>0</v>
      </c>
      <c r="H310" s="10">
        <f>SUMIF(adj!$C$200:$C$275,$A310,adj!H$200:H$275)</f>
        <v>0</v>
      </c>
      <c r="J310" s="62"/>
      <c r="L310" s="62"/>
      <c r="N310">
        <f>SUMIF(adj!$C$3:$C$275,$A310,adj!E$3:E$275)</f>
        <v>0</v>
      </c>
    </row>
    <row r="311" spans="1:14" ht="11.25">
      <c r="A311" s="519">
        <v>280</v>
      </c>
      <c r="B311" t="str">
        <f>DataNameEmp10 &amp; " Admin Cost as Pct of Salary"</f>
        <v>Employee 10 Admin Cost as Pct of Salary</v>
      </c>
      <c r="C311" t="s">
        <v>2030</v>
      </c>
      <c r="D311" s="12">
        <v>0.2</v>
      </c>
      <c r="E311" s="12">
        <f>$D311*(1+L311+N311*($C311="R"))+J311+N311*($C311="A")</f>
        <v>0.2</v>
      </c>
      <c r="F311" t="s">
        <v>1680</v>
      </c>
      <c r="G311">
        <f>COUNTIF(adj!$C$200:$C$275,$A311)</f>
        <v>0</v>
      </c>
      <c r="H311" s="10">
        <f>SUMIF(adj!$C$200:$C$275,$A311,adj!H$200:H$275)</f>
        <v>0</v>
      </c>
      <c r="J311" s="62"/>
      <c r="L311" s="62"/>
      <c r="N311">
        <f>SUMIF(adj!$C$3:$C$275,$A311,adj!E$3:E$275)</f>
        <v>0</v>
      </c>
    </row>
    <row r="312" spans="1:14" ht="11.25">
      <c r="A312" s="519">
        <v>281</v>
      </c>
      <c r="B312" t="str">
        <f>DataNameEmp10 &amp; " Overtime Rate"</f>
        <v>Employee 10 Overtime Rate</v>
      </c>
      <c r="C312" t="s">
        <v>2030</v>
      </c>
      <c r="D312" s="12">
        <v>0</v>
      </c>
      <c r="E312" s="12">
        <f>$D312*(1+L312+N312*($C312="R"))+J312+N312*($C312="A")</f>
        <v>0</v>
      </c>
      <c r="F312" t="s">
        <v>1681</v>
      </c>
      <c r="G312">
        <f>COUNTIF(adj!$C$200:$C$275,$A312)</f>
        <v>0</v>
      </c>
      <c r="H312" s="10">
        <f>SUMIF(adj!$C$200:$C$275,$A312,adj!H$200:H$275)</f>
        <v>0</v>
      </c>
      <c r="J312" s="62"/>
      <c r="L312" s="62"/>
      <c r="N312">
        <f>SUMIF(adj!$C$3:$C$275,$A312,adj!E$3:E$275)</f>
        <v>0</v>
      </c>
    </row>
    <row r="313" spans="1:14" ht="11.25">
      <c r="A313" s="519">
        <v>282</v>
      </c>
      <c r="B313" t="str">
        <f>DataNameEmp10 &amp; " Hours Per Year"</f>
        <v>Employee 10 Hours Per Year</v>
      </c>
      <c r="C313" t="s">
        <v>2030</v>
      </c>
      <c r="D313" s="11">
        <v>16000</v>
      </c>
      <c r="E313" s="11">
        <f>$D313*(1+L313+N313*($C313="R"))+J313+N313*($C313="A")</f>
        <v>16000</v>
      </c>
      <c r="F313" t="s">
        <v>2050</v>
      </c>
      <c r="G313">
        <f>COUNTIF(adj!$C$200:$C$275,$A313)</f>
        <v>0</v>
      </c>
      <c r="H313" s="10">
        <f>SUMIF(adj!$C$200:$C$275,$A313,adj!H$200:H$275)</f>
        <v>0</v>
      </c>
      <c r="J313" s="62"/>
      <c r="L313" s="62"/>
      <c r="N313">
        <f>SUMIF(adj!$C$3:$C$275,$A313,adj!E$3:E$275)</f>
        <v>0</v>
      </c>
    </row>
    <row r="314" spans="1:14" ht="11.25">
      <c r="A314" s="519">
        <v>283</v>
      </c>
      <c r="D314" s="16"/>
      <c r="E314" s="16">
        <f>$D314*(1+L314+N314*($C314="R"))+J314+N314*($C314="A")</f>
        <v>0</v>
      </c>
      <c r="G314">
        <f>COUNTIF(adj!$C$200:$C$275,$A314)</f>
        <v>0</v>
      </c>
      <c r="H314" s="10">
        <f>SUMIF(adj!$C$200:$C$275,$A314,adj!H$200:H$275)</f>
        <v>0</v>
      </c>
      <c r="J314" s="62"/>
      <c r="L314" s="62"/>
      <c r="N314">
        <f>SUMIF(adj!$C$3:$C$275,$A314,adj!E$3:E$275)</f>
        <v>0</v>
      </c>
    </row>
    <row r="315" spans="1:14" ht="11.25">
      <c r="A315" s="519">
        <v>284</v>
      </c>
      <c r="B315" s="2" t="str">
        <f>DataNamePlant1 &amp; " Parameters"</f>
        <v>Equipment Parameters</v>
      </c>
      <c r="E315">
        <f>$D315*(1+L315+N315*($C315="R"))+J315+N315*($C315="A")</f>
        <v>0</v>
      </c>
      <c r="G315">
        <f>COUNTIF(adj!$C$200:$C$275,$A315)</f>
        <v>0</v>
      </c>
      <c r="H315" s="10">
        <f>SUMIF(adj!$C$200:$C$275,$A315,adj!H$200:H$275)</f>
        <v>0</v>
      </c>
      <c r="J315" s="62"/>
      <c r="L315" s="62"/>
      <c r="N315">
        <f>SUMIF(adj!$C$3:$C$275,$A315,adj!E$3:E$275)</f>
        <v>0</v>
      </c>
    </row>
    <row r="316" spans="1:14" ht="11.25">
      <c r="A316" s="519">
        <v>285</v>
      </c>
      <c r="B316" t="str">
        <f>DataNamePlant1 &amp; " Revenues Per Unit Sold"</f>
        <v>Equipment Revenues Per Unit Sold</v>
      </c>
      <c r="C316" t="s">
        <v>2030</v>
      </c>
      <c r="D316" s="16">
        <v>500000</v>
      </c>
      <c r="E316" s="16">
        <f>$D316*(1+L316+N316*($C316="R"))+J316+N316*($C316="A")</f>
        <v>500000</v>
      </c>
      <c r="F316" t="s">
        <v>2408</v>
      </c>
      <c r="G316">
        <f>COUNTIF(adj!$C$200:$C$275,$A316)</f>
        <v>0</v>
      </c>
      <c r="H316" s="10">
        <f>SUMIF(adj!$C$200:$C$275,$A316,adj!H$200:H$275)</f>
        <v>0</v>
      </c>
      <c r="J316" s="62"/>
      <c r="L316" s="62"/>
      <c r="N316">
        <f>SUMIF(adj!$C$3:$C$275,$A316,adj!E$3:E$275)</f>
        <v>0</v>
      </c>
    </row>
    <row r="317" spans="1:14" ht="11.25">
      <c r="A317" s="519">
        <v>286</v>
      </c>
      <c r="B317" t="str">
        <f>DataNamePlant1&amp;" Investment Cost Per Unit"</f>
        <v>Equipment Investment Cost Per Unit</v>
      </c>
      <c r="C317" t="s">
        <v>2030</v>
      </c>
      <c r="D317" s="16">
        <v>2000000</v>
      </c>
      <c r="E317" s="16">
        <f>$D317*(1+L317+N317*($C317="R"))+J317+N317*($C317="A")</f>
        <v>2000000</v>
      </c>
      <c r="F317" t="s">
        <v>2699</v>
      </c>
      <c r="G317">
        <f>COUNTIF(adj!$C$200:$C$275,$A317)</f>
        <v>0</v>
      </c>
      <c r="H317" s="10">
        <f>SUMIF(adj!$C$200:$C$275,$A317,adj!H$200:H$275)</f>
        <v>0</v>
      </c>
      <c r="J317" s="62"/>
      <c r="L317" s="62"/>
      <c r="N317">
        <f>SUMIF(adj!$C$3:$C$275,$A317,adj!E$3:E$275)</f>
        <v>0</v>
      </c>
    </row>
    <row r="318" spans="1:14" ht="11.25">
      <c r="A318" s="519">
        <v>287</v>
      </c>
      <c r="B318" t="str">
        <f>DataNamePlant1 &amp; " Machine Hours Per Unit"</f>
        <v>Equipment Machine Hours Per Unit</v>
      </c>
      <c r="C318" t="s">
        <v>2030</v>
      </c>
      <c r="D318" s="16">
        <v>50000</v>
      </c>
      <c r="E318" s="16">
        <f>$D318*(1+L318+N318*($C318="R"))+J318+N318*($C318="A")</f>
        <v>50000</v>
      </c>
      <c r="F318" t="s">
        <v>2700</v>
      </c>
      <c r="G318">
        <f>COUNTIF(adj!$C$200:$C$275,$A318)</f>
        <v>0</v>
      </c>
      <c r="H318" s="10">
        <f>SUMIF(adj!$C$200:$C$275,$A318,adj!H$200:H$275)</f>
        <v>0</v>
      </c>
      <c r="J318" s="62"/>
      <c r="L318" s="62"/>
      <c r="N318">
        <f>SUMIF(adj!$C$3:$C$275,$A318,adj!E$3:E$275)</f>
        <v>0</v>
      </c>
    </row>
    <row r="319" spans="1:14" ht="11.25">
      <c r="A319" s="519">
        <v>288</v>
      </c>
      <c r="B319" t="str">
        <f>DataNamePlant1 &amp; " Machinery Cost Per Hour"</f>
        <v>Equipment Machinery Cost Per Hour</v>
      </c>
      <c r="C319" t="s">
        <v>2030</v>
      </c>
      <c r="D319" s="10">
        <v>2</v>
      </c>
      <c r="E319" s="10">
        <f>$D319*(1+L319+N319*($C319="R"))+J319+N319*($C319="A")</f>
        <v>2</v>
      </c>
      <c r="F319" t="s">
        <v>2701</v>
      </c>
      <c r="G319">
        <f>COUNTIF(adj!$C$200:$C$275,$A319)</f>
        <v>0</v>
      </c>
      <c r="H319" s="10">
        <f>SUMIF(adj!$C$200:$C$275,$A319,adj!H$200:H$275)</f>
        <v>0</v>
      </c>
      <c r="J319" s="62"/>
      <c r="L319" s="62"/>
      <c r="N319">
        <f>SUMIF(adj!$C$3:$C$275,$A319,adj!E$3:E$275)</f>
        <v>0</v>
      </c>
    </row>
    <row r="320" spans="1:14" ht="11.25">
      <c r="A320" s="519">
        <v>289</v>
      </c>
      <c r="B320" t="str">
        <f>DataNamePlant1 &amp; " Deprecation Rate"</f>
        <v>Equipment Deprecation Rate</v>
      </c>
      <c r="C320" t="s">
        <v>2030</v>
      </c>
      <c r="D320" s="12">
        <v>0.1</v>
      </c>
      <c r="E320" s="12">
        <f>$D320*(1+L320+N320*($C320="R"))+J320+N320*($C320="A")</f>
        <v>0.1</v>
      </c>
      <c r="F320" t="s">
        <v>2702</v>
      </c>
      <c r="G320">
        <f>COUNTIF(adj!$C$200:$C$275,$A320)</f>
        <v>0</v>
      </c>
      <c r="H320" s="10">
        <f>SUMIF(adj!$C$200:$C$275,$A320,adj!H$200:H$275)</f>
        <v>0</v>
      </c>
      <c r="J320" s="62"/>
      <c r="L320" s="62"/>
      <c r="N320">
        <f>SUMIF(adj!$C$3:$C$275,$A320,adj!E$3:E$275)</f>
        <v>0</v>
      </c>
    </row>
    <row r="321" spans="1:14" ht="11.25">
      <c r="A321" s="519">
        <v>290</v>
      </c>
      <c r="B321" t="str">
        <f>DataNamePlant1 &amp; " Ramp Up Pct"</f>
        <v>Equipment Ramp Up Pct</v>
      </c>
      <c r="C321" t="s">
        <v>2030</v>
      </c>
      <c r="D321" s="12">
        <v>0.5</v>
      </c>
      <c r="E321" s="15">
        <f>$D321*(1+L321+N321*($C321="R"))+J321+N321*($C321="A")</f>
        <v>0.5</v>
      </c>
      <c r="F321" t="s">
        <v>151</v>
      </c>
      <c r="G321">
        <f>COUNTIF(adj!$C$200:$C$275,$A321)</f>
        <v>0</v>
      </c>
      <c r="H321" s="10">
        <f>SUMIF(adj!$C$200:$C$275,$A321,adj!H$200:H$275)</f>
        <v>0</v>
      </c>
      <c r="J321" s="62"/>
      <c r="L321" s="62"/>
      <c r="N321">
        <f>SUMIF(adj!$C$3:$C$275,$A321,adj!E$3:E$275)</f>
        <v>0</v>
      </c>
    </row>
    <row r="322" spans="1:14" ht="11.25">
      <c r="A322" s="519">
        <v>291</v>
      </c>
      <c r="D322" s="16"/>
      <c r="E322" s="16">
        <f>$D322*(1+L322+N322*($C322="R"))+J322+N322*($C322="A")</f>
        <v>0</v>
      </c>
      <c r="G322">
        <f>COUNTIF(adj!$C$200:$C$275,$A322)</f>
        <v>0</v>
      </c>
      <c r="H322" s="10">
        <f>SUMIF(adj!$C$200:$C$275,$A322,adj!H$200:H$275)</f>
        <v>0</v>
      </c>
      <c r="J322" s="62"/>
      <c r="L322" s="62"/>
      <c r="N322">
        <f>SUMIF(adj!$C$3:$C$275,$A322,adj!E$3:E$275)</f>
        <v>0</v>
      </c>
    </row>
    <row r="323" spans="1:14" ht="11.25">
      <c r="A323" s="519">
        <v>292</v>
      </c>
      <c r="B323" s="2" t="str">
        <f>DataNamePlant2 &amp; " Parameters"</f>
        <v>International Plant Parameters</v>
      </c>
      <c r="E323">
        <f>$D323*(1+L323+N323*($C323="R"))+J323+N323*($C323="A")</f>
        <v>0</v>
      </c>
      <c r="G323">
        <f>COUNTIF(adj!$C$200:$C$275,$A323)</f>
        <v>0</v>
      </c>
      <c r="H323" s="10">
        <f>SUMIF(adj!$C$200:$C$275,$A323,adj!H$200:H$275)</f>
        <v>0</v>
      </c>
      <c r="J323" s="62"/>
      <c r="L323" s="62"/>
      <c r="N323">
        <f>SUMIF(adj!$C$3:$C$275,$A323,adj!E$3:E$275)</f>
        <v>0</v>
      </c>
    </row>
    <row r="324" spans="1:14" ht="11.25">
      <c r="A324" s="519">
        <v>293</v>
      </c>
      <c r="B324" t="str">
        <f>DataNamePlant2 &amp; " Revenues Per Unit Sold"</f>
        <v>International Plant Revenues Per Unit Sold</v>
      </c>
      <c r="C324" t="s">
        <v>2030</v>
      </c>
      <c r="D324" s="16">
        <v>500000</v>
      </c>
      <c r="E324" s="16">
        <f>$D324*(1+L324+N324*($C324="R"))+J324+N324*($C324="A")</f>
        <v>500000</v>
      </c>
      <c r="F324" t="s">
        <v>2763</v>
      </c>
      <c r="G324">
        <f>COUNTIF(adj!$C$200:$C$275,$A324)</f>
        <v>0</v>
      </c>
      <c r="H324" s="10">
        <f>SUMIF(adj!$C$200:$C$275,$A324,adj!H$200:H$275)</f>
        <v>0</v>
      </c>
      <c r="J324" s="62"/>
      <c r="L324" s="62"/>
      <c r="N324">
        <f>SUMIF(adj!$C$3:$C$275,$A324,adj!E$3:E$275)</f>
        <v>0</v>
      </c>
    </row>
    <row r="325" spans="1:14" ht="11.25">
      <c r="A325" s="519">
        <v>294</v>
      </c>
      <c r="B325" t="str">
        <f>DataNamePlant2&amp;" Investment Cost Per Unit"</f>
        <v>International Plant Investment Cost Per Unit</v>
      </c>
      <c r="C325" t="s">
        <v>2030</v>
      </c>
      <c r="D325" s="16">
        <v>2000000</v>
      </c>
      <c r="E325" s="16">
        <f>$D325*(1+L325+N325*($C325="R"))+J325+N325*($C325="A")</f>
        <v>2000000</v>
      </c>
      <c r="F325" t="s">
        <v>2764</v>
      </c>
      <c r="G325">
        <f>COUNTIF(adj!$C$200:$C$275,$A325)</f>
        <v>0</v>
      </c>
      <c r="H325" s="10">
        <f>SUMIF(adj!$C$200:$C$275,$A325,adj!H$200:H$275)</f>
        <v>0</v>
      </c>
      <c r="J325" s="62"/>
      <c r="L325" s="62"/>
      <c r="N325">
        <f>SUMIF(adj!$C$3:$C$275,$A325,adj!E$3:E$275)</f>
        <v>0</v>
      </c>
    </row>
    <row r="326" spans="1:14" ht="11.25">
      <c r="A326" s="519">
        <v>295</v>
      </c>
      <c r="B326" t="str">
        <f>DataNamePlant2 &amp; " Machine Hours Per Unit"</f>
        <v>International Plant Machine Hours Per Unit</v>
      </c>
      <c r="C326" t="s">
        <v>2030</v>
      </c>
      <c r="D326" s="16">
        <v>50000</v>
      </c>
      <c r="E326" s="16">
        <f>$D326*(1+L326+N326*($C326="R"))+J326+N326*($C326="A")</f>
        <v>50000</v>
      </c>
      <c r="F326" t="s">
        <v>2765</v>
      </c>
      <c r="G326">
        <f>COUNTIF(adj!$C$200:$C$275,$A326)</f>
        <v>0</v>
      </c>
      <c r="H326" s="10">
        <f>SUMIF(adj!$C$200:$C$275,$A326,adj!H$200:H$275)</f>
        <v>0</v>
      </c>
      <c r="J326" s="62"/>
      <c r="L326" s="62"/>
      <c r="N326">
        <f>SUMIF(adj!$C$3:$C$275,$A326,adj!E$3:E$275)</f>
        <v>0</v>
      </c>
    </row>
    <row r="327" spans="1:14" ht="11.25">
      <c r="A327" s="519">
        <v>296</v>
      </c>
      <c r="B327" t="str">
        <f>DataNamePlant2 &amp; " Machinery Cost Per Hour"</f>
        <v>International Plant Machinery Cost Per Hour</v>
      </c>
      <c r="C327" t="s">
        <v>2030</v>
      </c>
      <c r="D327" s="10">
        <v>2</v>
      </c>
      <c r="E327" s="10">
        <f>$D327*(1+L327+N327*($C327="R"))+J327+N327*($C327="A")</f>
        <v>2</v>
      </c>
      <c r="F327" t="s">
        <v>2766</v>
      </c>
      <c r="G327">
        <f>COUNTIF(adj!$C$200:$C$275,$A327)</f>
        <v>0</v>
      </c>
      <c r="H327" s="10">
        <f>SUMIF(adj!$C$200:$C$275,$A327,adj!H$200:H$275)</f>
        <v>0</v>
      </c>
      <c r="J327" s="62"/>
      <c r="L327" s="62"/>
      <c r="N327">
        <f>SUMIF(adj!$C$3:$C$275,$A327,adj!E$3:E$275)</f>
        <v>0</v>
      </c>
    </row>
    <row r="328" spans="1:14" ht="11.25">
      <c r="A328" s="519">
        <v>297</v>
      </c>
      <c r="B328" t="str">
        <f>DataNamePlant2 &amp; " Deprecation Rate"</f>
        <v>International Plant Deprecation Rate</v>
      </c>
      <c r="C328" t="s">
        <v>2030</v>
      </c>
      <c r="D328" s="12">
        <v>0.1</v>
      </c>
      <c r="E328" s="12">
        <f>$D328*(1+L328+N328*($C328="R"))+J328+N328*($C328="A")</f>
        <v>0.1</v>
      </c>
      <c r="F328" t="s">
        <v>2767</v>
      </c>
      <c r="G328">
        <f>COUNTIF(adj!$C$200:$C$275,$A328)</f>
        <v>0</v>
      </c>
      <c r="H328" s="10">
        <f>SUMIF(adj!$C$200:$C$275,$A328,adj!H$200:H$275)</f>
        <v>0</v>
      </c>
      <c r="J328" s="62"/>
      <c r="L328" s="62"/>
      <c r="N328">
        <f>SUMIF(adj!$C$3:$C$275,$A328,adj!E$3:E$275)</f>
        <v>0</v>
      </c>
    </row>
    <row r="329" spans="1:14" ht="11.25">
      <c r="A329" s="519">
        <v>298</v>
      </c>
      <c r="B329" t="str">
        <f>DataNamePlant2 &amp; " Ramp Up Pct"</f>
        <v>International Plant Ramp Up Pct</v>
      </c>
      <c r="C329" t="s">
        <v>2030</v>
      </c>
      <c r="D329" s="12">
        <v>0.5</v>
      </c>
      <c r="E329" s="15">
        <f>$D329*(1+L329+N329*($C329="R"))+J329+N329*($C329="A")</f>
        <v>0.5</v>
      </c>
      <c r="F329" t="s">
        <v>2768</v>
      </c>
      <c r="G329">
        <f>COUNTIF(adj!$C$200:$C$275,$A329)</f>
        <v>0</v>
      </c>
      <c r="H329" s="10">
        <f>SUMIF(adj!$C$200:$C$275,$A329,adj!H$200:H$275)</f>
        <v>0</v>
      </c>
      <c r="J329" s="62"/>
      <c r="L329" s="62"/>
      <c r="N329">
        <f>SUMIF(adj!$C$3:$C$275,$A329,adj!E$3:E$275)</f>
        <v>0</v>
      </c>
    </row>
    <row r="330" spans="1:14" ht="11.25">
      <c r="A330" s="519">
        <v>299</v>
      </c>
      <c r="D330" s="16"/>
      <c r="E330" s="16">
        <f>$D330*(1+L330+N330*($C330="R"))+J330+N330*($C330="A")</f>
        <v>0</v>
      </c>
      <c r="G330">
        <f>COUNTIF(adj!$C$200:$C$275,$A330)</f>
        <v>0</v>
      </c>
      <c r="H330" s="10">
        <f>SUMIF(adj!$C$200:$C$275,$A330,adj!H$200:H$275)</f>
        <v>0</v>
      </c>
      <c r="J330" s="62"/>
      <c r="L330" s="62"/>
      <c r="N330">
        <f>SUMIF(adj!$C$3:$C$275,$A330,adj!E$3:E$275)</f>
        <v>0</v>
      </c>
    </row>
    <row r="331" spans="1:14" ht="11.25">
      <c r="A331" s="519">
        <v>300</v>
      </c>
      <c r="B331" s="2" t="str">
        <f>DataNamePlant3 &amp; " Parameters"</f>
        <v>Bid Plant Parameters</v>
      </c>
      <c r="E331">
        <f>$D331*(1+L331+N331*($C331="R"))+J331+N331*($C331="A")</f>
        <v>0</v>
      </c>
      <c r="G331">
        <f>COUNTIF(adj!$C$200:$C$275,$A331)</f>
        <v>0</v>
      </c>
      <c r="H331" s="10">
        <f>SUMIF(adj!$C$200:$C$275,$A331,adj!H$200:H$275)</f>
        <v>0</v>
      </c>
      <c r="J331" s="62"/>
      <c r="L331" s="62"/>
      <c r="N331">
        <f>SUMIF(adj!$C$3:$C$275,$A331,adj!E$3:E$275)</f>
        <v>0</v>
      </c>
    </row>
    <row r="332" spans="1:14" ht="11.25">
      <c r="A332" s="519">
        <v>301</v>
      </c>
      <c r="B332" t="str">
        <f>DataNamePlant3 &amp; " Revenues Per Unit Sold"</f>
        <v>Bid Plant Revenues Per Unit Sold</v>
      </c>
      <c r="C332" t="s">
        <v>2030</v>
      </c>
      <c r="D332" s="16">
        <v>500000</v>
      </c>
      <c r="E332" s="16">
        <f>$D332*(1+L332+N332*($C332="R"))+J332+N332*($C332="A")</f>
        <v>500000</v>
      </c>
      <c r="F332" t="s">
        <v>774</v>
      </c>
      <c r="G332">
        <f>COUNTIF(adj!$C$200:$C$275,$A332)</f>
        <v>0</v>
      </c>
      <c r="H332" s="10">
        <f>SUMIF(adj!$C$200:$C$275,$A332,adj!H$200:H$275)</f>
        <v>0</v>
      </c>
      <c r="J332" s="62"/>
      <c r="L332" s="62"/>
      <c r="N332">
        <f>SUMIF(adj!$C$3:$C$275,$A332,adj!E$3:E$275)</f>
        <v>0</v>
      </c>
    </row>
    <row r="333" spans="1:14" ht="11.25">
      <c r="A333" s="519">
        <v>302</v>
      </c>
      <c r="B333" t="str">
        <f>DataNamePlant3&amp;" Investment Cost Per Unit"</f>
        <v>Bid Plant Investment Cost Per Unit</v>
      </c>
      <c r="C333" t="s">
        <v>2030</v>
      </c>
      <c r="D333" s="16">
        <v>2000000</v>
      </c>
      <c r="E333" s="16">
        <f>$D333*(1+L333+N333*($C333="R"))+J333+N333*($C333="A")</f>
        <v>2000000</v>
      </c>
      <c r="F333" t="s">
        <v>429</v>
      </c>
      <c r="G333">
        <f>COUNTIF(adj!$C$200:$C$275,$A333)</f>
        <v>0</v>
      </c>
      <c r="H333" s="10">
        <f>SUMIF(adj!$C$200:$C$275,$A333,adj!H$200:H$275)</f>
        <v>0</v>
      </c>
      <c r="J333" s="62"/>
      <c r="L333" s="62"/>
      <c r="N333">
        <f>SUMIF(adj!$C$3:$C$275,$A333,adj!E$3:E$275)</f>
        <v>0</v>
      </c>
    </row>
    <row r="334" spans="1:14" ht="11.25">
      <c r="A334" s="519">
        <v>303</v>
      </c>
      <c r="B334" t="str">
        <f>DataNamePlant3 &amp; " Machine Hours Per Unit"</f>
        <v>Bid Plant Machine Hours Per Unit</v>
      </c>
      <c r="C334" t="s">
        <v>2030</v>
      </c>
      <c r="D334" s="16">
        <v>50000</v>
      </c>
      <c r="E334" s="16">
        <f>$D334*(1+L334+N334*($C334="R"))+J334+N334*($C334="A")</f>
        <v>50000</v>
      </c>
      <c r="F334" t="s">
        <v>1082</v>
      </c>
      <c r="G334">
        <f>COUNTIF(adj!$C$200:$C$275,$A334)</f>
        <v>0</v>
      </c>
      <c r="H334" s="10">
        <f>SUMIF(adj!$C$200:$C$275,$A334,adj!H$200:H$275)</f>
        <v>0</v>
      </c>
      <c r="J334" s="62"/>
      <c r="L334" s="62"/>
      <c r="N334">
        <f>SUMIF(adj!$C$3:$C$275,$A334,adj!E$3:E$275)</f>
        <v>0</v>
      </c>
    </row>
    <row r="335" spans="1:14" ht="11.25">
      <c r="A335" s="519">
        <v>304</v>
      </c>
      <c r="B335" t="str">
        <f>DataNamePlant3 &amp; " Machinery Cost Per Hour"</f>
        <v>Bid Plant Machinery Cost Per Hour</v>
      </c>
      <c r="C335" t="s">
        <v>2030</v>
      </c>
      <c r="D335" s="10">
        <v>2</v>
      </c>
      <c r="E335" s="10">
        <f>$D335*(1+L335+N335*($C335="R"))+J335+N335*($C335="A")</f>
        <v>2</v>
      </c>
      <c r="F335" t="s">
        <v>2760</v>
      </c>
      <c r="G335">
        <f>COUNTIF(adj!$C$200:$C$275,$A335)</f>
        <v>0</v>
      </c>
      <c r="H335" s="10">
        <f>SUMIF(adj!$C$200:$C$275,$A335,adj!H$200:H$275)</f>
        <v>0</v>
      </c>
      <c r="J335" s="62"/>
      <c r="L335" s="62"/>
      <c r="N335">
        <f>SUMIF(adj!$C$3:$C$275,$A335,adj!E$3:E$275)</f>
        <v>0</v>
      </c>
    </row>
    <row r="336" spans="1:14" ht="11.25">
      <c r="A336" s="519">
        <v>305</v>
      </c>
      <c r="B336" t="str">
        <f>DataNamePlant3 &amp; " Deprecation Rate"</f>
        <v>Bid Plant Deprecation Rate</v>
      </c>
      <c r="C336" t="s">
        <v>2030</v>
      </c>
      <c r="D336" s="12">
        <v>0.1</v>
      </c>
      <c r="E336" s="12">
        <f>$D336*(1+L336+N336*($C336="R"))+J336+N336*($C336="A")</f>
        <v>0.1</v>
      </c>
      <c r="F336" t="s">
        <v>2761</v>
      </c>
      <c r="G336">
        <f>COUNTIF(adj!$C$200:$C$275,$A336)</f>
        <v>0</v>
      </c>
      <c r="H336" s="10">
        <f>SUMIF(adj!$C$200:$C$275,$A336,adj!H$200:H$275)</f>
        <v>0</v>
      </c>
      <c r="J336" s="62"/>
      <c r="L336" s="62"/>
      <c r="N336">
        <f>SUMIF(adj!$C$3:$C$275,$A336,adj!E$3:E$275)</f>
        <v>0</v>
      </c>
    </row>
    <row r="337" spans="1:14" ht="11.25">
      <c r="A337" s="519">
        <v>306</v>
      </c>
      <c r="B337" t="str">
        <f>DataNamePlant3 &amp; " Ramp Up Pct"</f>
        <v>Bid Plant Ramp Up Pct</v>
      </c>
      <c r="C337" t="s">
        <v>2030</v>
      </c>
      <c r="D337" s="12">
        <v>0.5</v>
      </c>
      <c r="E337" s="15">
        <f>$D337*(1+L337+N337*($C337="R"))+J337+N337*($C337="A")</f>
        <v>0.5</v>
      </c>
      <c r="F337" t="s">
        <v>2762</v>
      </c>
      <c r="G337">
        <f>COUNTIF(adj!$C$200:$C$275,$A337)</f>
        <v>0</v>
      </c>
      <c r="H337" s="10">
        <f>SUMIF(adj!$C$200:$C$275,$A337,adj!H$200:H$275)</f>
        <v>0</v>
      </c>
      <c r="J337" s="62"/>
      <c r="L337" s="62"/>
      <c r="N337">
        <f>SUMIF(adj!$C$3:$C$275,$A337,adj!E$3:E$275)</f>
        <v>0</v>
      </c>
    </row>
    <row r="338" spans="1:14" ht="11.25">
      <c r="A338" s="519">
        <v>307</v>
      </c>
      <c r="D338" s="12"/>
      <c r="E338" s="15"/>
      <c r="G338">
        <f>COUNTIF(adj!$C$200:$C$275,$A338)</f>
        <v>0</v>
      </c>
      <c r="H338" s="10">
        <f>SUMIF(adj!$C$200:$C$275,$A338,adj!H$200:H$275)</f>
        <v>0</v>
      </c>
      <c r="J338" s="62"/>
      <c r="L338" s="62"/>
      <c r="N338">
        <f>SUMIF(adj!$C$3:$C$275,$A338,adj!E$3:E$275)</f>
        <v>0</v>
      </c>
    </row>
    <row r="339" spans="1:14" ht="11.25">
      <c r="A339" s="519">
        <v>308</v>
      </c>
      <c r="B339" s="2" t="s">
        <v>81</v>
      </c>
      <c r="E339">
        <f>$D339*(1+L339+N339*($C339="R"))+J339+N339*($C339="A")</f>
        <v>0</v>
      </c>
      <c r="G339">
        <f>COUNTIF(adj!$C$200:$C$275,$A339)</f>
        <v>0</v>
      </c>
      <c r="H339" s="10">
        <f>SUMIF(adj!$C$200:$C$275,$A339,adj!H$200:H$275)</f>
        <v>0</v>
      </c>
      <c r="J339" s="62"/>
      <c r="L339" s="62"/>
      <c r="N339">
        <f>SUMIF(adj!$C$3:$C$275,$A339,adj!E$3:E$275)</f>
        <v>0</v>
      </c>
    </row>
    <row r="340" spans="1:14" ht="11.25">
      <c r="A340" s="519">
        <v>309</v>
      </c>
      <c r="B340" t="s">
        <v>82</v>
      </c>
      <c r="C340" t="s">
        <v>2030</v>
      </c>
      <c r="D340" s="12">
        <v>0.25</v>
      </c>
      <c r="E340" s="12">
        <f>$D340*(1+L340+N340*($C340="R"))+J340+N340*($C340="A")</f>
        <v>0.25</v>
      </c>
      <c r="F340" t="s">
        <v>2156</v>
      </c>
      <c r="G340">
        <f>COUNTIF(adj!$C$200:$C$275,$A340)</f>
        <v>0</v>
      </c>
      <c r="H340" s="10">
        <f>SUMIF(adj!$C$200:$C$275,$A340,adj!H$200:H$275)</f>
        <v>0</v>
      </c>
      <c r="J340" s="62"/>
      <c r="L340" s="62"/>
      <c r="N340">
        <f>SUMIF(adj!$C$3:$C$275,$A340,adj!E$3:E$275)</f>
        <v>0</v>
      </c>
    </row>
    <row r="341" spans="1:14" ht="11.25">
      <c r="A341" s="519">
        <v>310</v>
      </c>
      <c r="B341" t="s">
        <v>2152</v>
      </c>
      <c r="C341" t="s">
        <v>2030</v>
      </c>
      <c r="D341" s="12">
        <v>0.1</v>
      </c>
      <c r="E341" s="12">
        <f>$D341*(1+L341+N341*($C341="R"))+J341+N341*($C341="A")</f>
        <v>0.1</v>
      </c>
      <c r="F341" t="s">
        <v>2153</v>
      </c>
      <c r="G341">
        <f>COUNTIF(adj!$C$200:$C$275,$A341)</f>
        <v>0</v>
      </c>
      <c r="H341" s="10">
        <f>SUMIF(adj!$C$200:$C$275,$A341,adj!H$200:H$275)</f>
        <v>0</v>
      </c>
      <c r="J341" s="62"/>
      <c r="L341" s="62"/>
      <c r="N341">
        <f>SUMIF(adj!$C$3:$C$275,$A341,adj!E$3:E$275)</f>
        <v>0</v>
      </c>
    </row>
    <row r="342" spans="1:14" ht="11.25">
      <c r="A342" s="519">
        <v>311</v>
      </c>
      <c r="B342" t="s">
        <v>2154</v>
      </c>
      <c r="C342" t="s">
        <v>2030</v>
      </c>
      <c r="D342" s="12">
        <v>0.15</v>
      </c>
      <c r="E342" s="12">
        <f>$D342*(1+L342+N342*($C342="R"))+J342+N342*($C342="A")</f>
        <v>0.15</v>
      </c>
      <c r="F342" t="s">
        <v>2155</v>
      </c>
      <c r="G342">
        <f>COUNTIF(adj!$C$200:$C$275,$A342)</f>
        <v>0</v>
      </c>
      <c r="H342" s="10">
        <f>SUMIF(adj!$C$200:$C$275,$A342,adj!H$200:H$275)</f>
        <v>0</v>
      </c>
      <c r="J342" s="62"/>
      <c r="L342" s="62"/>
      <c r="N342">
        <f>SUMIF(adj!$C$3:$C$275,$A342,adj!E$3:E$275)</f>
        <v>0</v>
      </c>
    </row>
    <row r="343" spans="1:14" ht="11.25">
      <c r="A343" s="519">
        <v>312</v>
      </c>
      <c r="B343" t="s">
        <v>2159</v>
      </c>
      <c r="C343" t="s">
        <v>2030</v>
      </c>
      <c r="D343" s="12">
        <v>0.4</v>
      </c>
      <c r="E343" s="12">
        <f>$D343*(1+L343+N343*($C343="R"))+J343+N343*($C343="A")</f>
        <v>0.4</v>
      </c>
      <c r="F343" t="s">
        <v>3927</v>
      </c>
      <c r="G343">
        <f>COUNTIF(adj!$C$200:$C$275,$A343)</f>
        <v>0</v>
      </c>
      <c r="H343" s="10">
        <f>SUMIF(adj!$C$200:$C$275,$A343,adj!H$200:H$275)</f>
        <v>0</v>
      </c>
      <c r="J343" s="62"/>
      <c r="L343" s="62"/>
      <c r="N343">
        <f>SUMIF(adj!$C$3:$C$275,$A343,adj!E$3:E$275)</f>
        <v>0</v>
      </c>
    </row>
    <row r="344" spans="1:14" ht="11.25">
      <c r="A344" s="519">
        <v>313</v>
      </c>
      <c r="B344" t="s">
        <v>2289</v>
      </c>
      <c r="C344" t="s">
        <v>2030</v>
      </c>
      <c r="D344" s="10">
        <v>10</v>
      </c>
      <c r="E344" s="10">
        <f>$D344*(1+L344+N344*($C344="R"))+J344+N344*($C344="A")</f>
        <v>10</v>
      </c>
      <c r="F344" t="s">
        <v>2290</v>
      </c>
      <c r="G344">
        <f>COUNTIF(adj!$C$200:$C$275,$A344)</f>
        <v>0</v>
      </c>
      <c r="H344" s="10">
        <f>SUMIF(adj!$C$200:$C$275,$A344,adj!H$200:H$275)</f>
        <v>0</v>
      </c>
      <c r="J344" s="62"/>
      <c r="L344" s="62"/>
      <c r="N344">
        <f>SUMIF(adj!$C$3:$C$275,$A344,adj!E$3:E$275)</f>
        <v>0</v>
      </c>
    </row>
    <row r="345" spans="1:14" ht="11.25">
      <c r="A345" s="519">
        <v>314</v>
      </c>
      <c r="B345" t="s">
        <v>2292</v>
      </c>
      <c r="C345" t="s">
        <v>2030</v>
      </c>
      <c r="D345" s="10">
        <v>35</v>
      </c>
      <c r="E345" s="10">
        <f>$D345*(1+L345+N345*($C345="R"))+J345+N345*($C345="A")</f>
        <v>35</v>
      </c>
      <c r="F345" t="s">
        <v>2293</v>
      </c>
      <c r="G345">
        <f>COUNTIF(adj!$C$200:$C$275,$A345)</f>
        <v>0</v>
      </c>
      <c r="H345" s="10">
        <f>SUMIF(adj!$C$200:$C$275,$A345,adj!H$200:H$275)</f>
        <v>0</v>
      </c>
      <c r="J345" s="62"/>
      <c r="L345" s="62"/>
      <c r="N345">
        <f>SUMIF(adj!$C$3:$C$275,$A345,adj!E$3:E$275)</f>
        <v>0</v>
      </c>
    </row>
    <row r="346" spans="1:14" ht="11.25">
      <c r="A346" s="519">
        <v>315</v>
      </c>
      <c r="B346" t="s">
        <v>4392</v>
      </c>
      <c r="C346" t="s">
        <v>2030</v>
      </c>
      <c r="D346" s="10">
        <v>360</v>
      </c>
      <c r="E346" s="10">
        <f>$D346*(1+L346+N346*($C346="R"))+J346+N346*($C346="A")</f>
        <v>360</v>
      </c>
      <c r="F346" t="s">
        <v>4393</v>
      </c>
      <c r="G346">
        <f>COUNTIF(adj!$C$200:$C$275,$A346)</f>
        <v>0</v>
      </c>
      <c r="H346" s="10">
        <f>SUMIF(adj!$C$200:$C$275,$A346,adj!H$200:H$275)</f>
        <v>0</v>
      </c>
      <c r="J346" s="62"/>
      <c r="L346" s="62"/>
      <c r="N346">
        <f>SUMIF(adj!$C$3:$C$275,$A346,adj!E$3:E$275)</f>
        <v>0</v>
      </c>
    </row>
    <row r="347" spans="1:14" ht="11.25">
      <c r="A347" s="519">
        <v>316</v>
      </c>
      <c r="B347" t="s">
        <v>370</v>
      </c>
      <c r="C347" t="s">
        <v>2030</v>
      </c>
      <c r="D347" s="12">
        <v>0.1</v>
      </c>
      <c r="E347" s="15">
        <f>$D347*(1+L347+N347*($C347="R"))+J347+N347*($C347="A")</f>
        <v>0.1</v>
      </c>
      <c r="F347" t="s">
        <v>371</v>
      </c>
      <c r="G347">
        <f>COUNTIF(adj!$C$200:$C$275,$A347)</f>
        <v>0</v>
      </c>
      <c r="H347" s="10">
        <f>SUMIF(adj!$C$200:$C$275,$A347,adj!H$200:H$275)</f>
        <v>0</v>
      </c>
      <c r="J347" s="62"/>
      <c r="L347" s="62"/>
      <c r="N347">
        <f>SUMIF(adj!$C$3:$C$275,$A347,adj!E$3:E$275)</f>
        <v>0</v>
      </c>
    </row>
    <row r="348" spans="1:14" ht="11.25">
      <c r="A348" s="519">
        <v>317</v>
      </c>
      <c r="B348" t="s">
        <v>3280</v>
      </c>
      <c r="C348" t="s">
        <v>2030</v>
      </c>
      <c r="D348" s="12">
        <v>1</v>
      </c>
      <c r="E348">
        <f>$D348*(1+L348+N348*($C348="R"))+J348+N348*($C348="A")</f>
        <v>1</v>
      </c>
      <c r="F348" t="s">
        <v>3281</v>
      </c>
      <c r="G348">
        <f>COUNTIF(adj!$C$200:$C$275,$A348)</f>
        <v>0</v>
      </c>
      <c r="H348" s="10">
        <f>SUMIF(adj!$C$200:$C$275,$A348,adj!H$200:H$275)</f>
        <v>0</v>
      </c>
      <c r="J348" s="62"/>
      <c r="L348" s="62"/>
      <c r="N348">
        <f>SUMIF(adj!$C$3:$C$275,$A348,adj!E$3:E$275)</f>
        <v>0</v>
      </c>
    </row>
    <row r="349" spans="1:14" ht="11.25">
      <c r="A349" s="519">
        <v>318</v>
      </c>
      <c r="B349" t="s">
        <v>3691</v>
      </c>
      <c r="C349" t="s">
        <v>4253</v>
      </c>
      <c r="D349" s="361">
        <v>45</v>
      </c>
      <c r="E349" s="361">
        <f>$D349*(1+L349+N349*($C349="R"))+J349+N349*($C349="A")</f>
        <v>45</v>
      </c>
      <c r="F349" t="s">
        <v>3692</v>
      </c>
      <c r="G349">
        <f>COUNTIF(adj!$C$200:$C$275,$A349)</f>
        <v>0</v>
      </c>
      <c r="H349" s="10">
        <f>SUMIF(adj!$C$200:$C$275,$A349,adj!H$200:H$275)</f>
        <v>0</v>
      </c>
      <c r="J349" s="62"/>
      <c r="L349" s="62"/>
      <c r="N349">
        <f>SUMIF(adj!$C$3:$C$275,$A349,adj!E$3:E$275)</f>
        <v>0</v>
      </c>
    </row>
    <row r="350" spans="1:14" ht="11.25">
      <c r="A350" s="519">
        <v>319</v>
      </c>
      <c r="D350" s="361"/>
      <c r="E350" s="361"/>
      <c r="G350">
        <f>COUNTIF(adj!$C$200:$C$275,$A350)</f>
        <v>0</v>
      </c>
      <c r="H350" s="10">
        <f>SUMIF(adj!$C$200:$C$275,$A350,adj!H$200:H$275)</f>
        <v>0</v>
      </c>
      <c r="J350" s="62"/>
      <c r="L350" s="62"/>
      <c r="N350">
        <f>SUMIF(adj!$C$3:$C$275,$A350,adj!E$3:E$275)</f>
        <v>0</v>
      </c>
    </row>
    <row r="351" spans="1:14" ht="11.25">
      <c r="A351" s="519">
        <v>320</v>
      </c>
      <c r="D351" s="361"/>
      <c r="E351" s="361"/>
      <c r="G351">
        <f>COUNTIF(adj!$C$200:$C$275,$A351)</f>
        <v>0</v>
      </c>
      <c r="H351" s="10">
        <f>SUMIF(adj!$C$200:$C$275,$A351,adj!H$200:H$275)</f>
        <v>0</v>
      </c>
      <c r="J351" s="62"/>
      <c r="L351" s="62"/>
      <c r="N351">
        <f>SUMIF(adj!$C$3:$C$275,$A351,adj!E$3:E$275)</f>
        <v>0</v>
      </c>
    </row>
    <row r="352" spans="1:14" ht="11.25">
      <c r="A352" s="519">
        <v>321</v>
      </c>
      <c r="D352" s="361"/>
      <c r="E352" s="361"/>
      <c r="G352">
        <f>COUNTIF(adj!$C$200:$C$275,$A352)</f>
        <v>0</v>
      </c>
      <c r="H352" s="10">
        <f>SUMIF(adj!$C$200:$C$275,$A352,adj!H$200:H$275)</f>
        <v>0</v>
      </c>
      <c r="J352" s="62"/>
      <c r="L352" s="62"/>
      <c r="N352">
        <f>SUMIF(adj!$C$3:$C$275,$A352,adj!E$3:E$275)</f>
        <v>0</v>
      </c>
    </row>
    <row r="353" spans="1:14" ht="11.25">
      <c r="A353" s="519">
        <v>322</v>
      </c>
      <c r="D353" s="361"/>
      <c r="E353" s="361"/>
      <c r="G353">
        <f>COUNTIF(adj!$C$200:$C$275,$A353)</f>
        <v>0</v>
      </c>
      <c r="H353" s="10">
        <f>SUMIF(adj!$C$200:$C$275,$A353,adj!H$200:H$275)</f>
        <v>0</v>
      </c>
      <c r="J353" s="62"/>
      <c r="L353" s="62"/>
      <c r="N353">
        <f>SUMIF(adj!$C$3:$C$275,$A353,adj!E$3:E$275)</f>
        <v>0</v>
      </c>
    </row>
    <row r="354" spans="1:14" ht="11.25">
      <c r="A354" s="519">
        <v>323</v>
      </c>
      <c r="D354" s="361"/>
      <c r="E354" s="361"/>
      <c r="G354">
        <f>COUNTIF(adj!$C$200:$C$275,$A354)</f>
        <v>0</v>
      </c>
      <c r="H354" s="10">
        <f>SUMIF(adj!$C$200:$C$275,$A354,adj!H$200:H$275)</f>
        <v>0</v>
      </c>
      <c r="J354" s="62"/>
      <c r="L354" s="62"/>
      <c r="N354">
        <f>SUMIF(adj!$C$3:$C$275,$A354,adj!E$3:E$275)</f>
        <v>0</v>
      </c>
    </row>
    <row r="355" spans="1:14" ht="11.25">
      <c r="A355" s="519">
        <v>324</v>
      </c>
      <c r="D355" s="361"/>
      <c r="E355" s="361"/>
      <c r="G355">
        <f>COUNTIF(adj!$C$200:$C$275,$A355)</f>
        <v>0</v>
      </c>
      <c r="H355" s="10">
        <f>SUMIF(adj!$C$200:$C$275,$A355,adj!H$200:H$275)</f>
        <v>0</v>
      </c>
      <c r="J355" s="62"/>
      <c r="L355" s="62"/>
      <c r="N355">
        <f>SUMIF(adj!$C$3:$C$275,$A355,adj!E$3:E$275)</f>
        <v>0</v>
      </c>
    </row>
    <row r="356" spans="1:14" ht="11.25">
      <c r="A356" s="519">
        <v>325</v>
      </c>
      <c r="E356">
        <f>$D356*(1+L356+N356*($C356="R"))+J356+N356*($C356="A")</f>
        <v>0</v>
      </c>
      <c r="G356">
        <f>COUNTIF(adj!$C$200:$C$275,$A356)</f>
        <v>0</v>
      </c>
      <c r="H356" s="10">
        <f>SUMIF(adj!$C$200:$C$275,$A356,adj!H$200:H$275)</f>
        <v>0</v>
      </c>
      <c r="J356" s="62"/>
      <c r="L356" s="62"/>
      <c r="N356">
        <f>SUMIF(adj!$C$3:$C$275,$A356,adj!E$3:E$275)</f>
        <v>0</v>
      </c>
    </row>
    <row r="357" spans="1:14" ht="11.25">
      <c r="A357" s="519">
        <v>326</v>
      </c>
      <c r="B357" s="2" t="s">
        <v>365</v>
      </c>
      <c r="E357">
        <f>$D357*(1+L357+N357*($C357="R"))+J357+N357*($C357="A")</f>
        <v>0</v>
      </c>
      <c r="G357">
        <f>COUNTIF(adj!$C$200:$C$275,$A357)</f>
        <v>0</v>
      </c>
      <c r="H357" s="10">
        <f>SUMIF(adj!$C$200:$C$275,$A357,adj!H$200:H$275)</f>
        <v>0</v>
      </c>
      <c r="J357" s="62"/>
      <c r="L357" s="62"/>
      <c r="N357">
        <f>SUMIF(adj!$C$3:$C$275,$A357,adj!E$3:E$275)</f>
        <v>0</v>
      </c>
    </row>
    <row r="358" spans="1:14" ht="11.25">
      <c r="A358" s="519">
        <v>327</v>
      </c>
      <c r="B358" s="3" t="s">
        <v>4252</v>
      </c>
      <c r="C358" t="s">
        <v>4253</v>
      </c>
      <c r="E358">
        <f>$D358*(1+L358+N358*($C358="R"))+J358+N358*($C358="A")</f>
        <v>0</v>
      </c>
      <c r="F358" t="s">
        <v>2644</v>
      </c>
      <c r="G358">
        <f>COUNTIF(adj!$C$200:$C$275,$A358)</f>
        <v>0</v>
      </c>
      <c r="H358" s="10">
        <f>SUMIF(adj!$C$200:$C$275,$A358,adj!H$200:H$275)</f>
        <v>0</v>
      </c>
      <c r="J358" s="62"/>
      <c r="L358" s="62"/>
      <c r="N358">
        <f>SUMIF(adj!$C$3:$C$275,$A358,adj!E$3:E$275)</f>
        <v>0</v>
      </c>
    </row>
    <row r="359" spans="1:14" ht="11.25">
      <c r="A359" s="519">
        <v>328</v>
      </c>
      <c r="B359" s="3" t="s">
        <v>706</v>
      </c>
      <c r="C359" t="s">
        <v>4253</v>
      </c>
      <c r="D359" s="271">
        <v>1</v>
      </c>
      <c r="E359" s="271">
        <f>$D359*(1+L359+N359*($C359="R"))+J359+N359*($C359="A")</f>
        <v>1</v>
      </c>
      <c r="F359" t="s">
        <v>707</v>
      </c>
      <c r="G359">
        <f>COUNTIF(adj!$C$200:$C$275,$A359)</f>
        <v>19</v>
      </c>
      <c r="H359" s="10">
        <f>SUMIF(adj!$C$200:$C$275,$A359,adj!H$200:H$275)</f>
        <v>-0.04</v>
      </c>
      <c r="J359" s="62"/>
      <c r="L359" s="62"/>
      <c r="N359">
        <f>SUMIF(adj!$C$3:$C$275,$A359,adj!E$3:E$275)</f>
        <v>0</v>
      </c>
    </row>
    <row r="360" spans="1:14" ht="11.25">
      <c r="A360" s="519">
        <v>329</v>
      </c>
      <c r="B360" s="3" t="s">
        <v>676</v>
      </c>
      <c r="C360" t="s">
        <v>4253</v>
      </c>
      <c r="D360">
        <v>0</v>
      </c>
      <c r="E360">
        <f>$D360*(1+L360+N360*($C360="R"))+J360+N360*($C360="A")</f>
        <v>0</v>
      </c>
      <c r="F360" t="s">
        <v>677</v>
      </c>
      <c r="G360">
        <f>COUNTIF(adj!$C$200:$C$275,$A360)</f>
        <v>0</v>
      </c>
      <c r="H360" s="10">
        <f>SUMIF(adj!$C$200:$C$275,$A360,adj!H$200:H$275)</f>
        <v>0</v>
      </c>
      <c r="J360" s="62"/>
      <c r="L360" s="62"/>
      <c r="N360">
        <f>SUMIF(adj!$C$3:$C$275,$A360,adj!E$3:E$275)</f>
        <v>0</v>
      </c>
    </row>
    <row r="361" spans="1:14" ht="11.25">
      <c r="A361" s="519">
        <v>330</v>
      </c>
      <c r="B361" s="3" t="s">
        <v>4472</v>
      </c>
      <c r="C361" t="s">
        <v>4253</v>
      </c>
      <c r="D361">
        <v>0</v>
      </c>
      <c r="E361">
        <f>$D361*(1+L361+N361*($C361="R"))+J361+N361*($C361="A")</f>
        <v>0</v>
      </c>
      <c r="F361" t="s">
        <v>4474</v>
      </c>
      <c r="G361">
        <f>COUNTIF(adj!$C$200:$C$275,$A361)</f>
        <v>0</v>
      </c>
      <c r="H361" s="10">
        <f>SUMIF(adj!$C$200:$C$275,$A361,adj!H$200:H$275)</f>
        <v>0</v>
      </c>
      <c r="J361" s="62"/>
      <c r="L361" s="62"/>
      <c r="N361">
        <f>SUMIF(adj!$C$3:$C$275,$A361,adj!E$3:E$275)</f>
        <v>0</v>
      </c>
    </row>
    <row r="362" spans="1:14" ht="11.25">
      <c r="A362" s="519">
        <v>331</v>
      </c>
      <c r="B362" s="3" t="s">
        <v>4473</v>
      </c>
      <c r="C362" t="s">
        <v>4253</v>
      </c>
      <c r="D362">
        <v>0</v>
      </c>
      <c r="E362">
        <f>$D362*(1+L362+N362*($C362="R"))+J362+N362*($C362="A")</f>
        <v>0</v>
      </c>
      <c r="F362" t="s">
        <v>131</v>
      </c>
      <c r="G362">
        <f>COUNTIF(adj!$C$200:$C$275,$A362)</f>
        <v>1</v>
      </c>
      <c r="H362" s="10">
        <f>SUMIF(adj!$C$200:$C$275,$A362,adj!H$200:H$275)</f>
        <v>600000</v>
      </c>
      <c r="J362" s="62"/>
      <c r="L362" s="62"/>
      <c r="N362">
        <f>SUMIF(adj!$C$3:$C$275,$A362,adj!E$3:E$275)</f>
        <v>0</v>
      </c>
    </row>
    <row r="363" spans="1:14" ht="11.25">
      <c r="A363" s="519">
        <v>332</v>
      </c>
      <c r="B363" s="3" t="s">
        <v>3313</v>
      </c>
      <c r="C363" t="s">
        <v>4253</v>
      </c>
      <c r="D363">
        <v>0</v>
      </c>
      <c r="E363">
        <f>$D363*(1+L363+N363*($C363="R"))+J363+N363*($C363="A")</f>
        <v>0</v>
      </c>
      <c r="F363" t="s">
        <v>3314</v>
      </c>
      <c r="G363">
        <f>COUNTIF(adj!$C$200:$C$275,$A363)</f>
        <v>0</v>
      </c>
      <c r="H363" s="10">
        <f>SUMIF(adj!$C$200:$C$275,$A363,adj!H$200:H$275)</f>
        <v>0</v>
      </c>
      <c r="J363" s="62"/>
      <c r="L363" s="62"/>
      <c r="N363">
        <f>SUMIF(adj!$C$3:$C$275,$A363,adj!E$3:E$275)</f>
        <v>0</v>
      </c>
    </row>
    <row r="364" spans="1:14" ht="11.25">
      <c r="A364" s="519">
        <v>333</v>
      </c>
      <c r="B364" s="3" t="s">
        <v>812</v>
      </c>
      <c r="C364" t="s">
        <v>4253</v>
      </c>
      <c r="D364">
        <v>0</v>
      </c>
      <c r="E364">
        <f>$D364*(1+L364+N364*($C364="R"))+J364+N364*($C364="A")</f>
        <v>0</v>
      </c>
      <c r="F364" t="s">
        <v>2184</v>
      </c>
      <c r="G364">
        <f>COUNTIF(adj!$C$200:$C$275,$A364)</f>
        <v>0</v>
      </c>
      <c r="H364" s="10">
        <f>SUMIF(adj!$C$200:$C$275,$A364,adj!H$200:H$275)</f>
        <v>0</v>
      </c>
      <c r="J364" s="62"/>
      <c r="L364" s="62"/>
      <c r="N364">
        <f>SUMIF(adj!$C$3:$C$275,$A364,adj!E$3:E$275)</f>
        <v>0</v>
      </c>
    </row>
    <row r="365" spans="1:14" ht="11.25">
      <c r="A365" s="519">
        <v>334</v>
      </c>
      <c r="B365" s="3" t="s">
        <v>2183</v>
      </c>
      <c r="C365" t="s">
        <v>4253</v>
      </c>
      <c r="D365">
        <v>0</v>
      </c>
      <c r="E365">
        <f>$D365*(1+L365+N365*($C365="R"))+J365+N365*($C365="A")</f>
        <v>0</v>
      </c>
      <c r="F365" t="s">
        <v>2185</v>
      </c>
      <c r="G365">
        <f>COUNTIF(adj!$C$200:$C$275,$A365)</f>
        <v>0</v>
      </c>
      <c r="H365" s="10">
        <f>SUMIF(adj!$C$200:$C$275,$A365,adj!H$200:H$275)</f>
        <v>0</v>
      </c>
      <c r="J365" s="62"/>
      <c r="L365" s="62"/>
      <c r="N365">
        <f>SUMIF(adj!$C$3:$C$275,$A365,adj!E$3:E$275)</f>
        <v>0</v>
      </c>
    </row>
    <row r="366" spans="1:14" ht="11.25">
      <c r="A366" s="519">
        <v>335</v>
      </c>
      <c r="B366" s="816" t="s">
        <v>4841</v>
      </c>
      <c r="C366" t="s">
        <v>4253</v>
      </c>
      <c r="D366">
        <v>0</v>
      </c>
      <c r="E366">
        <f>$D366*(1+L366+N366*($C366="R"))+J366+N366*($C366="A")</f>
        <v>0</v>
      </c>
      <c r="F366" t="s">
        <v>1761</v>
      </c>
      <c r="G366">
        <f>COUNTIF(adj!$C$200:$C$275,$A366)</f>
        <v>0</v>
      </c>
      <c r="H366" s="10">
        <f>SUMIF(adj!$C$200:$C$275,$A366,adj!H$200:H$275)</f>
        <v>0</v>
      </c>
      <c r="J366" s="62"/>
      <c r="L366" s="62"/>
      <c r="N366">
        <f>SUMIF(adj!$C$3:$C$275,$A366,adj!E$3:E$275)</f>
        <v>0</v>
      </c>
    </row>
    <row r="367" spans="1:14" ht="11.25">
      <c r="A367" s="519">
        <v>336</v>
      </c>
      <c r="B367" s="3" t="s">
        <v>2708</v>
      </c>
      <c r="C367" t="s">
        <v>4253</v>
      </c>
      <c r="D367">
        <v>0</v>
      </c>
      <c r="E367">
        <f>$D367*(1+L367+N367*($C367="R"))+J367+N367*($C367="A")</f>
        <v>0</v>
      </c>
      <c r="F367" t="s">
        <v>1762</v>
      </c>
      <c r="G367">
        <f>COUNTIF(adj!$C$200:$C$275,$A367)</f>
        <v>0</v>
      </c>
      <c r="H367" s="10">
        <f>SUMIF(adj!$C$200:$C$275,$A367,adj!H$200:H$275)</f>
        <v>0</v>
      </c>
      <c r="J367" s="62"/>
      <c r="L367" s="62"/>
      <c r="N367">
        <f>SUMIF(adj!$C$3:$C$275,$A367,adj!E$3:E$275)</f>
        <v>0</v>
      </c>
    </row>
    <row r="368" spans="1:14" ht="11.25">
      <c r="A368" s="519">
        <v>337</v>
      </c>
      <c r="B368" s="3" t="s">
        <v>3337</v>
      </c>
      <c r="C368" t="s">
        <v>4253</v>
      </c>
      <c r="D368">
        <v>0</v>
      </c>
      <c r="E368">
        <f>$D368*(1+L368+N368*($C368="R"))+J368+N368*($C368="A")</f>
        <v>0</v>
      </c>
      <c r="F368" t="s">
        <v>1763</v>
      </c>
      <c r="G368">
        <f>COUNTIF(adj!$C$200:$C$275,$A368)</f>
        <v>0</v>
      </c>
      <c r="H368" s="10">
        <f>SUMIF(adj!$C$200:$C$275,$A368,adj!H$200:H$275)</f>
        <v>0</v>
      </c>
      <c r="J368" s="62"/>
      <c r="L368" s="62"/>
      <c r="N368">
        <f>SUMIF(adj!$C$3:$C$275,$A368,adj!E$3:E$275)</f>
        <v>0</v>
      </c>
    </row>
    <row r="369" spans="1:14" ht="11.25">
      <c r="A369" s="519">
        <v>338</v>
      </c>
      <c r="B369" s="3" t="s">
        <v>2727</v>
      </c>
      <c r="C369" t="s">
        <v>4253</v>
      </c>
      <c r="D369">
        <v>0</v>
      </c>
      <c r="E369">
        <f>$D369*(1+L369+N369*($C369="R"))+J369+N369*($C369="A")</f>
        <v>0</v>
      </c>
      <c r="F369" t="s">
        <v>1764</v>
      </c>
      <c r="G369">
        <f>COUNTIF(adj!$C$200:$C$275,$A369)</f>
        <v>0</v>
      </c>
      <c r="H369" s="10">
        <f>SUMIF(adj!$C$200:$C$275,$A369,adj!H$200:H$275)</f>
        <v>0</v>
      </c>
      <c r="J369" s="62"/>
      <c r="L369" s="62"/>
      <c r="N369">
        <f>SUMIF(adj!$C$3:$C$275,$A369,adj!E$3:E$275)</f>
        <v>0</v>
      </c>
    </row>
    <row r="370" spans="1:14" ht="11.25">
      <c r="A370" s="519">
        <v>339</v>
      </c>
      <c r="B370" t="str">
        <f>"Special Program Sales " &amp; DataNameProd1</f>
        <v>Special Program Sales Consulting</v>
      </c>
      <c r="C370" t="s">
        <v>4253</v>
      </c>
      <c r="D370">
        <v>0</v>
      </c>
      <c r="E370">
        <f>$D370*(1+L370+N370*($C370="R"))+J370+N370*($C370="A")</f>
        <v>0</v>
      </c>
      <c r="F370" t="s">
        <v>3840</v>
      </c>
      <c r="G370">
        <f>COUNTIF(adj!$C$200:$C$275,$A370)</f>
        <v>0</v>
      </c>
      <c r="H370" s="10">
        <f>SUMIF(adj!$C$200:$C$275,$A370,adj!H$200:H$275)</f>
        <v>0</v>
      </c>
      <c r="J370" s="62"/>
      <c r="L370" s="62"/>
      <c r="N370">
        <f>SUMIF(adj!$C$3:$C$275,$A370,adj!E$3:E$275)</f>
        <v>0</v>
      </c>
    </row>
    <row r="371" spans="1:14" ht="11.25">
      <c r="A371" s="519">
        <v>340</v>
      </c>
      <c r="B371" t="str">
        <f>"Special Program Sales " &amp; DataNameProd1Seg1</f>
        <v>Special Program Sales CRM</v>
      </c>
      <c r="C371" t="s">
        <v>4253</v>
      </c>
      <c r="D371">
        <v>0</v>
      </c>
      <c r="E371">
        <f>$D371*(1+L371+N371*($C371="R"))+J371+N371*($C371="A")</f>
        <v>0</v>
      </c>
      <c r="F371" s="700" t="s">
        <v>4842</v>
      </c>
      <c r="G371">
        <f>COUNTIF(adj!$C$200:$C$275,$A371)</f>
        <v>0</v>
      </c>
      <c r="H371" s="10">
        <f>SUMIF(adj!$C$200:$C$275,$A371,adj!H$200:H$275)</f>
        <v>0</v>
      </c>
      <c r="J371" s="62"/>
      <c r="L371" s="62"/>
      <c r="N371">
        <f>SUMIF(adj!$C$3:$C$275,$A371,adj!E$3:E$275)</f>
        <v>0</v>
      </c>
    </row>
    <row r="372" spans="1:14" ht="11.25">
      <c r="A372" s="519">
        <v>341</v>
      </c>
      <c r="B372" t="str">
        <f>"Special Program Sales " &amp; DataNameProd1Seg2</f>
        <v>Special Program Sales HCM</v>
      </c>
      <c r="C372" t="s">
        <v>4253</v>
      </c>
      <c r="D372">
        <v>0</v>
      </c>
      <c r="E372">
        <f>$D372*(1+L372+N372*($C372="R"))+J372+N372*($C372="A")</f>
        <v>0</v>
      </c>
      <c r="F372" s="700" t="s">
        <v>4843</v>
      </c>
      <c r="G372">
        <f>COUNTIF(adj!$C$200:$C$275,$A372)</f>
        <v>0</v>
      </c>
      <c r="H372" s="10">
        <f>SUMIF(adj!$C$200:$C$275,$A372,adj!H$200:H$275)</f>
        <v>0</v>
      </c>
      <c r="J372" s="62"/>
      <c r="L372" s="62"/>
      <c r="N372">
        <f>SUMIF(adj!$C$3:$C$275,$A372,adj!E$3:E$275)</f>
        <v>0</v>
      </c>
    </row>
    <row r="373" spans="1:14" ht="11.25">
      <c r="A373" s="519">
        <v>342</v>
      </c>
      <c r="B373" t="str">
        <f>"Special Program Sales " &amp; DataNameProd1Seg3</f>
        <v>Special Program Sales Futuria</v>
      </c>
      <c r="C373" t="s">
        <v>4253</v>
      </c>
      <c r="D373">
        <v>0</v>
      </c>
      <c r="E373">
        <f>$D373*(1+L373+N373*($C373="R"))+J373+N373*($C373="A")</f>
        <v>0</v>
      </c>
      <c r="F373" s="700" t="s">
        <v>4844</v>
      </c>
      <c r="G373">
        <f>COUNTIF(adj!$C$200:$C$275,$A373)</f>
        <v>0</v>
      </c>
      <c r="H373" s="10">
        <f>SUMIF(adj!$C$200:$C$275,$A373,adj!H$200:H$275)</f>
        <v>0</v>
      </c>
      <c r="J373" s="62"/>
      <c r="L373" s="62"/>
      <c r="N373">
        <f>SUMIF(adj!$C$3:$C$275,$A373,adj!E$3:E$275)</f>
        <v>0</v>
      </c>
    </row>
    <row r="374" spans="1:14" ht="11.25">
      <c r="A374" s="519">
        <v>343</v>
      </c>
      <c r="B374" t="str">
        <f>"Special Program Recruiting " &amp; DataNameProd5</f>
        <v>Special Program Recruiting Employees</v>
      </c>
      <c r="C374" t="s">
        <v>4253</v>
      </c>
      <c r="D374">
        <v>0</v>
      </c>
      <c r="E374">
        <f>$D374*(1+L374+N374*($C374="R"))+J374+N374*($C374="A")</f>
        <v>0</v>
      </c>
      <c r="F374" t="s">
        <v>3218</v>
      </c>
      <c r="G374">
        <f>COUNTIF(adj!$C$200:$C$275,$A374)</f>
        <v>0</v>
      </c>
      <c r="H374" s="10">
        <f>SUMIF(adj!$C$200:$C$275,$A374,adj!H$200:H$275)</f>
        <v>0</v>
      </c>
      <c r="J374" s="62"/>
      <c r="L374" s="62"/>
      <c r="N374">
        <f>SUMIF(adj!$C$3:$C$275,$A374,adj!E$3:E$275)</f>
        <v>0</v>
      </c>
    </row>
    <row r="375" spans="1:14" ht="11.25">
      <c r="A375" s="519">
        <v>344</v>
      </c>
      <c r="B375" t="str">
        <f>"Special Program Sales " &amp; DataNameProd6</f>
        <v>Special Program Sales Prod6</v>
      </c>
      <c r="C375" t="s">
        <v>4253</v>
      </c>
      <c r="D375">
        <v>0</v>
      </c>
      <c r="E375">
        <f>$D375*(1+L375+N375*($C375="R"))+J375+N375*($C375="A")</f>
        <v>0</v>
      </c>
      <c r="F375" t="s">
        <v>3075</v>
      </c>
      <c r="G375">
        <f>COUNTIF(adj!$C$200:$C$275,$A375)</f>
        <v>0</v>
      </c>
      <c r="H375" s="10">
        <f>SUMIF(adj!$C$200:$C$275,$A375,adj!H$200:H$275)</f>
        <v>0</v>
      </c>
      <c r="J375" s="62"/>
      <c r="L375" s="62"/>
      <c r="N375">
        <f>SUMIF(adj!$C$3:$C$275,$A375,adj!E$3:E$275)</f>
        <v>0</v>
      </c>
    </row>
    <row r="376" spans="1:14" ht="11.25">
      <c r="A376" s="519">
        <v>345</v>
      </c>
      <c r="B376" t="str">
        <f>"Special Program % Cost reduc. " &amp; DataNameProd2&amp;" (+ Only; Once/init!)"</f>
        <v>Special Program % Cost reduc. Industry 1 (+ Only; Once/init!)</v>
      </c>
      <c r="C376" t="s">
        <v>4253</v>
      </c>
      <c r="D376">
        <v>0</v>
      </c>
      <c r="E376">
        <f>$D376*(1+L376+N376*($C376="R"))+J376+N376*($C376="A")</f>
        <v>0</v>
      </c>
      <c r="F376" t="s">
        <v>2673</v>
      </c>
      <c r="G376">
        <f>COUNTIF(adj!$C$200:$C$275,$A376)</f>
        <v>0</v>
      </c>
      <c r="H376" s="10">
        <f>SUMIF(adj!$C$200:$C$275,$A376,adj!H$200:H$275)</f>
        <v>0</v>
      </c>
      <c r="J376" s="62"/>
      <c r="L376" s="62"/>
      <c r="N376">
        <f>SUMIF(adj!$C$3:$C$275,$A376,adj!E$3:E$275)</f>
        <v>0</v>
      </c>
    </row>
    <row r="377" spans="1:14" ht="11.25">
      <c r="A377" s="519">
        <v>346</v>
      </c>
      <c r="B377" t="str">
        <f>"Special Program % Cost reduc. " &amp; DataNameProd3&amp;" (+ Only; Once/init!)"</f>
        <v>Special Program % Cost reduc. Industry 2 (+ Only; Once/init!)</v>
      </c>
      <c r="C377" t="s">
        <v>4253</v>
      </c>
      <c r="D377">
        <v>0</v>
      </c>
      <c r="E377">
        <f>$D377*(1+L377+N377*($C377="R"))+J377+N377*($C377="A")</f>
        <v>0</v>
      </c>
      <c r="F377" t="s">
        <v>2223</v>
      </c>
      <c r="G377">
        <f>COUNTIF(adj!$C$200:$C$275,$A377)</f>
        <v>0</v>
      </c>
      <c r="H377" s="10">
        <f>SUMIF(adj!$C$200:$C$275,$A377,adj!H$200:H$275)</f>
        <v>0</v>
      </c>
      <c r="J377" s="62"/>
      <c r="L377" s="62"/>
      <c r="N377">
        <f>SUMIF(adj!$C$3:$C$275,$A377,adj!E$3:E$275)</f>
        <v>0</v>
      </c>
    </row>
    <row r="378" spans="1:14" ht="11.25">
      <c r="A378" s="519">
        <v>347</v>
      </c>
      <c r="B378" t="str">
        <f>"Special Program % Cost reduc. " &amp; DataNameProd4&amp;" (+ Only; Once/init!)"</f>
        <v>Special Program % Cost reduc. Industry 3 (+ Only; Once/init!)</v>
      </c>
      <c r="C378" t="s">
        <v>4253</v>
      </c>
      <c r="D378">
        <v>0</v>
      </c>
      <c r="E378">
        <f>$D378*(1+L378+N378*($C378="R"))+J378+N378*($C378="A")</f>
        <v>0</v>
      </c>
      <c r="F378" t="s">
        <v>2224</v>
      </c>
      <c r="G378">
        <f>COUNTIF(adj!$C$200:$C$275,$A378)</f>
        <v>0</v>
      </c>
      <c r="H378" s="10">
        <f>SUMIF(adj!$C$200:$C$275,$A378,adj!H$200:H$275)</f>
        <v>0</v>
      </c>
      <c r="J378" s="62"/>
      <c r="L378" s="62"/>
      <c r="N378">
        <f>SUMIF(adj!$C$3:$C$275,$A378,adj!E$3:E$275)</f>
        <v>0</v>
      </c>
    </row>
    <row r="379" spans="1:14" ht="11.25">
      <c r="A379" s="519">
        <v>348</v>
      </c>
      <c r="B379" t="s">
        <v>1556</v>
      </c>
      <c r="C379" t="s">
        <v>4253</v>
      </c>
      <c r="D379">
        <v>0</v>
      </c>
      <c r="E379">
        <f>$D379*(1+L379+N379*($C379="R"))+J379+N379*($C379="A")</f>
        <v>0</v>
      </c>
      <c r="F379" t="s">
        <v>2225</v>
      </c>
      <c r="G379">
        <f>COUNTIF(adj!$C$200:$C$275,$A379)</f>
        <v>0</v>
      </c>
      <c r="H379" s="10">
        <f>SUMIF(adj!$C$200:$C$275,$A379,adj!H$200:H$275)</f>
        <v>0</v>
      </c>
      <c r="J379" s="62"/>
      <c r="L379" s="62"/>
      <c r="N379">
        <f>SUMIF(adj!$C$3:$C$275,$A379,adj!E$3:E$275)</f>
        <v>0</v>
      </c>
    </row>
    <row r="380" spans="1:14" ht="11.25">
      <c r="A380" s="519">
        <v>349</v>
      </c>
      <c r="B380" s="3" t="s">
        <v>4168</v>
      </c>
      <c r="C380" t="s">
        <v>4253</v>
      </c>
      <c r="D380">
        <v>0</v>
      </c>
      <c r="E380">
        <f>$D380*(1+L380+N380*($C380="R"))+J380+N380*($C380="A")</f>
        <v>0</v>
      </c>
      <c r="F380" t="s">
        <v>2226</v>
      </c>
      <c r="G380">
        <f>COUNTIF(adj!$C$200:$C$275,$A380)</f>
        <v>0</v>
      </c>
      <c r="H380" s="10">
        <f>SUMIF(adj!$C$200:$C$275,$A380,adj!H$200:H$275)</f>
        <v>0</v>
      </c>
      <c r="J380" s="62"/>
      <c r="L380" s="62"/>
      <c r="N380">
        <f>SUMIF(adj!$C$3:$C$275,$A380,adj!E$3:E$275)</f>
        <v>0</v>
      </c>
    </row>
    <row r="381" spans="1:14" ht="11.25">
      <c r="A381" s="519">
        <v>350</v>
      </c>
      <c r="B381" t="s">
        <v>4169</v>
      </c>
      <c r="C381" t="s">
        <v>4253</v>
      </c>
      <c r="D381">
        <v>0</v>
      </c>
      <c r="E381">
        <f>$D381*(1+L381+N381*($C381="R"))+J381+N381*($C381="A")</f>
        <v>0</v>
      </c>
      <c r="F381" t="s">
        <v>2227</v>
      </c>
      <c r="G381">
        <f>COUNTIF(adj!$C$200:$C$275,$A381)</f>
        <v>0</v>
      </c>
      <c r="H381" s="10">
        <f>SUMIF(adj!$C$200:$C$275,$A381,adj!H$200:H$275)</f>
        <v>0</v>
      </c>
      <c r="J381" s="62"/>
      <c r="L381" s="62"/>
      <c r="N381">
        <f>SUMIF(adj!$C$3:$C$275,$A381,adj!E$3:E$275)</f>
        <v>0</v>
      </c>
    </row>
    <row r="382" spans="1:14" ht="11.25">
      <c r="A382" s="519">
        <v>351</v>
      </c>
      <c r="B382" t="s">
        <v>2247</v>
      </c>
      <c r="C382" t="s">
        <v>4253</v>
      </c>
      <c r="D382">
        <v>0</v>
      </c>
      <c r="E382">
        <f>$D382*(1+L382+N382*($C382="R"))+J382+N382*($C382="A")</f>
        <v>0</v>
      </c>
      <c r="F382" t="s">
        <v>2251</v>
      </c>
      <c r="G382">
        <f>COUNTIF(adj!$C$200:$C$275,$A382)</f>
        <v>0</v>
      </c>
      <c r="H382" s="10">
        <f>SUMIF(adj!$C$200:$C$275,$A382,adj!H$200:H$275)</f>
        <v>0</v>
      </c>
      <c r="J382" s="62"/>
      <c r="L382" s="62"/>
      <c r="N382">
        <f>SUMIF(adj!$C$3:$C$275,$A382,adj!E$3:E$275)</f>
        <v>0</v>
      </c>
    </row>
    <row r="383" spans="1:14" ht="11.25">
      <c r="A383" s="519">
        <v>352</v>
      </c>
      <c r="B383" t="s">
        <v>2248</v>
      </c>
      <c r="C383" t="s">
        <v>4253</v>
      </c>
      <c r="D383">
        <v>0</v>
      </c>
      <c r="E383">
        <f>$D383*(1+L383+N383*($C383="R"))+J383+N383*($C383="A")</f>
        <v>0</v>
      </c>
      <c r="F383" t="s">
        <v>2252</v>
      </c>
      <c r="G383">
        <f>COUNTIF(adj!$C$200:$C$275,$A383)</f>
        <v>0</v>
      </c>
      <c r="H383" s="10">
        <f>SUMIF(adj!$C$200:$C$275,$A383,adj!H$200:H$275)</f>
        <v>0</v>
      </c>
      <c r="J383" s="62"/>
      <c r="L383" s="62"/>
      <c r="N383">
        <f>SUMIF(adj!$C$3:$C$275,$A383,adj!E$3:E$275)</f>
        <v>0</v>
      </c>
    </row>
    <row r="384" spans="1:14" ht="11.25">
      <c r="A384" s="519">
        <v>353</v>
      </c>
      <c r="B384" t="s">
        <v>2249</v>
      </c>
      <c r="C384" t="s">
        <v>4253</v>
      </c>
      <c r="D384">
        <v>0</v>
      </c>
      <c r="E384">
        <f>$D384*(1+L384+N384*($C384="R"))+J384+N384*($C384="A")</f>
        <v>0</v>
      </c>
      <c r="F384" t="s">
        <v>2253</v>
      </c>
      <c r="G384">
        <f>COUNTIF(adj!$C$200:$C$275,$A384)</f>
        <v>0</v>
      </c>
      <c r="H384" s="10">
        <f>SUMIF(adj!$C$200:$C$275,$A384,adj!H$200:H$275)</f>
        <v>0</v>
      </c>
      <c r="J384" s="62"/>
      <c r="L384" s="62"/>
      <c r="N384">
        <f>SUMIF(adj!$C$3:$C$275,$A384,adj!E$3:E$275)</f>
        <v>0</v>
      </c>
    </row>
    <row r="385" spans="1:14" ht="11.25">
      <c r="A385" s="519">
        <v>354</v>
      </c>
      <c r="B385" t="s">
        <v>2250</v>
      </c>
      <c r="C385" t="s">
        <v>4253</v>
      </c>
      <c r="D385">
        <v>0</v>
      </c>
      <c r="E385">
        <f>$D385*(1+L385+N385*($C385="R"))+J385+N385*($C385="A")</f>
        <v>0</v>
      </c>
      <c r="F385" t="s">
        <v>4452</v>
      </c>
      <c r="G385">
        <f>COUNTIF(adj!$C$200:$C$275,$A385)</f>
        <v>0</v>
      </c>
      <c r="H385" s="10">
        <f>SUMIF(adj!$C$200:$C$275,$A385,adj!H$200:H$275)</f>
        <v>0</v>
      </c>
      <c r="J385" s="62"/>
      <c r="L385" s="62"/>
      <c r="N385">
        <f>SUMIF(adj!$C$3:$C$275,$A385,adj!E$3:E$275)</f>
        <v>0</v>
      </c>
    </row>
    <row r="386" spans="1:14" ht="11.25">
      <c r="A386" s="519">
        <v>355</v>
      </c>
      <c r="B386" t="s">
        <v>1554</v>
      </c>
      <c r="C386" t="s">
        <v>4253</v>
      </c>
      <c r="D386">
        <v>0</v>
      </c>
      <c r="E386">
        <f>$D386*(1+L386+N386*($C386="R"))+J386+N386*($C386="A")</f>
        <v>0</v>
      </c>
      <c r="F386" t="s">
        <v>133</v>
      </c>
      <c r="G386">
        <f>COUNTIF(adj!$C$200:$C$275,$A386)</f>
        <v>0</v>
      </c>
      <c r="H386" s="10">
        <f>SUMIF(adj!$C$200:$C$275,$A386,adj!H$200:H$275)</f>
        <v>0</v>
      </c>
      <c r="J386" s="62"/>
      <c r="L386" s="62"/>
      <c r="N386">
        <f>SUMIF(adj!$C$3:$C$275,$A386,adj!E$3:E$275)</f>
        <v>0</v>
      </c>
    </row>
    <row r="387" spans="1:14" ht="11.25">
      <c r="A387" s="519">
        <v>356</v>
      </c>
      <c r="B387" t="s">
        <v>1555</v>
      </c>
      <c r="C387" t="s">
        <v>4253</v>
      </c>
      <c r="D387">
        <v>0</v>
      </c>
      <c r="E387">
        <f>$D387*(1+L387+N387*($C387="R"))+J387+N387*($C387="A")</f>
        <v>0</v>
      </c>
      <c r="F387" t="s">
        <v>134</v>
      </c>
      <c r="G387">
        <f>COUNTIF(adj!$C$200:$C$275,$A387)</f>
        <v>0</v>
      </c>
      <c r="H387" s="10">
        <f>SUMIF(adj!$C$200:$C$275,$A387,adj!H$200:H$275)</f>
        <v>0</v>
      </c>
      <c r="J387" s="62"/>
      <c r="L387" s="62"/>
      <c r="N387">
        <f>SUMIF(adj!$C$3:$C$275,$A387,adj!E$3:E$275)</f>
        <v>0</v>
      </c>
    </row>
    <row r="388" spans="1:14" ht="11.25">
      <c r="A388" s="519">
        <v>357</v>
      </c>
      <c r="B388" t="s">
        <v>2729</v>
      </c>
      <c r="C388" t="s">
        <v>4253</v>
      </c>
      <c r="D388">
        <v>0</v>
      </c>
      <c r="E388">
        <f>$D388*(1+L388+N388*($C388="R"))+J388+N388*($C388="A")</f>
        <v>0</v>
      </c>
      <c r="F388" t="s">
        <v>135</v>
      </c>
      <c r="G388">
        <f>COUNTIF(adj!$C$200:$C$275,$A388)</f>
        <v>0</v>
      </c>
      <c r="H388" s="10">
        <f>SUMIF(adj!$C$200:$C$275,$A388,adj!H$200:H$275)</f>
        <v>0</v>
      </c>
      <c r="J388" s="62"/>
      <c r="L388" s="62"/>
      <c r="N388">
        <f>SUMIF(adj!$C$3:$C$275,$A388,adj!E$3:E$275)</f>
        <v>0</v>
      </c>
    </row>
    <row r="389" spans="1:14" ht="11.25">
      <c r="A389" s="519">
        <v>358</v>
      </c>
      <c r="B389" t="s">
        <v>132</v>
      </c>
      <c r="C389" t="s">
        <v>4253</v>
      </c>
      <c r="D389">
        <v>0</v>
      </c>
      <c r="E389">
        <f>$D389*(1+L389+N389*($C389="R"))+J389+N389*($C389="A")</f>
        <v>0</v>
      </c>
      <c r="F389" t="s">
        <v>136</v>
      </c>
      <c r="G389">
        <f>COUNTIF(adj!$C$200:$C$275,$A389)</f>
        <v>0</v>
      </c>
      <c r="H389" s="10">
        <f>SUMIF(adj!$C$200:$C$275,$A389,adj!H$200:H$275)</f>
        <v>0</v>
      </c>
      <c r="J389" s="62"/>
      <c r="L389" s="62"/>
      <c r="N389">
        <f>SUMIF(adj!$C$3:$C$275,$A389,adj!E$3:E$275)</f>
        <v>0</v>
      </c>
    </row>
    <row r="390" spans="1:14" ht="11.25">
      <c r="A390" s="519">
        <v>359</v>
      </c>
      <c r="B390" t="s">
        <v>137</v>
      </c>
      <c r="C390" t="s">
        <v>4253</v>
      </c>
      <c r="D390">
        <v>0</v>
      </c>
      <c r="E390">
        <f>$D390*(1+L390+N390*($C390="R"))+J390+N390*($C390="A")</f>
        <v>0</v>
      </c>
      <c r="F390" t="s">
        <v>138</v>
      </c>
      <c r="G390">
        <f>COUNTIF(adj!$C$200:$C$275,$A390)</f>
        <v>0</v>
      </c>
      <c r="H390" s="10">
        <f>SUMIF(adj!$C$200:$C$275,$A390,adj!H$200:H$275)</f>
        <v>0</v>
      </c>
      <c r="J390" s="62"/>
      <c r="L390" s="62"/>
      <c r="N390">
        <f>SUMIF(adj!$C$3:$C$275,$A390,adj!E$3:E$275)</f>
        <v>0</v>
      </c>
    </row>
    <row r="391" spans="1:14" ht="11.25">
      <c r="A391" s="519">
        <v>360</v>
      </c>
      <c r="B391" t="s">
        <v>183</v>
      </c>
      <c r="C391" t="s">
        <v>4253</v>
      </c>
      <c r="D391">
        <v>5</v>
      </c>
      <c r="E391">
        <f>$D391*(1+L391+N391*($C391="R"))+J391+N391*($C391="A")</f>
        <v>5</v>
      </c>
      <c r="F391" t="s">
        <v>184</v>
      </c>
      <c r="G391">
        <f>COUNTIF(adj!$C$200:$C$275,$A391)</f>
        <v>0</v>
      </c>
      <c r="H391" s="10">
        <f>SUMIF(adj!$C$200:$C$275,$A391,adj!H$200:H$275)</f>
        <v>0</v>
      </c>
      <c r="J391" s="62"/>
      <c r="L391" s="62"/>
      <c r="N391">
        <f>SUMIF(adj!$C$3:$C$275,$A391,adj!E$3:E$275)</f>
        <v>0</v>
      </c>
    </row>
    <row r="392" spans="1:14" ht="11.25">
      <c r="A392" s="519">
        <v>361</v>
      </c>
      <c r="B392" t="s">
        <v>3763</v>
      </c>
      <c r="C392" t="s">
        <v>4253</v>
      </c>
      <c r="D392" s="529">
        <v>1</v>
      </c>
      <c r="E392" s="529">
        <f>$D392*(1+L392+N392*($C392="R"))+J392+N392*($C392="A")</f>
        <v>1</v>
      </c>
      <c r="F392" t="s">
        <v>3762</v>
      </c>
      <c r="G392">
        <f>COUNTIF(adj!$C$200:$C$275,$A392)</f>
        <v>0</v>
      </c>
      <c r="H392" s="10">
        <f>SUMIF(adj!$C$200:$C$275,$A392,adj!H$200:H$275)</f>
        <v>0</v>
      </c>
      <c r="J392" s="62"/>
      <c r="L392" s="62"/>
      <c r="N392">
        <f>SUMIF(adj!$C$3:$C$275,$A392,adj!E$3:E$275)</f>
        <v>0</v>
      </c>
    </row>
    <row r="393" spans="1:14" ht="11.25">
      <c r="A393" s="519">
        <v>362</v>
      </c>
      <c r="B393" t="s">
        <v>3764</v>
      </c>
      <c r="C393" t="s">
        <v>4253</v>
      </c>
      <c r="D393" s="529">
        <v>1</v>
      </c>
      <c r="E393" s="529">
        <f>$D393*(1+L393+N393*($C393="R"))+J393+N393*($C393="A")</f>
        <v>1</v>
      </c>
      <c r="F393" t="s">
        <v>3778</v>
      </c>
      <c r="G393">
        <f>COUNTIF(adj!$C$200:$C$275,$A393)</f>
        <v>0</v>
      </c>
      <c r="H393" s="10">
        <f>SUMIF(adj!$C$200:$C$275,$A393,adj!H$200:H$275)</f>
        <v>0</v>
      </c>
      <c r="J393" s="62"/>
      <c r="L393" s="62"/>
      <c r="N393">
        <f>SUMIF(adj!$C$3:$C$275,$A393,adj!E$3:E$275)</f>
        <v>0</v>
      </c>
    </row>
    <row r="394" spans="1:14" ht="11.25">
      <c r="A394" s="519">
        <v>363</v>
      </c>
      <c r="B394" t="s">
        <v>3776</v>
      </c>
      <c r="C394" t="s">
        <v>4253</v>
      </c>
      <c r="D394" s="529">
        <v>1</v>
      </c>
      <c r="E394" s="529">
        <f>$D394*(1+L394+N394*($C394="R"))+J394+N394*($C394="A")</f>
        <v>1</v>
      </c>
      <c r="F394" t="s">
        <v>2965</v>
      </c>
      <c r="G394">
        <f>COUNTIF(adj!$C$200:$C$275,$A394)</f>
        <v>0</v>
      </c>
      <c r="H394" s="10">
        <f>SUMIF(adj!$C$200:$C$275,$A394,adj!H$200:H$275)</f>
        <v>0</v>
      </c>
      <c r="J394" s="62"/>
      <c r="L394" s="62"/>
      <c r="N394">
        <f>SUMIF(adj!$C$3:$C$275,$A394,adj!E$3:E$275)</f>
        <v>0</v>
      </c>
    </row>
    <row r="395" spans="1:14" ht="11.25">
      <c r="A395" s="519">
        <v>364</v>
      </c>
      <c r="B395" t="s">
        <v>3777</v>
      </c>
      <c r="C395" t="s">
        <v>4253</v>
      </c>
      <c r="D395" s="529">
        <v>1</v>
      </c>
      <c r="E395" s="529">
        <f>$D395*(1+L395+N395*($C395="R"))+J395+N395*($C395="A")</f>
        <v>1</v>
      </c>
      <c r="F395" t="s">
        <v>2966</v>
      </c>
      <c r="G395">
        <f>COUNTIF(adj!$C$200:$C$275,$A395)</f>
        <v>0</v>
      </c>
      <c r="H395" s="10">
        <f>SUMIF(adj!$C$200:$C$275,$A395,adj!H$200:H$275)</f>
        <v>0</v>
      </c>
      <c r="J395" s="62"/>
      <c r="L395" s="62"/>
      <c r="N395">
        <f>SUMIF(adj!$C$3:$C$275,$A395,adj!E$3:E$275)</f>
        <v>0</v>
      </c>
    </row>
    <row r="396" spans="1:14" ht="11.25">
      <c r="A396" s="519">
        <v>365</v>
      </c>
      <c r="B396" t="s">
        <v>2962</v>
      </c>
      <c r="C396" t="s">
        <v>4253</v>
      </c>
      <c r="D396" s="529">
        <v>1</v>
      </c>
      <c r="E396" s="529">
        <f>$D396*(1+L396+N396*($C396="R"))+J396+N396*($C396="A")</f>
        <v>1</v>
      </c>
      <c r="F396" t="s">
        <v>1577</v>
      </c>
      <c r="G396">
        <f>COUNTIF(adj!$C$200:$C$275,$A396)</f>
        <v>0</v>
      </c>
      <c r="H396" s="10">
        <f>SUMIF(adj!$C$200:$C$275,$A396,adj!H$200:H$275)</f>
        <v>0</v>
      </c>
      <c r="J396" s="62"/>
      <c r="L396" s="62"/>
      <c r="N396">
        <f>SUMIF(adj!$C$3:$C$275,$A396,adj!E$3:E$275)</f>
        <v>0</v>
      </c>
    </row>
    <row r="397" spans="1:14" ht="11.25">
      <c r="A397" s="519">
        <v>366</v>
      </c>
      <c r="B397" t="s">
        <v>2963</v>
      </c>
      <c r="C397" t="s">
        <v>4253</v>
      </c>
      <c r="D397" s="529">
        <v>1</v>
      </c>
      <c r="E397" s="529">
        <f>$D397*(1+L397+N397*($C397="R"))+J397+N397*($C397="A")</f>
        <v>1</v>
      </c>
      <c r="F397" t="s">
        <v>3588</v>
      </c>
      <c r="G397">
        <f>COUNTIF(adj!$C$200:$C$275,$A397)</f>
        <v>0</v>
      </c>
      <c r="H397" s="10">
        <f>SUMIF(adj!$C$200:$C$275,$A397,adj!H$200:H$275)</f>
        <v>0</v>
      </c>
      <c r="J397" s="62"/>
      <c r="L397" s="62"/>
      <c r="N397">
        <f>SUMIF(adj!$C$3:$C$275,$A397,adj!E$3:E$275)</f>
        <v>0</v>
      </c>
    </row>
    <row r="398" spans="1:14" ht="11.25">
      <c r="A398" s="519">
        <v>367</v>
      </c>
      <c r="B398" t="s">
        <v>2362</v>
      </c>
      <c r="C398" t="s">
        <v>4253</v>
      </c>
      <c r="D398" s="529">
        <v>1</v>
      </c>
      <c r="E398" s="529">
        <f>$D398*(1+L398+N398*($C398="R"))+J398+N398*($C398="A")</f>
        <v>1</v>
      </c>
      <c r="F398" t="s">
        <v>2961</v>
      </c>
      <c r="G398">
        <f>COUNTIF(adj!$C$200:$C$275,$A398)</f>
        <v>0</v>
      </c>
      <c r="H398" s="10">
        <f>SUMIF(adj!$C$200:$C$275,$A398,adj!H$200:H$275)</f>
        <v>0</v>
      </c>
      <c r="J398" s="62"/>
      <c r="L398" s="62"/>
      <c r="N398">
        <f>SUMIF(adj!$C$3:$C$275,$A398,adj!E$3:E$275)</f>
        <v>0</v>
      </c>
    </row>
    <row r="399" spans="1:14" ht="11.25">
      <c r="A399" s="519">
        <v>368</v>
      </c>
      <c r="B399" t="s">
        <v>4140</v>
      </c>
      <c r="C399" t="s">
        <v>4253</v>
      </c>
      <c r="D399" s="529">
        <v>0</v>
      </c>
      <c r="E399" s="16">
        <f>$D399*(1+L399+N399*($C399="R"))+J399+N399*($C399="A")</f>
        <v>1400000</v>
      </c>
      <c r="F399" t="s">
        <v>4143</v>
      </c>
      <c r="G399">
        <f>COUNTIF(adj!$C$200:$C$275,$A399)</f>
        <v>1</v>
      </c>
      <c r="H399" s="10">
        <f>SUMIF(adj!$C$200:$C$275,$A399,adj!H$200:H$275)</f>
        <v>1000000</v>
      </c>
      <c r="J399" s="62"/>
      <c r="L399" s="62"/>
      <c r="N399">
        <f>SUMIF(adj!$C$3:$C$275,$A399,adj!E$3:E$275)</f>
        <v>1400000</v>
      </c>
    </row>
    <row r="400" spans="1:14" ht="11.25">
      <c r="A400" s="519">
        <v>369</v>
      </c>
      <c r="B400" t="s">
        <v>4141</v>
      </c>
      <c r="C400" t="s">
        <v>4253</v>
      </c>
      <c r="D400" s="529">
        <v>0</v>
      </c>
      <c r="E400" s="529">
        <f>$D400*(1+L400+N400*($C400="R"))+J400+N400*($C400="A")</f>
        <v>0</v>
      </c>
      <c r="F400" t="s">
        <v>4144</v>
      </c>
      <c r="G400">
        <f>COUNTIF(adj!$C$200:$C$275,$A400)</f>
        <v>1</v>
      </c>
      <c r="H400" s="10">
        <f>SUMIF(adj!$C$200:$C$275,$A400,adj!H$200:H$275)</f>
        <v>1000000</v>
      </c>
      <c r="J400" s="62"/>
      <c r="L400" s="62"/>
      <c r="N400">
        <f>SUMIF(adj!$C$3:$C$275,$A400,adj!E$3:E$275)</f>
        <v>0</v>
      </c>
    </row>
    <row r="401" spans="1:14" ht="11.25">
      <c r="A401" s="519">
        <v>370</v>
      </c>
      <c r="B401" t="s">
        <v>4142</v>
      </c>
      <c r="C401" t="s">
        <v>4253</v>
      </c>
      <c r="D401" s="529">
        <v>0</v>
      </c>
      <c r="E401" s="529">
        <f>$D401*(1+L401+N401*($C401="R"))+J401+N401*($C401="A")</f>
        <v>0</v>
      </c>
      <c r="F401" t="s">
        <v>4145</v>
      </c>
      <c r="G401">
        <f>COUNTIF(adj!$C$200:$C$275,$A401)</f>
        <v>3</v>
      </c>
      <c r="H401" s="10">
        <f>SUMIF(adj!$C$200:$C$275,$A401,adj!H$200:H$275)</f>
        <v>7500000</v>
      </c>
      <c r="J401" s="62"/>
      <c r="L401" s="62"/>
      <c r="N401">
        <f>SUMIF(adj!$C$3:$C$275,$A401,adj!E$3:E$275)</f>
        <v>0</v>
      </c>
    </row>
    <row r="402" spans="1:14" ht="11.25">
      <c r="A402" s="519">
        <v>371</v>
      </c>
      <c r="B402" t="s">
        <v>4248</v>
      </c>
      <c r="C402" t="s">
        <v>4253</v>
      </c>
      <c r="D402">
        <v>0</v>
      </c>
      <c r="E402">
        <f>$D402*(1+L402+N402*($C402="R"))+J402+N402*($C402="A")</f>
        <v>0</v>
      </c>
      <c r="F402" t="s">
        <v>4245</v>
      </c>
      <c r="G402">
        <f>COUNTIF(adj!$C$200:$C$275,$A402)</f>
        <v>0</v>
      </c>
      <c r="H402" s="10">
        <f>SUMIF(adj!$C$200:$C$275,$A402,adj!H$200:H$275)</f>
        <v>0</v>
      </c>
      <c r="J402" s="62"/>
      <c r="L402" s="62"/>
      <c r="N402">
        <f>SUMIF(adj!$C$3:$C$275,$A402,adj!E$3:E$275)</f>
        <v>0</v>
      </c>
    </row>
    <row r="403" spans="1:14" ht="11.25">
      <c r="A403" s="519">
        <v>372</v>
      </c>
      <c r="B403" t="s">
        <v>4249</v>
      </c>
      <c r="C403" t="s">
        <v>4253</v>
      </c>
      <c r="D403">
        <v>0</v>
      </c>
      <c r="E403">
        <f>$D403*(1+L403+N403*($C403="R"))+J403+N403*($C403="A")</f>
        <v>0</v>
      </c>
      <c r="F403" t="s">
        <v>4246</v>
      </c>
      <c r="G403">
        <f>COUNTIF(adj!$C$200:$C$275,$A403)</f>
        <v>0</v>
      </c>
      <c r="H403" s="10">
        <f>SUMIF(adj!$C$200:$C$275,$A403,adj!H$200:H$275)</f>
        <v>0</v>
      </c>
      <c r="J403" s="62"/>
      <c r="L403" s="62"/>
      <c r="N403">
        <f>SUMIF(adj!$C$3:$C$275,$A403,adj!E$3:E$275)</f>
        <v>0</v>
      </c>
    </row>
    <row r="404" spans="1:14" ht="11.25">
      <c r="A404" s="519">
        <v>373</v>
      </c>
      <c r="B404" t="s">
        <v>4250</v>
      </c>
      <c r="C404" t="s">
        <v>4253</v>
      </c>
      <c r="D404">
        <v>0</v>
      </c>
      <c r="E404">
        <f>$D404*(1+L404+N404*($C404="R"))+J404+N404*($C404="A")</f>
        <v>0</v>
      </c>
      <c r="F404" t="s">
        <v>4247</v>
      </c>
      <c r="G404">
        <f>COUNTIF(adj!$C$200:$C$275,$A404)</f>
        <v>0</v>
      </c>
      <c r="H404" s="10">
        <f>SUMIF(adj!$C$200:$C$275,$A404,adj!H$200:H$275)</f>
        <v>0</v>
      </c>
      <c r="J404" s="62"/>
      <c r="L404" s="62"/>
      <c r="N404">
        <f>SUMIF(adj!$C$3:$C$275,$A404,adj!E$3:E$275)</f>
        <v>0</v>
      </c>
    </row>
    <row r="405" spans="1:14" ht="11.25">
      <c r="A405" s="519">
        <v>374</v>
      </c>
      <c r="B405" t="s">
        <v>4532</v>
      </c>
      <c r="C405" t="s">
        <v>4253</v>
      </c>
      <c r="D405">
        <v>0</v>
      </c>
      <c r="E405">
        <f>$D405*(1+L405+N405*($C405="R"))+J405+N405*($C405="A")</f>
        <v>0</v>
      </c>
      <c r="F405" t="s">
        <v>4533</v>
      </c>
      <c r="G405">
        <f>COUNTIF(adj!$C$200:$C$275,$A405)</f>
        <v>0</v>
      </c>
      <c r="H405" s="10">
        <f>SUMIF(adj!$C$200:$C$275,$A405,adj!H$200:H$275)</f>
        <v>0</v>
      </c>
      <c r="J405" s="62"/>
      <c r="L405" s="62"/>
      <c r="N405">
        <f>SUMIF(adj!$C$3:$C$275,$A405,adj!E$3:E$275)</f>
        <v>0</v>
      </c>
    </row>
    <row r="406" spans="1:14" ht="11.25">
      <c r="A406" s="519">
        <v>375</v>
      </c>
      <c r="B406" t="s">
        <v>3686</v>
      </c>
      <c r="C406" t="s">
        <v>4253</v>
      </c>
      <c r="D406" s="320">
        <v>0</v>
      </c>
      <c r="E406">
        <f>$D406*(1+L406+N406*($C406="R"))+J406+N406*($C406="A")</f>
        <v>0</v>
      </c>
      <c r="F406" t="s">
        <v>4534</v>
      </c>
      <c r="G406">
        <f>COUNTIF(adj!$C$200:$C$275,$A406)</f>
        <v>0</v>
      </c>
      <c r="H406" s="10">
        <f>SUMIF(adj!$C$200:$C$275,$A406,adj!H$200:H$275)</f>
        <v>0</v>
      </c>
      <c r="J406" s="62"/>
      <c r="L406" s="62"/>
      <c r="N406">
        <f>SUMIF(adj!$C$3:$C$275,$A406,adj!E$3:E$275)</f>
        <v>0</v>
      </c>
    </row>
    <row r="407" spans="1:14" ht="11.25">
      <c r="A407" s="519">
        <v>376</v>
      </c>
      <c r="B407" t="s">
        <v>3687</v>
      </c>
      <c r="C407" t="s">
        <v>4253</v>
      </c>
      <c r="D407" s="320">
        <v>0</v>
      </c>
      <c r="E407">
        <f>$D407*(1+L407+N407*($C407="R"))+J407+N407*($C407="A")</f>
        <v>0</v>
      </c>
      <c r="F407" t="s">
        <v>4535</v>
      </c>
      <c r="G407">
        <f>COUNTIF(adj!$C$200:$C$275,$A407)</f>
        <v>0</v>
      </c>
      <c r="H407" s="10">
        <f>SUMIF(adj!$C$200:$C$275,$A407,adj!H$200:H$275)</f>
        <v>0</v>
      </c>
      <c r="J407" s="62"/>
      <c r="L407" s="62"/>
      <c r="N407">
        <f>SUMIF(adj!$C$3:$C$275,$A407,adj!E$3:E$275)</f>
        <v>0</v>
      </c>
    </row>
    <row r="408" spans="1:14" ht="11.25">
      <c r="A408" s="519">
        <v>377</v>
      </c>
      <c r="B408" t="s">
        <v>1776</v>
      </c>
      <c r="C408" t="s">
        <v>4253</v>
      </c>
      <c r="D408" s="320">
        <v>0</v>
      </c>
      <c r="E408" s="420">
        <f>$D408*(1+L408+N408*($C408="R"))+J408+N408*($C408="A")</f>
        <v>0</v>
      </c>
      <c r="F408" t="s">
        <v>4536</v>
      </c>
      <c r="G408">
        <f>COUNTIF(adj!$C$200:$C$275,$A408)</f>
        <v>0</v>
      </c>
      <c r="H408" s="10">
        <f>SUMIF(adj!$C$200:$C$275,$A408,adj!H$200:H$275)</f>
        <v>0</v>
      </c>
      <c r="J408" s="62"/>
      <c r="L408" s="62"/>
      <c r="N408">
        <f>SUMIF(adj!$C$3:$C$275,$A408,adj!E$3:E$275)</f>
        <v>0</v>
      </c>
    </row>
    <row r="409" spans="1:14" ht="11.25">
      <c r="A409" s="519">
        <v>378</v>
      </c>
      <c r="B409" s="773" t="s">
        <v>4617</v>
      </c>
      <c r="C409" s="773" t="s">
        <v>4253</v>
      </c>
      <c r="D409" s="844">
        <v>1</v>
      </c>
      <c r="E409" s="845">
        <f>$D409*(1+L409+N409*($C409="R"))+J409+N409*($C409="A")</f>
        <v>1</v>
      </c>
      <c r="F409" s="773" t="s">
        <v>4616</v>
      </c>
      <c r="G409">
        <f>COUNTIF(adj!$C$200:$C$275,$A409)</f>
        <v>2</v>
      </c>
      <c r="H409" s="10">
        <f>SUMIF(adj!$C$200:$C$275,$A409,adj!H$200:H$275)</f>
        <v>-0.05</v>
      </c>
      <c r="J409" s="62"/>
      <c r="L409" s="62"/>
      <c r="N409">
        <f>SUMIF(adj!$C$3:$C$275,$A409,adj!E$3:E$275)</f>
        <v>0</v>
      </c>
    </row>
    <row r="410" spans="1:14" ht="11.25">
      <c r="A410" s="519">
        <v>379</v>
      </c>
      <c r="B410" t="s">
        <v>364</v>
      </c>
      <c r="C410" t="s">
        <v>4253</v>
      </c>
      <c r="D410" s="12">
        <v>1</v>
      </c>
      <c r="E410" s="12">
        <f>$D410*(1+L410+N410*($C410="R"))+J410+N410*($C410="A")</f>
        <v>1</v>
      </c>
      <c r="F410" t="s">
        <v>4757</v>
      </c>
      <c r="G410">
        <f>COUNTIF(adj!$C$200:$C$275,$A410)</f>
        <v>2</v>
      </c>
      <c r="H410" s="10">
        <f>SUMIF(adj!$C$200:$C$275,$A410,adj!H$200:H$275)</f>
        <v>-9.9999999999999985E-3</v>
      </c>
      <c r="J410" s="62"/>
      <c r="L410" s="62"/>
      <c r="N410">
        <f>SUMIF(adj!$C$3:$C$275,$A410,adj!E$3:E$275)</f>
        <v>0</v>
      </c>
    </row>
    <row r="411" spans="1:14" ht="11.25">
      <c r="A411" s="519">
        <v>380</v>
      </c>
      <c r="B411" s="700" t="s">
        <v>4861</v>
      </c>
      <c r="C411" s="700" t="s">
        <v>4253</v>
      </c>
      <c r="D411" s="12">
        <v>1</v>
      </c>
      <c r="E411">
        <f>$D411*(1+L411+N411*($C411="R"))+J411+N411*($C411="A")</f>
        <v>1</v>
      </c>
      <c r="F411" s="700" t="s">
        <v>4863</v>
      </c>
      <c r="G411">
        <f>COUNTIF(adj!$C$200:$C$275,$A411)</f>
        <v>0</v>
      </c>
      <c r="H411" s="10">
        <f>SUMIF(adj!$C$200:$C$275,$A411,adj!H$200:H$275)</f>
        <v>0</v>
      </c>
      <c r="J411" s="62"/>
      <c r="L411" s="62"/>
      <c r="N411">
        <f>SUMIF(adj!$C$3:$C$275,$A411,adj!E$3:E$275)</f>
        <v>0</v>
      </c>
    </row>
    <row r="412" spans="1:14" ht="11.25">
      <c r="A412" s="519">
        <v>381</v>
      </c>
      <c r="B412" s="700" t="s">
        <v>4862</v>
      </c>
      <c r="C412" s="700" t="s">
        <v>4253</v>
      </c>
      <c r="D412" s="12">
        <v>1</v>
      </c>
      <c r="E412">
        <f>$D412*(1+L412+N412*($C412="R"))+J412+N412*($C412="A")</f>
        <v>1</v>
      </c>
      <c r="F412" s="700" t="s">
        <v>4864</v>
      </c>
      <c r="G412">
        <f>COUNTIF(adj!$C$200:$C$275,$A412)</f>
        <v>0</v>
      </c>
      <c r="H412" s="10">
        <f>SUMIF(adj!$C$200:$C$275,$A412,adj!H$200:H$275)</f>
        <v>0</v>
      </c>
      <c r="J412" s="62"/>
      <c r="L412" s="62"/>
      <c r="N412">
        <f>SUMIF(adj!$C$3:$C$275,$A412,adj!E$3:E$275)</f>
        <v>0</v>
      </c>
    </row>
    <row r="413" spans="1:14" ht="11.25">
      <c r="A413" s="519">
        <v>382</v>
      </c>
      <c r="B413" s="700" t="s">
        <v>5164</v>
      </c>
      <c r="C413" s="700" t="s">
        <v>4253</v>
      </c>
      <c r="D413" s="12">
        <v>1</v>
      </c>
      <c r="E413">
        <f>$D413*(1+L413+N413*($C413="R"))+J413+N413*($C413="A")</f>
        <v>1</v>
      </c>
      <c r="F413" s="700" t="s">
        <v>4865</v>
      </c>
      <c r="G413">
        <f>COUNTIF(adj!$C$200:$C$275,$A413)</f>
        <v>1</v>
      </c>
      <c r="H413" s="10">
        <f>SUMIF(adj!$C$200:$C$275,$A413,adj!H$200:H$275)</f>
        <v>0.02</v>
      </c>
      <c r="J413" s="62"/>
      <c r="L413" s="62"/>
      <c r="N413">
        <f>SUMIF(adj!$C$3:$C$275,$A413,adj!E$3:E$275)</f>
        <v>0</v>
      </c>
    </row>
    <row r="414" spans="1:14" ht="11.25">
      <c r="A414" s="519">
        <v>383</v>
      </c>
      <c r="B414" s="700" t="s">
        <v>5144</v>
      </c>
      <c r="C414" s="700" t="s">
        <v>4253</v>
      </c>
      <c r="D414" s="12">
        <v>0</v>
      </c>
      <c r="E414">
        <f>$D414*(1+L414+N414*($C414="R"))+J414+N414*($C414="A")</f>
        <v>0</v>
      </c>
      <c r="F414" s="700" t="s">
        <v>5145</v>
      </c>
      <c r="G414">
        <f>COUNTIF(adj!$C$200:$C$275,$A414)</f>
        <v>0</v>
      </c>
      <c r="H414" s="10">
        <f>SUMIF(adj!$C$200:$C$275,$A414,adj!H$200:H$275)</f>
        <v>0</v>
      </c>
      <c r="J414" s="62"/>
      <c r="L414" s="62"/>
      <c r="N414">
        <f>SUMIF(adj!$C$3:$C$275,$A414,adj!E$3:E$275)</f>
        <v>0</v>
      </c>
    </row>
    <row r="415" spans="1:14" ht="11.25">
      <c r="G415">
        <f>COUNTIF(adj!$C$200:$C$275,$A415)</f>
        <v>0</v>
      </c>
      <c r="H415" s="10">
        <f>SUMIF(adj!$C$200:$C$275,$A415,adj!H$200:H$275)</f>
        <v>0</v>
      </c>
      <c r="J415" s="62"/>
      <c r="L415" s="62"/>
      <c r="N415">
        <f>SUMIF(adj!$C$3:$C$275,$A415,adj!E$3:E$275)</f>
        <v>0</v>
      </c>
    </row>
    <row r="416" spans="1:14" ht="11.25">
      <c r="G416">
        <f>COUNTIF(adj!$C$200:$C$275,$A416)</f>
        <v>0</v>
      </c>
      <c r="H416" s="10">
        <f>SUMIF(adj!$C$200:$C$275,$A416,adj!H$200:H$275)</f>
        <v>0</v>
      </c>
      <c r="J416" s="62"/>
      <c r="L416" s="62"/>
      <c r="N416">
        <f>SUMIF(adj!$C$3:$C$275,$A416,adj!E$3:E$275)</f>
        <v>0</v>
      </c>
    </row>
    <row r="417" spans="1:14" ht="11.25">
      <c r="G417">
        <f>COUNTIF(adj!$C$200:$C$275,$A417)</f>
        <v>0</v>
      </c>
      <c r="H417" s="10">
        <f>SUMIF(adj!$C$200:$C$275,$A417,adj!H$200:H$275)</f>
        <v>0</v>
      </c>
      <c r="J417" s="62"/>
      <c r="L417" s="62"/>
      <c r="N417">
        <f>SUMIF(adj!$C$3:$C$275,$A417,adj!E$3:E$275)</f>
        <v>0</v>
      </c>
    </row>
    <row r="418" spans="1:14" ht="11.25">
      <c r="G418">
        <f>COUNTIF(adj!$C$200:$C$275,$A418)</f>
        <v>0</v>
      </c>
      <c r="H418" s="10">
        <f>SUMIF(adj!$C$200:$C$275,$A418,adj!H$200:H$275)</f>
        <v>0</v>
      </c>
      <c r="J418" s="62"/>
      <c r="L418" s="62"/>
      <c r="N418">
        <f>SUMIF(adj!$C$3:$C$275,$A418,adj!E$3:E$275)</f>
        <v>0</v>
      </c>
    </row>
    <row r="419" spans="1:14" ht="11.25">
      <c r="G419">
        <f>COUNTIF(adj!$C$200:$C$275,$A419)</f>
        <v>0</v>
      </c>
      <c r="H419" s="10">
        <f>SUMIF(adj!$C$200:$C$275,$A419,adj!H$200:H$275)</f>
        <v>0</v>
      </c>
      <c r="J419" s="62"/>
      <c r="L419" s="62"/>
      <c r="N419">
        <f>SUMIF(adj!$C$3:$C$275,$A419,adj!E$3:E$275)</f>
        <v>0</v>
      </c>
    </row>
    <row r="420" spans="1:14" ht="11.25">
      <c r="G420">
        <f>COUNTIF(adj!$C$200:$C$275,$A420)</f>
        <v>0</v>
      </c>
      <c r="H420" s="10">
        <f>SUMIF(adj!$C$200:$C$275,$A420,adj!H$200:H$275)</f>
        <v>0</v>
      </c>
      <c r="J420" s="62"/>
      <c r="L420" s="62"/>
      <c r="N420">
        <f>SUMIF(adj!$C$3:$C$275,$A420,adj!E$3:E$275)</f>
        <v>0</v>
      </c>
    </row>
    <row r="421" spans="1:14" ht="11.25">
      <c r="G421">
        <f>COUNTIF(adj!$C$200:$C$275,$A421)</f>
        <v>0</v>
      </c>
      <c r="H421" s="10">
        <f>SUMIF(adj!$C$200:$C$275,$A421,adj!H$200:H$275)</f>
        <v>0</v>
      </c>
      <c r="J421" s="62"/>
      <c r="L421" s="62"/>
      <c r="N421">
        <f>SUMIF(adj!$C$3:$C$275,$A421,adj!E$3:E$275)</f>
        <v>0</v>
      </c>
    </row>
    <row r="422" spans="1:14" ht="11.25">
      <c r="G422">
        <f>COUNTIF(adj!$C$200:$C$275,$A422)</f>
        <v>0</v>
      </c>
      <c r="H422" s="10">
        <f>SUMIF(adj!$C$200:$C$275,$A422,adj!H$200:H$275)</f>
        <v>0</v>
      </c>
      <c r="J422" s="62"/>
      <c r="L422" s="62"/>
      <c r="N422">
        <f>SUMIF(adj!$C$3:$C$275,$A422,adj!E$3:E$275)</f>
        <v>0</v>
      </c>
    </row>
    <row r="423" spans="1:14" ht="11.25">
      <c r="A423" s="521"/>
      <c r="B423" s="77"/>
      <c r="C423" s="77"/>
      <c r="D423" s="77"/>
      <c r="E423" s="77"/>
      <c r="F423" s="77"/>
      <c r="G423" s="77"/>
      <c r="H423" s="77"/>
      <c r="I423" s="77"/>
      <c r="J423" s="77"/>
      <c r="K423" s="77"/>
      <c r="L423" s="77"/>
      <c r="M423" s="77"/>
      <c r="N423" s="77"/>
    </row>
  </sheetData>
  <phoneticPr fontId="0" type="noConversion"/>
  <pageMargins left="0.5" right="0.5" top="0.5" bottom="0.5" header="0.5" footer="0.5"/>
  <pageSetup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dj">
    <tabColor rgb="FF00B0F0"/>
  </sheetPr>
  <dimension ref="A1:M275"/>
  <sheetViews>
    <sheetView topLeftCell="A250" workbookViewId="0">
      <selection activeCell="D273" activeCellId="1" sqref="D265 D273"/>
    </sheetView>
  </sheetViews>
  <sheetFormatPr defaultColWidth="18.83203125" defaultRowHeight="12.75" customHeight="1"/>
  <cols>
    <col min="1" max="1" width="7.6640625" customWidth="1"/>
    <col min="2" max="2" width="6.33203125" customWidth="1"/>
    <col min="3" max="3" width="7.5" customWidth="1"/>
    <col min="4" max="4" width="52.6640625" bestFit="1" customWidth="1"/>
    <col min="5" max="5" width="12.1640625" bestFit="1" customWidth="1"/>
    <col min="6" max="7" width="9.33203125" customWidth="1"/>
    <col min="8" max="8" width="15.1640625" bestFit="1" customWidth="1"/>
    <col min="9" max="10" width="12.5" bestFit="1" customWidth="1"/>
    <col min="11" max="12" width="12.5" customWidth="1"/>
    <col min="13" max="13" width="12.5" bestFit="1" customWidth="1"/>
  </cols>
  <sheetData>
    <row r="1" spans="1:8" s="92" customFormat="1" ht="15.75">
      <c r="A1" s="91" t="s">
        <v>192</v>
      </c>
      <c r="B1" s="91"/>
      <c r="C1" s="91"/>
      <c r="D1" s="91"/>
      <c r="E1" s="91" t="s">
        <v>470</v>
      </c>
    </row>
    <row r="2" spans="1:8" ht="11.25">
      <c r="B2" s="2" t="s">
        <v>192</v>
      </c>
    </row>
    <row r="3" spans="1:8" ht="11.25">
      <c r="B3" t="s">
        <v>4501</v>
      </c>
      <c r="E3" s="103"/>
    </row>
    <row r="4" spans="1:8" ht="11.25">
      <c r="E4" s="103"/>
    </row>
    <row r="5" spans="1:8" ht="11.25">
      <c r="A5" s="2" t="s">
        <v>192</v>
      </c>
      <c r="E5" s="103"/>
    </row>
    <row r="6" spans="1:8" ht="11.25">
      <c r="B6" s="2" t="s">
        <v>1276</v>
      </c>
      <c r="E6" s="103"/>
      <c r="G6" t="s">
        <v>45</v>
      </c>
      <c r="H6" t="s">
        <v>3761</v>
      </c>
    </row>
    <row r="7" spans="1:8" ht="11.25">
      <c r="C7">
        <v>140</v>
      </c>
      <c r="D7" t="s">
        <v>5266</v>
      </c>
      <c r="E7" s="522">
        <f>(capEmp6PctOverUtilized*100)*(-0.0007)</f>
        <v>0</v>
      </c>
      <c r="G7" s="16">
        <v>1000000</v>
      </c>
      <c r="H7" s="12">
        <v>-0.1</v>
      </c>
    </row>
    <row r="8" spans="1:8" ht="11.25">
      <c r="C8">
        <v>161</v>
      </c>
      <c r="D8" t="s">
        <v>5267</v>
      </c>
      <c r="E8" s="522">
        <f>(capEmp6PctOverUtilized*100)*(-0.002)</f>
        <v>0</v>
      </c>
      <c r="G8" s="16"/>
      <c r="H8" s="12"/>
    </row>
    <row r="9" spans="1:8" ht="11.25">
      <c r="C9">
        <v>183</v>
      </c>
      <c r="D9" t="s">
        <v>5268</v>
      </c>
      <c r="E9" s="522">
        <f t="shared" ref="E9:E10" si="0">(capEmp6PctOverUtilized*100)*(-0.004)</f>
        <v>0</v>
      </c>
      <c r="G9" s="16"/>
      <c r="H9" s="12"/>
    </row>
    <row r="10" spans="1:8" ht="11.25">
      <c r="C10">
        <v>205</v>
      </c>
      <c r="D10" t="s">
        <v>5269</v>
      </c>
      <c r="E10" s="522">
        <f t="shared" si="0"/>
        <v>0</v>
      </c>
      <c r="G10" s="16"/>
      <c r="H10" s="12"/>
    </row>
    <row r="11" spans="1:8" ht="11.25">
      <c r="E11" s="103"/>
      <c r="G11" s="16"/>
      <c r="H11" s="12"/>
    </row>
    <row r="12" spans="1:8" ht="11.25">
      <c r="B12" s="2" t="s">
        <v>4618</v>
      </c>
      <c r="E12" s="103"/>
      <c r="G12" s="16"/>
      <c r="H12" s="12"/>
    </row>
    <row r="13" spans="1:8" ht="11.25">
      <c r="B13" s="816" t="s">
        <v>4600</v>
      </c>
      <c r="C13" s="773">
        <v>378</v>
      </c>
      <c r="D13" s="773" t="s">
        <v>4617</v>
      </c>
      <c r="E13" s="775">
        <f>capBusARelationReduceLocal</f>
        <v>0</v>
      </c>
      <c r="G13" s="16"/>
      <c r="H13" s="12"/>
    </row>
    <row r="14" spans="1:8" ht="11.25">
      <c r="E14" s="433"/>
      <c r="G14" s="16"/>
      <c r="H14" s="12"/>
    </row>
    <row r="15" spans="1:8" ht="11.25">
      <c r="B15" s="2" t="s">
        <v>3369</v>
      </c>
      <c r="E15" s="103"/>
      <c r="G15" s="16"/>
      <c r="H15" s="12"/>
    </row>
    <row r="16" spans="1:8" ht="11.25">
      <c r="B16" t="s">
        <v>3293</v>
      </c>
      <c r="C16">
        <v>12</v>
      </c>
      <c r="D16" t="s">
        <v>3371</v>
      </c>
      <c r="E16" s="433">
        <f>capBusAQualityCostAdj</f>
        <v>0</v>
      </c>
      <c r="G16" s="16"/>
      <c r="H16" s="12"/>
    </row>
    <row r="17" spans="2:9" ht="11.25">
      <c r="B17" t="s">
        <v>635</v>
      </c>
      <c r="C17">
        <v>88</v>
      </c>
      <c r="D17" t="s">
        <v>1984</v>
      </c>
      <c r="E17" s="433">
        <f>capBusBQualityCostAdj</f>
        <v>0.39962389935069309</v>
      </c>
      <c r="G17" s="16"/>
      <c r="H17" s="12"/>
    </row>
    <row r="18" spans="2:9" ht="11.25">
      <c r="B18" s="816" t="s">
        <v>4600</v>
      </c>
      <c r="C18" s="773">
        <v>13</v>
      </c>
      <c r="D18" s="773" t="s">
        <v>4601</v>
      </c>
      <c r="E18" s="775">
        <f>capBusALocalPerCostReduce*(IF(xxYear=0, 0, CHOOSE(xxYear, 2, 1, 0.5)))^1.1</f>
        <v>0</v>
      </c>
      <c r="G18" s="16"/>
      <c r="H18" s="12"/>
    </row>
    <row r="19" spans="2:9" ht="11.25">
      <c r="E19" s="433"/>
      <c r="G19" s="16"/>
      <c r="H19" s="12"/>
    </row>
    <row r="20" spans="2:9" ht="11.25">
      <c r="B20" s="2" t="s">
        <v>4555</v>
      </c>
      <c r="E20" s="103"/>
      <c r="G20" s="16"/>
      <c r="H20" s="12"/>
    </row>
    <row r="21" spans="2:9" ht="11.25">
      <c r="C21">
        <v>140</v>
      </c>
      <c r="D21" t="s">
        <v>5266</v>
      </c>
      <c r="E21" s="433">
        <f>DataPageEmp1TrainEffectOnProductivity</f>
        <v>1.77E-2</v>
      </c>
      <c r="G21" s="16"/>
      <c r="H21" s="12"/>
    </row>
    <row r="22" spans="2:9" ht="11.25">
      <c r="C22">
        <v>161</v>
      </c>
      <c r="D22" t="s">
        <v>5267</v>
      </c>
      <c r="E22" s="433">
        <f>DataPageEmp2TrainEffectOnProductivity</f>
        <v>1.77E-2</v>
      </c>
      <c r="G22" s="16"/>
      <c r="H22" s="12"/>
      <c r="I22" s="523"/>
    </row>
    <row r="23" spans="2:9" ht="11.25">
      <c r="C23">
        <v>183</v>
      </c>
      <c r="D23" t="s">
        <v>5268</v>
      </c>
      <c r="E23" s="433">
        <f>DataPageEmp3TrainEffectOnProductivity</f>
        <v>1.77E-2</v>
      </c>
      <c r="G23" s="16"/>
      <c r="H23" s="12"/>
    </row>
    <row r="24" spans="2:9" ht="11.25">
      <c r="C24">
        <v>205</v>
      </c>
      <c r="D24" t="s">
        <v>5269</v>
      </c>
      <c r="E24" s="433">
        <f>DataPageEmp4TrainEffectOnProductivity</f>
        <v>1.5900000000000001E-2</v>
      </c>
      <c r="G24" s="16"/>
      <c r="H24" s="12"/>
    </row>
    <row r="25" spans="2:9" ht="11.25">
      <c r="C25">
        <v>243</v>
      </c>
      <c r="D25" t="s">
        <v>5270</v>
      </c>
      <c r="E25" s="433">
        <f>DataPageEmp6TrainEffectOnProductivity</f>
        <v>1.77E-2</v>
      </c>
      <c r="G25" s="16"/>
      <c r="H25" s="12"/>
    </row>
    <row r="26" spans="2:9" ht="11.25">
      <c r="B26" s="2" t="s">
        <v>3975</v>
      </c>
      <c r="E26" s="103"/>
      <c r="G26" s="16"/>
      <c r="H26" s="12"/>
    </row>
    <row r="27" spans="2:9" ht="11.25">
      <c r="C27">
        <v>140</v>
      </c>
      <c r="D27" t="s">
        <v>5266</v>
      </c>
      <c r="E27" s="433">
        <f>(-ABS(0.9-capBusAEmp1Utiliz)-ABS(0.9-capBusBEmp1Utiliz))*0.02</f>
        <v>-2.2954994630964131E-2</v>
      </c>
      <c r="G27" s="16"/>
      <c r="H27" s="12"/>
    </row>
    <row r="28" spans="2:9" ht="11.25">
      <c r="C28">
        <v>161</v>
      </c>
      <c r="D28" t="s">
        <v>5267</v>
      </c>
      <c r="E28" s="433">
        <f>(-ABS(0.85-capBusAEmp2Utiliz)-ABS(0.85-capBusBEmp2Utiliz))*0.035</f>
        <v>-2.9562480974124811E-2</v>
      </c>
      <c r="G28" s="16"/>
      <c r="H28" s="12"/>
    </row>
    <row r="29" spans="2:9" ht="11.25">
      <c r="C29">
        <v>183</v>
      </c>
      <c r="D29" t="s">
        <v>5268</v>
      </c>
      <c r="E29" s="433">
        <f>(-ABS(0.85-capBusAEmp3Utiliz)-ABS(0.85-capBusBEmp3Utiliz))*0.035</f>
        <v>-3.2323934426229509E-2</v>
      </c>
      <c r="G29" s="16"/>
      <c r="H29" s="12"/>
    </row>
    <row r="30" spans="2:9" ht="11.25">
      <c r="C30">
        <v>205</v>
      </c>
      <c r="D30" t="s">
        <v>5269</v>
      </c>
      <c r="E30" s="433">
        <f>(-ABS(0.85-capBusAEmp4Utiliz)-ABS(0.85-capBusBEmp4Utiliz))*0.035</f>
        <v>-3.576853146853147E-2</v>
      </c>
      <c r="G30" s="16"/>
      <c r="H30" s="12"/>
    </row>
    <row r="31" spans="2:9" ht="11.25">
      <c r="B31" s="2" t="s">
        <v>2166</v>
      </c>
      <c r="E31" s="433"/>
      <c r="G31" s="16"/>
      <c r="H31" s="12"/>
    </row>
    <row r="32" spans="2:9" ht="11.25">
      <c r="C32" t="s">
        <v>2178</v>
      </c>
      <c r="E32" s="103"/>
    </row>
    <row r="33" spans="3:6" ht="11.25">
      <c r="C33">
        <v>134</v>
      </c>
      <c r="D33" t="s">
        <v>5271</v>
      </c>
      <c r="E33" s="522">
        <f t="shared" ref="E33:E37" si="1">(obalIndustryAvgCIMargin-obalTotalCIMargin)*0.3</f>
        <v>0</v>
      </c>
    </row>
    <row r="34" spans="3:6" ht="11.25">
      <c r="C34">
        <v>155</v>
      </c>
      <c r="D34" t="s">
        <v>5272</v>
      </c>
      <c r="E34" s="522">
        <f t="shared" si="1"/>
        <v>0</v>
      </c>
    </row>
    <row r="35" spans="3:6" ht="11.25">
      <c r="C35">
        <v>177</v>
      </c>
      <c r="D35" t="s">
        <v>5273</v>
      </c>
      <c r="E35" s="522">
        <f t="shared" si="1"/>
        <v>0</v>
      </c>
    </row>
    <row r="36" spans="3:6" ht="11.25">
      <c r="C36">
        <v>199</v>
      </c>
      <c r="D36" t="s">
        <v>5274</v>
      </c>
      <c r="E36" s="522">
        <f t="shared" si="1"/>
        <v>0</v>
      </c>
    </row>
    <row r="37" spans="3:6" ht="11.25">
      <c r="C37">
        <v>236</v>
      </c>
      <c r="D37" t="s">
        <v>5275</v>
      </c>
      <c r="E37" s="522">
        <f t="shared" si="1"/>
        <v>0</v>
      </c>
    </row>
    <row r="38" spans="3:6" ht="11.25">
      <c r="C38" t="s">
        <v>2167</v>
      </c>
      <c r="E38" s="103"/>
    </row>
    <row r="39" spans="3:6" ht="11.25">
      <c r="C39">
        <v>134</v>
      </c>
      <c r="D39" t="s">
        <v>5271</v>
      </c>
      <c r="E39" s="522">
        <f>MAX(-0.15,((obalEmp1GeneralTrainingHrsCompleted-cbalEmp1GeneralTrainingHrsCompleted)*0.0025))</f>
        <v>0</v>
      </c>
      <c r="F39" t="s">
        <v>2392</v>
      </c>
    </row>
    <row r="40" spans="3:6" ht="11.25">
      <c r="C40">
        <v>155</v>
      </c>
      <c r="D40" t="s">
        <v>5272</v>
      </c>
      <c r="E40" s="522">
        <f>IF(((obalEmp2GeneralTrainingHrsCompleted-cbalEmp2GeneralTrainingHrsCompleted)*0.0025)&gt;0,MIN(0.15,MAX(-0.15,(obalEmp2GeneralTrainingHrsCompleted-cbalEmp2GeneralTrainingHrsCompleted)*0.0025)),MAX(-0.15,(obalEmp2GeneralTrainingHrsCompleted-cbalEmp2GeneralTrainingHrsCompleted)*0.0025))</f>
        <v>0</v>
      </c>
      <c r="F40" t="s">
        <v>664</v>
      </c>
    </row>
    <row r="41" spans="3:6" ht="11.25">
      <c r="C41">
        <v>177</v>
      </c>
      <c r="D41" t="s">
        <v>5273</v>
      </c>
      <c r="E41" s="522">
        <f>IF(((obalEmp3GeneralTrainingHrsCompleted-cbalEmp3GeneralTrainingHrsCompleted)*0.0025)&gt;0,MIN(0.15,MAX(-0.15,(obalEmp3GeneralTrainingHrsCompleted-cbalEmp3GeneralTrainingHrsCompleted)*0.0025)),MAX(-0.15,(obalEmp3GeneralTrainingHrsCompleted-cbalEmp3GeneralTrainingHrsCompleted)*0.0025))</f>
        <v>0</v>
      </c>
      <c r="F41" t="s">
        <v>665</v>
      </c>
    </row>
    <row r="42" spans="3:6" ht="11.25">
      <c r="C42">
        <v>199</v>
      </c>
      <c r="D42" t="s">
        <v>5274</v>
      </c>
      <c r="E42" s="522">
        <f>IF(((obalEmp4GeneralTrainingHrsCompleted-cbalEmp4GeneralTrainingHrsCompleted)*0.0025)&gt;0,MIN(0.15,MAX(-0.15,(obalEmp4GeneralTrainingHrsCompleted-cbalEmp4GeneralTrainingHrsCompleted)*0.0025)),MAX(-0.15,(obalEmp4GeneralTrainingHrsCompleted-cbalEmp4GeneralTrainingHrsCompleted)*0.0025))</f>
        <v>0</v>
      </c>
      <c r="F42" t="s">
        <v>666</v>
      </c>
    </row>
    <row r="43" spans="3:6" ht="11.25">
      <c r="C43">
        <v>236</v>
      </c>
      <c r="D43" t="s">
        <v>5275</v>
      </c>
      <c r="E43" s="522">
        <f>IF(((obalEmp6GeneralTrainingHrsCompleted-cbalEmp6GeneralTrainingHrsCompleted)*0.0025)&gt;0,MIN(0.15,MAX(-0.15,(obalEmp6GeneralTrainingHrsCompleted-cbalEmp6GeneralTrainingHrsCompleted)*0.0025)),MAX(-0.15,(obalEmp6GeneralTrainingHrsCompleted-cbalEmp6GeneralTrainingHrsCompleted)*0.0025))</f>
        <v>0</v>
      </c>
      <c r="F43" t="s">
        <v>2304</v>
      </c>
    </row>
    <row r="44" spans="3:6" ht="11.25">
      <c r="C44" t="s">
        <v>2177</v>
      </c>
      <c r="E44" s="103"/>
    </row>
    <row r="45" spans="3:6" ht="11.25">
      <c r="C45">
        <v>134</v>
      </c>
      <c r="D45" t="s">
        <v>5271</v>
      </c>
      <c r="E45" s="522"/>
    </row>
    <row r="46" spans="3:6" ht="11.25">
      <c r="C46">
        <v>155</v>
      </c>
      <c r="D46" t="s">
        <v>5272</v>
      </c>
      <c r="E46" s="522"/>
    </row>
    <row r="47" spans="3:6" ht="11.25">
      <c r="C47">
        <v>177</v>
      </c>
      <c r="D47" t="s">
        <v>5273</v>
      </c>
      <c r="E47" s="522"/>
    </row>
    <row r="48" spans="3:6" ht="11.25">
      <c r="C48">
        <v>199</v>
      </c>
      <c r="D48" t="s">
        <v>5274</v>
      </c>
      <c r="E48" s="522"/>
    </row>
    <row r="49" spans="2:6" ht="11.25">
      <c r="C49">
        <v>236</v>
      </c>
      <c r="D49" t="s">
        <v>5275</v>
      </c>
      <c r="E49" s="522"/>
    </row>
    <row r="50" spans="2:6" ht="11.25">
      <c r="C50" t="s">
        <v>4641</v>
      </c>
      <c r="E50" s="103"/>
    </row>
    <row r="51" spans="2:6" ht="11.25">
      <c r="C51">
        <v>134</v>
      </c>
      <c r="D51" t="s">
        <v>5271</v>
      </c>
      <c r="E51" s="848">
        <f t="shared" ref="E51:I55" si="2">-obalESAT*$F51</f>
        <v>-6.5000000000000008E-4</v>
      </c>
      <c r="F51" s="773">
        <v>1E-3</v>
      </c>
    </row>
    <row r="52" spans="2:6" ht="11.25">
      <c r="C52">
        <v>155</v>
      </c>
      <c r="D52" t="s">
        <v>5272</v>
      </c>
      <c r="E52" s="848">
        <f t="shared" si="2"/>
        <v>-6.5000000000000008E-4</v>
      </c>
      <c r="F52" s="773">
        <v>1E-3</v>
      </c>
    </row>
    <row r="53" spans="2:6" ht="11.25">
      <c r="C53">
        <v>177</v>
      </c>
      <c r="D53" t="s">
        <v>5273</v>
      </c>
      <c r="E53" s="848">
        <f t="shared" si="2"/>
        <v>-6.5000000000000008E-4</v>
      </c>
      <c r="F53" s="773">
        <v>1E-3</v>
      </c>
    </row>
    <row r="54" spans="2:6" ht="11.25">
      <c r="C54">
        <v>199</v>
      </c>
      <c r="D54" t="s">
        <v>5274</v>
      </c>
      <c r="E54" s="848">
        <f t="shared" si="2"/>
        <v>-6.5000000000000008E-4</v>
      </c>
      <c r="F54" s="773">
        <v>1E-3</v>
      </c>
    </row>
    <row r="55" spans="2:6" ht="11.25">
      <c r="C55">
        <v>236</v>
      </c>
      <c r="D55" t="s">
        <v>5275</v>
      </c>
      <c r="E55" s="848">
        <f t="shared" si="2"/>
        <v>-6.5000000000000008E-4</v>
      </c>
      <c r="F55" s="773">
        <v>1E-3</v>
      </c>
    </row>
    <row r="56" spans="2:6" ht="11.25">
      <c r="E56" s="522"/>
    </row>
    <row r="57" spans="2:6" ht="11.25">
      <c r="B57" s="2" t="s">
        <v>3906</v>
      </c>
      <c r="E57" s="522"/>
    </row>
    <row r="58" spans="2:6" ht="11.25">
      <c r="C58" t="s">
        <v>3615</v>
      </c>
      <c r="E58" s="522"/>
    </row>
    <row r="59" spans="2:6" ht="11.25">
      <c r="C59">
        <v>141</v>
      </c>
      <c r="D59" t="s">
        <v>5276</v>
      </c>
      <c r="E59" s="522">
        <f>ManualAdjustments!E111</f>
        <v>0</v>
      </c>
    </row>
    <row r="60" spans="2:6" ht="11.25">
      <c r="C60">
        <v>162</v>
      </c>
      <c r="D60" t="s">
        <v>5277</v>
      </c>
      <c r="E60" s="522">
        <f>ManualAdjustments!E111</f>
        <v>0</v>
      </c>
    </row>
    <row r="61" spans="2:6" ht="11.25">
      <c r="C61">
        <v>184</v>
      </c>
      <c r="D61" t="s">
        <v>5278</v>
      </c>
      <c r="E61" s="522">
        <f>ManualAdjustments!E111</f>
        <v>0</v>
      </c>
    </row>
    <row r="62" spans="2:6" ht="11.25">
      <c r="C62">
        <v>206</v>
      </c>
      <c r="D62" t="s">
        <v>5279</v>
      </c>
      <c r="E62" s="522">
        <f>ManualAdjustments!E111</f>
        <v>0</v>
      </c>
    </row>
    <row r="63" spans="2:6" ht="11.25">
      <c r="C63" t="s">
        <v>3616</v>
      </c>
      <c r="E63" s="522"/>
    </row>
    <row r="64" spans="2:6" ht="11.25">
      <c r="C64">
        <v>136</v>
      </c>
      <c r="D64" t="s">
        <v>5280</v>
      </c>
      <c r="E64" s="522">
        <f>ManualAdjustments!E112</f>
        <v>0</v>
      </c>
    </row>
    <row r="65" spans="3:7" ht="11.25">
      <c r="C65">
        <v>158</v>
      </c>
      <c r="D65" t="s">
        <v>5281</v>
      </c>
      <c r="E65" s="522">
        <f>ManualAdjustments!E112</f>
        <v>0</v>
      </c>
    </row>
    <row r="66" spans="3:7" ht="11.25">
      <c r="C66">
        <v>179</v>
      </c>
      <c r="D66" t="s">
        <v>5282</v>
      </c>
      <c r="E66" s="522">
        <f>ManualAdjustments!E112</f>
        <v>0</v>
      </c>
    </row>
    <row r="67" spans="3:7" ht="11.25">
      <c r="C67">
        <v>201</v>
      </c>
      <c r="D67" t="s">
        <v>5283</v>
      </c>
      <c r="E67" s="522">
        <f>ManualAdjustments!E112</f>
        <v>0</v>
      </c>
    </row>
    <row r="68" spans="3:7" ht="11.25">
      <c r="C68">
        <v>238</v>
      </c>
      <c r="D68" t="s">
        <v>5284</v>
      </c>
      <c r="E68" s="522">
        <f>ManualAdjustments!E112</f>
        <v>0</v>
      </c>
    </row>
    <row r="69" spans="3:7" ht="11.25">
      <c r="C69" t="s">
        <v>3369</v>
      </c>
      <c r="E69" s="522"/>
    </row>
    <row r="70" spans="3:7" ht="11.25">
      <c r="C70">
        <v>12</v>
      </c>
      <c r="D70" t="s">
        <v>3371</v>
      </c>
      <c r="E70" s="522">
        <f>ManualAdjustments!E113</f>
        <v>0</v>
      </c>
    </row>
    <row r="71" spans="3:7" ht="11.25">
      <c r="C71">
        <v>88</v>
      </c>
      <c r="D71" t="s">
        <v>1984</v>
      </c>
      <c r="E71" s="522">
        <f>ManualAdjustments!E113</f>
        <v>0</v>
      </c>
    </row>
    <row r="72" spans="3:7" ht="11.25">
      <c r="C72" t="s">
        <v>3618</v>
      </c>
      <c r="E72" s="522"/>
    </row>
    <row r="73" spans="3:7" ht="11.25">
      <c r="C73">
        <v>33</v>
      </c>
      <c r="D73" t="s">
        <v>5285</v>
      </c>
      <c r="E73" s="578">
        <f>ManualAdjustments!E114</f>
        <v>0</v>
      </c>
    </row>
    <row r="74" spans="3:7" ht="11.25">
      <c r="C74">
        <v>54</v>
      </c>
      <c r="D74" t="s">
        <v>5286</v>
      </c>
      <c r="E74" s="578">
        <f>ManualAdjustments!E114</f>
        <v>0</v>
      </c>
    </row>
    <row r="75" spans="3:7" ht="11.25">
      <c r="C75">
        <v>76</v>
      </c>
      <c r="D75" t="s">
        <v>5287</v>
      </c>
      <c r="E75" s="578">
        <f>ManualAdjustments!E114</f>
        <v>0</v>
      </c>
    </row>
    <row r="76" spans="3:7" ht="11.25">
      <c r="E76" s="578"/>
    </row>
    <row r="77" spans="3:7" ht="11.25">
      <c r="C77">
        <v>12</v>
      </c>
      <c r="D77" t="s">
        <v>3371</v>
      </c>
      <c r="E77" s="522"/>
    </row>
    <row r="78" spans="3:7" ht="11.25">
      <c r="E78" s="522"/>
    </row>
    <row r="79" spans="3:7" ht="11.25">
      <c r="C79">
        <v>368</v>
      </c>
      <c r="D79" t="s">
        <v>4140</v>
      </c>
      <c r="E79" s="1079">
        <f>cbalInternalAssets*$G$79</f>
        <v>1400000</v>
      </c>
      <c r="G79" s="407">
        <v>200000</v>
      </c>
    </row>
    <row r="80" spans="3:7" ht="11.25">
      <c r="E80" s="103"/>
    </row>
    <row r="81" spans="1:13" ht="11.25">
      <c r="B81" t="s">
        <v>4502</v>
      </c>
      <c r="E81" s="103"/>
    </row>
    <row r="82" spans="1:13" ht="11.25">
      <c r="A82" s="2" t="s">
        <v>3297</v>
      </c>
      <c r="E82" s="103"/>
      <c r="F82" s="2" t="s">
        <v>3261</v>
      </c>
    </row>
    <row r="83" spans="1:13" ht="11.25">
      <c r="A83" s="2"/>
      <c r="B83" t="s">
        <v>3298</v>
      </c>
      <c r="C83" t="s">
        <v>3299</v>
      </c>
      <c r="D83" t="s">
        <v>3260</v>
      </c>
      <c r="E83" s="103"/>
      <c r="G83" t="s">
        <v>3262</v>
      </c>
      <c r="H83" t="s">
        <v>3263</v>
      </c>
      <c r="I83" t="s">
        <v>3264</v>
      </c>
      <c r="J83" t="s">
        <v>3265</v>
      </c>
      <c r="K83" t="s">
        <v>3266</v>
      </c>
      <c r="L83" s="700" t="s">
        <v>5234</v>
      </c>
      <c r="M83" s="700" t="s">
        <v>5235</v>
      </c>
    </row>
    <row r="84" spans="1:13" ht="11.25">
      <c r="B84">
        <v>1</v>
      </c>
      <c r="C84" s="700" t="s">
        <v>4840</v>
      </c>
      <c r="D84" t="s">
        <v>4840</v>
      </c>
      <c r="E84" s="103"/>
    </row>
    <row r="85" spans="1:13" ht="11.25">
      <c r="B85">
        <v>1</v>
      </c>
      <c r="C85">
        <v>340</v>
      </c>
      <c r="D85" t="s">
        <v>5288</v>
      </c>
      <c r="E85" s="103">
        <f>INDEX($G85:$M85,SUMIF(cbal!E$476:E$562,$B85,cbal!$D$476:$D$562)+1)</f>
        <v>0</v>
      </c>
      <c r="G85">
        <v>0</v>
      </c>
      <c r="H85" s="563">
        <v>0.01</v>
      </c>
      <c r="I85" s="563">
        <v>0.01</v>
      </c>
      <c r="J85" s="563">
        <v>0.01</v>
      </c>
      <c r="K85" s="563">
        <v>0.01</v>
      </c>
      <c r="L85" s="563">
        <v>0.01</v>
      </c>
      <c r="M85" s="563">
        <v>0.01</v>
      </c>
    </row>
    <row r="86" spans="1:13" ht="11.25">
      <c r="B86">
        <v>1</v>
      </c>
      <c r="C86">
        <v>341</v>
      </c>
      <c r="D86" t="s">
        <v>5289</v>
      </c>
      <c r="E86" s="103">
        <f>INDEX($G86:$M86,SUMIF(cbal!E$476:E$562,$B86,cbal!$D$476:$D$562)+1)</f>
        <v>0</v>
      </c>
      <c r="G86">
        <v>0</v>
      </c>
      <c r="H86" s="568">
        <v>0.02</v>
      </c>
      <c r="I86" s="568">
        <v>0.02</v>
      </c>
      <c r="J86" s="568">
        <v>0.02</v>
      </c>
      <c r="K86" s="568">
        <v>0.02</v>
      </c>
      <c r="L86" s="568">
        <v>0.02</v>
      </c>
      <c r="M86" s="568">
        <v>0.02</v>
      </c>
    </row>
    <row r="87" spans="1:13" ht="11.25">
      <c r="B87">
        <v>1</v>
      </c>
      <c r="C87">
        <v>342</v>
      </c>
      <c r="D87" t="s">
        <v>5290</v>
      </c>
      <c r="E87" s="103">
        <f>INDEX($G87:$M87,SUMIF(cbal!E$476:E$562,$B87,cbal!$D$476:$D$562)+1)</f>
        <v>0</v>
      </c>
      <c r="G87">
        <v>0</v>
      </c>
      <c r="H87" s="568">
        <v>0.02</v>
      </c>
      <c r="I87" s="568">
        <v>0.02</v>
      </c>
      <c r="J87" s="568">
        <v>0.02</v>
      </c>
      <c r="K87" s="568">
        <v>0.02</v>
      </c>
      <c r="L87" s="568">
        <v>0.02</v>
      </c>
      <c r="M87" s="568">
        <v>0.02</v>
      </c>
    </row>
    <row r="88" spans="1:13" ht="11.25">
      <c r="B88">
        <v>1</v>
      </c>
      <c r="C88">
        <v>237</v>
      </c>
      <c r="D88" t="s">
        <v>5291</v>
      </c>
      <c r="E88" s="103">
        <f>INDEX($G88:$M88,SUMIF(cbal!E$476:E$562,$B88,cbal!$D$476:$D$562)+1)</f>
        <v>0</v>
      </c>
      <c r="G88">
        <v>0</v>
      </c>
      <c r="H88" s="1063">
        <v>2.5000000000000001E-3</v>
      </c>
      <c r="I88" s="1063">
        <v>2.5000000000000001E-3</v>
      </c>
      <c r="J88" s="1063">
        <v>2.5000000000000001E-3</v>
      </c>
      <c r="K88" s="1063">
        <v>2.5000000000000001E-3</v>
      </c>
      <c r="L88" s="1063">
        <v>2.5000000000000001E-3</v>
      </c>
      <c r="M88" s="1063">
        <v>2.5000000000000001E-3</v>
      </c>
    </row>
    <row r="89" spans="1:13" ht="11.25">
      <c r="B89">
        <v>1</v>
      </c>
      <c r="C89">
        <v>329</v>
      </c>
      <c r="D89" t="s">
        <v>676</v>
      </c>
      <c r="E89" s="103">
        <f>INDEX($G89:$M89,SUMIF(cbal!E$476:E$562,$B89,cbal!$D$476:$D$562)+1)</f>
        <v>0</v>
      </c>
      <c r="G89">
        <v>0</v>
      </c>
      <c r="H89" s="1064">
        <v>333333</v>
      </c>
      <c r="I89" s="1064">
        <v>333333</v>
      </c>
      <c r="J89" s="1064">
        <v>333333</v>
      </c>
      <c r="K89" s="1064">
        <v>333333</v>
      </c>
      <c r="L89" s="1064">
        <v>333333</v>
      </c>
      <c r="M89" s="1064">
        <v>333333</v>
      </c>
    </row>
    <row r="90" spans="1:13" ht="11.25">
      <c r="B90">
        <v>1</v>
      </c>
      <c r="C90">
        <v>330</v>
      </c>
      <c r="D90" t="s">
        <v>4472</v>
      </c>
      <c r="E90" s="103">
        <f>INDEX($G90:$M90,SUMIF(cbal!E$476:E$562,$B90,cbal!$D$476:$D$562)+1)</f>
        <v>0</v>
      </c>
      <c r="G90">
        <v>0</v>
      </c>
      <c r="H90" s="1064">
        <v>333333</v>
      </c>
      <c r="I90" s="1064">
        <v>333333</v>
      </c>
      <c r="J90" s="1064">
        <v>333333</v>
      </c>
      <c r="K90" s="1064">
        <v>333333</v>
      </c>
      <c r="L90" s="1064">
        <v>333333</v>
      </c>
      <c r="M90" s="1064">
        <v>333333</v>
      </c>
    </row>
    <row r="91" spans="1:13" ht="11.25">
      <c r="B91">
        <v>1</v>
      </c>
      <c r="C91">
        <v>331</v>
      </c>
      <c r="D91" t="s">
        <v>4473</v>
      </c>
      <c r="E91" s="103">
        <f>INDEX($G91:$M91,SUMIF(cbal!E$476:E$562,$B91,cbal!$D$476:$D$562)+1)</f>
        <v>0</v>
      </c>
      <c r="G91">
        <v>0</v>
      </c>
      <c r="H91" s="1064">
        <v>333333</v>
      </c>
      <c r="I91" s="1064">
        <v>333333</v>
      </c>
      <c r="J91" s="1064">
        <v>333333</v>
      </c>
      <c r="K91" s="1064">
        <v>333333</v>
      </c>
      <c r="L91" s="1064">
        <v>333333</v>
      </c>
      <c r="M91" s="1064">
        <v>333333</v>
      </c>
    </row>
    <row r="92" spans="1:13" ht="11.25">
      <c r="B92">
        <v>2</v>
      </c>
      <c r="C92" s="700" t="s">
        <v>4845</v>
      </c>
      <c r="D92" t="s">
        <v>4845</v>
      </c>
      <c r="E92" s="103"/>
      <c r="G92">
        <v>0</v>
      </c>
      <c r="H92" s="531"/>
      <c r="I92" s="531"/>
      <c r="J92" s="531"/>
      <c r="K92" s="531"/>
      <c r="L92" s="531"/>
      <c r="M92" s="531"/>
    </row>
    <row r="93" spans="1:13" ht="11.25">
      <c r="B93">
        <v>2</v>
      </c>
      <c r="C93">
        <v>243</v>
      </c>
      <c r="D93" t="s">
        <v>5270</v>
      </c>
      <c r="E93" s="103">
        <f>INDEX($G93:$M93,SUMIF(cbal!E$476:E$562,$B93,cbal!$D$476:$D$562)+1)</f>
        <v>0</v>
      </c>
      <c r="G93">
        <v>0</v>
      </c>
      <c r="H93" s="563">
        <v>0.03</v>
      </c>
      <c r="I93" s="563">
        <v>0.03</v>
      </c>
      <c r="J93" s="563">
        <v>0.03</v>
      </c>
      <c r="K93" s="563">
        <v>0.03</v>
      </c>
      <c r="L93" s="563">
        <v>0.03</v>
      </c>
      <c r="M93" s="563">
        <v>0.03</v>
      </c>
    </row>
    <row r="94" spans="1:13" ht="11.25">
      <c r="B94">
        <v>2</v>
      </c>
      <c r="C94">
        <v>161</v>
      </c>
      <c r="D94" t="s">
        <v>5267</v>
      </c>
      <c r="E94" s="103">
        <f>INDEX($G94:$M94,SUMIF(cbal!E$476:E$562,$B94,cbal!$D$476:$D$562)+1)</f>
        <v>0</v>
      </c>
      <c r="G94">
        <v>0</v>
      </c>
      <c r="H94" s="568">
        <v>0.03</v>
      </c>
      <c r="I94" s="568">
        <v>0.03</v>
      </c>
      <c r="J94" s="568">
        <v>0.03</v>
      </c>
      <c r="K94" s="568">
        <v>0.03</v>
      </c>
      <c r="L94" s="568">
        <v>0.03</v>
      </c>
      <c r="M94" s="568">
        <v>0.03</v>
      </c>
    </row>
    <row r="95" spans="1:13" ht="11.25">
      <c r="B95">
        <v>2</v>
      </c>
      <c r="C95">
        <v>183</v>
      </c>
      <c r="D95" t="s">
        <v>5268</v>
      </c>
      <c r="E95" s="103">
        <f>INDEX($G95:$M95,SUMIF(cbal!E$476:E$562,$B95,cbal!$D$476:$D$562)+1)</f>
        <v>0</v>
      </c>
      <c r="G95">
        <v>0</v>
      </c>
      <c r="H95" s="568">
        <v>0.03</v>
      </c>
      <c r="I95" s="568">
        <v>0.03</v>
      </c>
      <c r="J95" s="568">
        <v>0.03</v>
      </c>
      <c r="K95" s="568">
        <v>0.03</v>
      </c>
      <c r="L95" s="568">
        <v>0.03</v>
      </c>
      <c r="M95" s="568">
        <v>0.03</v>
      </c>
    </row>
    <row r="96" spans="1:13" ht="11.25">
      <c r="B96">
        <v>2</v>
      </c>
      <c r="C96">
        <v>205</v>
      </c>
      <c r="D96" t="s">
        <v>5269</v>
      </c>
      <c r="E96" s="103">
        <f>INDEX($G96:$M96,SUMIF(cbal!E$476:E$562,$B96,cbal!$D$476:$D$562)+1)</f>
        <v>0</v>
      </c>
      <c r="G96">
        <v>0</v>
      </c>
      <c r="H96" s="568">
        <v>0.03</v>
      </c>
      <c r="I96" s="568">
        <v>0.03</v>
      </c>
      <c r="J96" s="568">
        <v>0.03</v>
      </c>
      <c r="K96" s="568">
        <v>0.03</v>
      </c>
      <c r="L96" s="568">
        <v>0.03</v>
      </c>
      <c r="M96" s="568">
        <v>0.03</v>
      </c>
    </row>
    <row r="97" spans="2:13" ht="11.25">
      <c r="B97">
        <v>2</v>
      </c>
      <c r="C97">
        <v>379</v>
      </c>
      <c r="D97" t="s">
        <v>364</v>
      </c>
      <c r="E97" s="103">
        <f>INDEX($G97:$M97,SUMIF(cbal!E$476:E$562,$B97,cbal!$D$476:$D$562)+1)</f>
        <v>0</v>
      </c>
      <c r="G97">
        <v>0</v>
      </c>
      <c r="H97" s="568">
        <v>0.03</v>
      </c>
      <c r="I97" s="568"/>
      <c r="J97" s="568"/>
      <c r="K97" s="568"/>
      <c r="L97" s="568"/>
      <c r="M97" s="568"/>
    </row>
    <row r="98" spans="2:13" ht="11.25">
      <c r="B98">
        <v>2</v>
      </c>
      <c r="C98">
        <v>329</v>
      </c>
      <c r="D98" t="s">
        <v>676</v>
      </c>
      <c r="E98" s="103">
        <f>INDEX($G98:$M98,SUMIF(cbal!E$476:E$562,$B98,cbal!$D$476:$D$562)+1)</f>
        <v>0</v>
      </c>
      <c r="G98">
        <v>0</v>
      </c>
      <c r="H98" s="1064">
        <f>750000/3</f>
        <v>250000</v>
      </c>
      <c r="I98" s="1064">
        <f t="shared" ref="I98:M100" si="3">750000/3</f>
        <v>250000</v>
      </c>
      <c r="J98" s="1064">
        <f t="shared" si="3"/>
        <v>250000</v>
      </c>
      <c r="K98" s="1064">
        <f t="shared" si="3"/>
        <v>250000</v>
      </c>
      <c r="L98" s="1064">
        <f t="shared" si="3"/>
        <v>250000</v>
      </c>
      <c r="M98" s="1064">
        <f t="shared" si="3"/>
        <v>250000</v>
      </c>
    </row>
    <row r="99" spans="2:13" ht="11.25">
      <c r="B99">
        <v>2</v>
      </c>
      <c r="C99">
        <v>330</v>
      </c>
      <c r="D99" t="s">
        <v>4472</v>
      </c>
      <c r="E99" s="103">
        <f>INDEX($G99:$M99,SUMIF(cbal!E$476:E$562,$B99,cbal!$D$476:$D$562)+1)</f>
        <v>0</v>
      </c>
      <c r="G99">
        <v>0</v>
      </c>
      <c r="H99" s="1064">
        <f t="shared" ref="H99:H100" si="4">750000/3</f>
        <v>250000</v>
      </c>
      <c r="I99" s="1064">
        <f t="shared" si="3"/>
        <v>250000</v>
      </c>
      <c r="J99" s="1064">
        <f t="shared" si="3"/>
        <v>250000</v>
      </c>
      <c r="K99" s="1064">
        <f t="shared" si="3"/>
        <v>250000</v>
      </c>
      <c r="L99" s="1064">
        <f t="shared" si="3"/>
        <v>250000</v>
      </c>
      <c r="M99" s="1064">
        <f t="shared" si="3"/>
        <v>250000</v>
      </c>
    </row>
    <row r="100" spans="2:13" ht="11.25">
      <c r="B100">
        <v>2</v>
      </c>
      <c r="C100">
        <v>331</v>
      </c>
      <c r="D100" t="s">
        <v>4473</v>
      </c>
      <c r="E100" s="103">
        <f>INDEX($G100:$M100,SUMIF(cbal!E$476:E$562,$B100,cbal!$D$476:$D$562)+1)</f>
        <v>0</v>
      </c>
      <c r="G100">
        <v>0</v>
      </c>
      <c r="H100" s="1064">
        <f t="shared" si="4"/>
        <v>250000</v>
      </c>
      <c r="I100" s="1064">
        <f t="shared" si="3"/>
        <v>250000</v>
      </c>
      <c r="J100" s="1064">
        <f t="shared" si="3"/>
        <v>250000</v>
      </c>
      <c r="K100" s="1064">
        <f t="shared" si="3"/>
        <v>250000</v>
      </c>
      <c r="L100" s="1064">
        <f t="shared" si="3"/>
        <v>250000</v>
      </c>
      <c r="M100" s="1064">
        <f t="shared" si="3"/>
        <v>250000</v>
      </c>
    </row>
    <row r="101" spans="2:13" ht="11.25">
      <c r="B101">
        <v>2</v>
      </c>
      <c r="C101">
        <v>359</v>
      </c>
      <c r="D101" t="s">
        <v>137</v>
      </c>
      <c r="E101" s="103">
        <f>INDEX($G101:$M101,SUMIF(cbal!E$476:E$562,$B101,cbal!$D$476:$D$562)+1)</f>
        <v>0</v>
      </c>
      <c r="G101">
        <v>0</v>
      </c>
      <c r="H101" s="532">
        <v>2000</v>
      </c>
      <c r="I101" s="532">
        <v>2000</v>
      </c>
      <c r="J101" s="532">
        <v>2000</v>
      </c>
      <c r="K101" s="532">
        <v>2000</v>
      </c>
      <c r="L101" s="532">
        <v>2000</v>
      </c>
      <c r="M101" s="532">
        <v>2000</v>
      </c>
    </row>
    <row r="102" spans="2:13" ht="11.25">
      <c r="B102">
        <v>3</v>
      </c>
      <c r="C102" s="700" t="s">
        <v>4846</v>
      </c>
      <c r="D102" t="s">
        <v>4846</v>
      </c>
      <c r="E102" s="103"/>
      <c r="G102">
        <v>0</v>
      </c>
      <c r="H102" s="531"/>
      <c r="I102" s="531"/>
      <c r="J102" s="531"/>
      <c r="K102" s="531"/>
      <c r="L102" s="531"/>
      <c r="M102" s="531"/>
    </row>
    <row r="103" spans="2:13" ht="11.25">
      <c r="B103">
        <v>3</v>
      </c>
      <c r="C103">
        <v>380</v>
      </c>
      <c r="D103" t="s">
        <v>4861</v>
      </c>
      <c r="E103" s="103">
        <f>INDEX($G103:$M103,SUMIF(cbal!E$476:E$562,$B103,cbal!$D$476:$D$562)+1)</f>
        <v>0</v>
      </c>
      <c r="G103">
        <v>0</v>
      </c>
      <c r="H103" s="531">
        <v>0.03</v>
      </c>
      <c r="I103" s="563"/>
      <c r="J103" s="563"/>
      <c r="K103" s="563"/>
      <c r="L103" s="563"/>
      <c r="M103" s="563"/>
    </row>
    <row r="104" spans="2:13" ht="11.25">
      <c r="B104">
        <v>3</v>
      </c>
      <c r="C104">
        <v>381</v>
      </c>
      <c r="D104" t="s">
        <v>4862</v>
      </c>
      <c r="E104" s="103">
        <f>INDEX($G104:$M104,SUMIF(cbal!E$476:E$562,$B104,cbal!$D$476:$D$562)+1)</f>
        <v>0</v>
      </c>
      <c r="G104">
        <v>0</v>
      </c>
      <c r="H104" s="531">
        <v>0.03</v>
      </c>
      <c r="I104" s="563"/>
      <c r="J104" s="563"/>
      <c r="K104" s="563"/>
      <c r="L104" s="563"/>
      <c r="M104" s="563"/>
    </row>
    <row r="105" spans="2:13" ht="11.25">
      <c r="B105">
        <v>3</v>
      </c>
      <c r="C105">
        <v>382</v>
      </c>
      <c r="D105" t="s">
        <v>5164</v>
      </c>
      <c r="E105" s="103">
        <f>INDEX($G105:$M105,SUMIF(cbal!E$476:E$562,$B105,cbal!$D$476:$D$562)+1)</f>
        <v>0</v>
      </c>
      <c r="G105">
        <v>0</v>
      </c>
      <c r="H105" s="531">
        <v>0.03</v>
      </c>
      <c r="I105" s="563"/>
      <c r="J105" s="563"/>
      <c r="K105" s="563"/>
      <c r="L105" s="563"/>
      <c r="M105" s="563"/>
    </row>
    <row r="106" spans="2:13" ht="11.25">
      <c r="B106">
        <v>3</v>
      </c>
      <c r="C106">
        <v>329</v>
      </c>
      <c r="D106" t="s">
        <v>676</v>
      </c>
      <c r="E106" s="103">
        <f>INDEX($G106:$M106,SUMIF(cbal!E$476:E$562,$B106,cbal!$D$476:$D$562)+1)</f>
        <v>0</v>
      </c>
      <c r="G106">
        <v>0</v>
      </c>
      <c r="H106" s="1064">
        <f>750000/3</f>
        <v>250000</v>
      </c>
      <c r="I106" s="1064">
        <f t="shared" ref="I106:M108" si="5">500000/3</f>
        <v>166666.66666666666</v>
      </c>
      <c r="J106" s="1064">
        <f t="shared" si="5"/>
        <v>166666.66666666666</v>
      </c>
      <c r="K106" s="1064">
        <f t="shared" si="5"/>
        <v>166666.66666666666</v>
      </c>
      <c r="L106" s="1064">
        <f t="shared" si="5"/>
        <v>166666.66666666666</v>
      </c>
      <c r="M106" s="1064">
        <f t="shared" si="5"/>
        <v>166666.66666666666</v>
      </c>
    </row>
    <row r="107" spans="2:13" ht="11.25">
      <c r="B107">
        <v>3</v>
      </c>
      <c r="C107">
        <v>330</v>
      </c>
      <c r="D107" t="s">
        <v>4472</v>
      </c>
      <c r="E107" s="103">
        <f>INDEX($G107:$M107,SUMIF(cbal!E$476:E$562,$B107,cbal!$D$476:$D$562)+1)</f>
        <v>0</v>
      </c>
      <c r="G107">
        <v>0</v>
      </c>
      <c r="H107" s="1064">
        <f>750000/3</f>
        <v>250000</v>
      </c>
      <c r="I107" s="1064">
        <f t="shared" si="5"/>
        <v>166666.66666666666</v>
      </c>
      <c r="J107" s="1064">
        <f t="shared" si="5"/>
        <v>166666.66666666666</v>
      </c>
      <c r="K107" s="1064">
        <f t="shared" si="5"/>
        <v>166666.66666666666</v>
      </c>
      <c r="L107" s="1064">
        <f t="shared" si="5"/>
        <v>166666.66666666666</v>
      </c>
      <c r="M107" s="1064">
        <f t="shared" si="5"/>
        <v>166666.66666666666</v>
      </c>
    </row>
    <row r="108" spans="2:13" ht="11.25">
      <c r="B108">
        <v>3</v>
      </c>
      <c r="C108">
        <v>331</v>
      </c>
      <c r="D108" t="s">
        <v>4473</v>
      </c>
      <c r="E108" s="103">
        <f>INDEX($G108:$M108,SUMIF(cbal!E$476:E$562,$B108,cbal!$D$476:$D$562)+1)</f>
        <v>0</v>
      </c>
      <c r="G108">
        <v>0</v>
      </c>
      <c r="H108" s="1064">
        <f>750000/3</f>
        <v>250000</v>
      </c>
      <c r="I108" s="1064">
        <f t="shared" si="5"/>
        <v>166666.66666666666</v>
      </c>
      <c r="J108" s="1064">
        <f t="shared" si="5"/>
        <v>166666.66666666666</v>
      </c>
      <c r="K108" s="1064">
        <f t="shared" si="5"/>
        <v>166666.66666666666</v>
      </c>
      <c r="L108" s="1064">
        <f t="shared" si="5"/>
        <v>166666.66666666666</v>
      </c>
      <c r="M108" s="1064">
        <f t="shared" si="5"/>
        <v>166666.66666666666</v>
      </c>
    </row>
    <row r="109" spans="2:13" ht="11.25">
      <c r="B109">
        <v>3</v>
      </c>
      <c r="C109">
        <v>354</v>
      </c>
      <c r="D109" t="s">
        <v>2250</v>
      </c>
      <c r="E109" s="103">
        <f>INDEX($G109:$M109,SUMIF(cbal!E$476:E$562,$B109,cbal!$D$476:$D$562)+1)</f>
        <v>0</v>
      </c>
      <c r="G109">
        <v>0</v>
      </c>
      <c r="H109" s="532">
        <v>1000</v>
      </c>
      <c r="I109" s="532">
        <v>1000</v>
      </c>
      <c r="J109" s="532">
        <v>1000</v>
      </c>
      <c r="K109" s="532">
        <v>1000</v>
      </c>
      <c r="L109" s="532">
        <v>1000</v>
      </c>
      <c r="M109" s="532">
        <v>1000</v>
      </c>
    </row>
    <row r="110" spans="2:13" ht="11.25">
      <c r="B110">
        <v>3</v>
      </c>
      <c r="C110">
        <v>359</v>
      </c>
      <c r="D110" t="s">
        <v>137</v>
      </c>
      <c r="E110" s="103">
        <f>INDEX($G110:$M110,SUMIF(cbal!E$476:E$562,$B110,cbal!$D$476:$D$562)+1)</f>
        <v>0</v>
      </c>
      <c r="G110">
        <v>0</v>
      </c>
      <c r="H110" s="532">
        <v>1000</v>
      </c>
      <c r="I110" s="532">
        <v>1000</v>
      </c>
      <c r="J110" s="532">
        <v>1000</v>
      </c>
      <c r="K110" s="532">
        <v>1000</v>
      </c>
      <c r="L110" s="532">
        <v>1000</v>
      </c>
      <c r="M110" s="532">
        <v>1000</v>
      </c>
    </row>
    <row r="111" spans="2:13" ht="11.25">
      <c r="B111">
        <v>4</v>
      </c>
      <c r="C111" s="700" t="s">
        <v>4847</v>
      </c>
      <c r="D111" t="s">
        <v>4847</v>
      </c>
      <c r="E111" s="103"/>
      <c r="G111">
        <v>0</v>
      </c>
      <c r="H111" s="531"/>
      <c r="I111" s="531"/>
      <c r="J111" s="531"/>
      <c r="K111" s="531"/>
      <c r="L111" s="531"/>
      <c r="M111" s="531"/>
    </row>
    <row r="112" spans="2:13" ht="11.25">
      <c r="B112">
        <v>4</v>
      </c>
      <c r="C112">
        <v>339</v>
      </c>
      <c r="D112" t="s">
        <v>5292</v>
      </c>
      <c r="E112" s="103">
        <f>INDEX($G112:$M112,SUMIF(cbal!E$476:E$562,$B112,cbal!$D$476:$D$562)+1)</f>
        <v>0</v>
      </c>
      <c r="G112">
        <v>0</v>
      </c>
      <c r="H112" s="563">
        <v>0.03</v>
      </c>
      <c r="I112" s="563">
        <v>0.03</v>
      </c>
      <c r="J112" s="563">
        <v>0.03</v>
      </c>
      <c r="K112" s="563">
        <v>0.03</v>
      </c>
      <c r="L112" s="563">
        <v>0.03</v>
      </c>
      <c r="M112" s="563">
        <v>0.03</v>
      </c>
    </row>
    <row r="113" spans="2:13" ht="11.25">
      <c r="B113">
        <v>4</v>
      </c>
      <c r="C113">
        <v>359</v>
      </c>
      <c r="D113" t="s">
        <v>137</v>
      </c>
      <c r="E113" s="103">
        <f>INDEX($G113:$M113,SUMIF(cbal!E$476:E$562,$B113,cbal!$D$476:$D$562)+1)</f>
        <v>0</v>
      </c>
      <c r="G113">
        <v>0</v>
      </c>
      <c r="H113" s="532">
        <v>1000</v>
      </c>
      <c r="I113" s="532">
        <v>1000</v>
      </c>
      <c r="J113" s="532">
        <v>1000</v>
      </c>
      <c r="K113" s="532">
        <v>1000</v>
      </c>
      <c r="L113" s="532">
        <v>1000</v>
      </c>
      <c r="M113" s="532">
        <v>1000</v>
      </c>
    </row>
    <row r="114" spans="2:13" ht="11.25">
      <c r="B114">
        <v>5</v>
      </c>
      <c r="C114" s="700" t="s">
        <v>4848</v>
      </c>
      <c r="D114" t="s">
        <v>4848</v>
      </c>
      <c r="E114" s="103"/>
      <c r="G114">
        <v>0</v>
      </c>
      <c r="H114" s="531"/>
      <c r="I114" s="531"/>
      <c r="J114" s="531"/>
      <c r="K114" s="531"/>
      <c r="L114" s="531"/>
      <c r="M114" s="531"/>
    </row>
    <row r="115" spans="2:13" ht="11.25">
      <c r="B115">
        <v>5</v>
      </c>
      <c r="C115">
        <v>380</v>
      </c>
      <c r="D115" t="s">
        <v>4861</v>
      </c>
      <c r="E115" s="103">
        <f>INDEX($G115:$M115,SUMIF(cbal!E$476:E$562,$B115,cbal!$D$476:$D$562)+1)</f>
        <v>0</v>
      </c>
      <c r="G115">
        <v>0</v>
      </c>
      <c r="H115" s="531">
        <v>0.03</v>
      </c>
      <c r="I115" s="563">
        <v>0.03</v>
      </c>
      <c r="J115" s="563">
        <v>0.03</v>
      </c>
      <c r="K115" s="563">
        <v>0.03</v>
      </c>
      <c r="L115" s="563">
        <v>0.03</v>
      </c>
      <c r="M115" s="563">
        <v>0.03</v>
      </c>
    </row>
    <row r="116" spans="2:13" ht="11.25">
      <c r="B116">
        <v>5</v>
      </c>
      <c r="C116">
        <v>381</v>
      </c>
      <c r="D116" t="s">
        <v>4862</v>
      </c>
      <c r="E116" s="103">
        <f>INDEX($G116:$M116,SUMIF(cbal!E$476:E$562,$B116,cbal!$D$476:$D$562)+1)</f>
        <v>0</v>
      </c>
      <c r="G116">
        <v>0</v>
      </c>
      <c r="H116" s="531">
        <v>0.03</v>
      </c>
      <c r="I116" s="563"/>
      <c r="J116" s="563"/>
      <c r="K116" s="563"/>
      <c r="L116" s="563"/>
      <c r="M116" s="563"/>
    </row>
    <row r="117" spans="2:13" ht="11.25">
      <c r="B117">
        <v>5</v>
      </c>
      <c r="C117">
        <v>382</v>
      </c>
      <c r="D117" t="s">
        <v>5164</v>
      </c>
      <c r="E117" s="103">
        <f>INDEX($G117:$M117,SUMIF(cbal!E$476:E$562,$B117,cbal!$D$476:$D$562)+1)</f>
        <v>0</v>
      </c>
      <c r="G117">
        <v>0</v>
      </c>
      <c r="H117" s="531">
        <v>0.03</v>
      </c>
      <c r="I117" s="563"/>
      <c r="J117" s="563"/>
      <c r="K117" s="563"/>
      <c r="L117" s="563"/>
      <c r="M117" s="563"/>
    </row>
    <row r="118" spans="2:13" ht="11.25">
      <c r="B118">
        <v>5</v>
      </c>
      <c r="C118">
        <v>379</v>
      </c>
      <c r="D118" t="s">
        <v>364</v>
      </c>
      <c r="E118" s="103">
        <f>INDEX($G118:$M118,SUMIF(cbal!E$476:E$562,$B118,cbal!$D$476:$D$562)+1)</f>
        <v>0</v>
      </c>
      <c r="G118">
        <v>0</v>
      </c>
      <c r="H118" s="563">
        <v>0.03</v>
      </c>
      <c r="I118" s="563"/>
      <c r="J118" s="563"/>
      <c r="K118" s="563"/>
      <c r="L118" s="563"/>
      <c r="M118" s="563"/>
    </row>
    <row r="119" spans="2:13" ht="11.25">
      <c r="B119">
        <v>5</v>
      </c>
      <c r="C119">
        <v>329</v>
      </c>
      <c r="D119" t="s">
        <v>676</v>
      </c>
      <c r="E119" s="103">
        <f>INDEX($G119:$M119,SUMIF(cbal!E$476:E$562,$B119,cbal!$D$476:$D$562)+1)</f>
        <v>0</v>
      </c>
      <c r="G119">
        <v>0</v>
      </c>
      <c r="H119" s="1064">
        <f t="shared" ref="H119:M121" si="6">100000/3</f>
        <v>33333.333333333336</v>
      </c>
      <c r="I119" s="1064">
        <f t="shared" si="6"/>
        <v>33333.333333333336</v>
      </c>
      <c r="J119" s="1064">
        <f t="shared" si="6"/>
        <v>33333.333333333336</v>
      </c>
      <c r="K119" s="1064">
        <f t="shared" si="6"/>
        <v>33333.333333333336</v>
      </c>
      <c r="L119" s="1064">
        <f t="shared" si="6"/>
        <v>33333.333333333336</v>
      </c>
      <c r="M119" s="1064">
        <f t="shared" si="6"/>
        <v>33333.333333333336</v>
      </c>
    </row>
    <row r="120" spans="2:13" ht="11.25">
      <c r="B120">
        <v>5</v>
      </c>
      <c r="C120">
        <v>330</v>
      </c>
      <c r="D120" t="s">
        <v>4472</v>
      </c>
      <c r="E120" s="103">
        <f>INDEX($G120:$M120,SUMIF(cbal!E$476:E$562,$B120,cbal!$D$476:$D$562)+1)</f>
        <v>0</v>
      </c>
      <c r="G120">
        <v>0</v>
      </c>
      <c r="H120" s="1064">
        <f t="shared" si="6"/>
        <v>33333.333333333336</v>
      </c>
      <c r="I120" s="1064">
        <f t="shared" si="6"/>
        <v>33333.333333333336</v>
      </c>
      <c r="J120" s="1064">
        <f t="shared" si="6"/>
        <v>33333.333333333336</v>
      </c>
      <c r="K120" s="1064">
        <f t="shared" si="6"/>
        <v>33333.333333333336</v>
      </c>
      <c r="L120" s="1064">
        <f t="shared" si="6"/>
        <v>33333.333333333336</v>
      </c>
      <c r="M120" s="1064">
        <f t="shared" si="6"/>
        <v>33333.333333333336</v>
      </c>
    </row>
    <row r="121" spans="2:13" ht="11.25">
      <c r="B121">
        <v>5</v>
      </c>
      <c r="C121">
        <v>331</v>
      </c>
      <c r="D121" t="s">
        <v>4473</v>
      </c>
      <c r="E121" s="103">
        <f>INDEX($G121:$M121,SUMIF(cbal!E$476:E$562,$B121,cbal!$D$476:$D$562)+1)</f>
        <v>0</v>
      </c>
      <c r="G121">
        <v>0</v>
      </c>
      <c r="H121" s="1064">
        <f t="shared" si="6"/>
        <v>33333.333333333336</v>
      </c>
      <c r="I121" s="1064">
        <f t="shared" si="6"/>
        <v>33333.333333333336</v>
      </c>
      <c r="J121" s="1064">
        <f t="shared" si="6"/>
        <v>33333.333333333336</v>
      </c>
      <c r="K121" s="1064">
        <f t="shared" si="6"/>
        <v>33333.333333333336</v>
      </c>
      <c r="L121" s="1064">
        <f t="shared" si="6"/>
        <v>33333.333333333336</v>
      </c>
      <c r="M121" s="1064">
        <f t="shared" si="6"/>
        <v>33333.333333333336</v>
      </c>
    </row>
    <row r="122" spans="2:13" ht="11.25">
      <c r="B122">
        <v>5</v>
      </c>
      <c r="C122">
        <v>354</v>
      </c>
      <c r="D122" t="s">
        <v>2250</v>
      </c>
      <c r="E122" s="103">
        <f>INDEX($G122:$M122,SUMIF(cbal!E$476:E$562,$B122,cbal!$D$476:$D$562)+1)</f>
        <v>0</v>
      </c>
      <c r="G122">
        <v>0</v>
      </c>
      <c r="H122" s="532">
        <v>1000</v>
      </c>
      <c r="I122" s="532">
        <v>1000</v>
      </c>
      <c r="J122" s="532">
        <v>1000</v>
      </c>
      <c r="K122" s="532">
        <v>1000</v>
      </c>
      <c r="L122" s="532">
        <v>1000</v>
      </c>
      <c r="M122" s="532">
        <v>1000</v>
      </c>
    </row>
    <row r="123" spans="2:13" ht="11.25">
      <c r="B123">
        <v>6</v>
      </c>
      <c r="C123" s="700" t="s">
        <v>5173</v>
      </c>
      <c r="D123" t="s">
        <v>5173</v>
      </c>
      <c r="E123" s="103"/>
      <c r="G123">
        <v>0</v>
      </c>
      <c r="H123" s="531"/>
      <c r="I123" s="531"/>
      <c r="J123" s="531"/>
      <c r="K123" s="531"/>
      <c r="L123" s="531"/>
      <c r="M123" s="531"/>
    </row>
    <row r="124" spans="2:13" ht="11.25">
      <c r="B124">
        <v>6</v>
      </c>
      <c r="C124">
        <v>139</v>
      </c>
      <c r="D124" t="s">
        <v>5293</v>
      </c>
      <c r="E124" s="103">
        <f>INDEX($G124:$M124,SUMIF(cbal!E$476:E$562,$B124,cbal!$D$476:$D$562)+1)</f>
        <v>0</v>
      </c>
      <c r="G124">
        <v>0</v>
      </c>
      <c r="H124" s="563">
        <v>1.4999999999999999E-2</v>
      </c>
      <c r="I124" s="563">
        <v>1.4999999999999999E-2</v>
      </c>
      <c r="J124" s="563">
        <v>1.4999999999999999E-2</v>
      </c>
      <c r="K124" s="563">
        <v>1.4999999999999999E-2</v>
      </c>
      <c r="L124" s="563">
        <v>1.4999999999999999E-2</v>
      </c>
      <c r="M124" s="563">
        <v>1.4999999999999999E-2</v>
      </c>
    </row>
    <row r="125" spans="2:13" ht="11.25">
      <c r="B125">
        <v>6</v>
      </c>
      <c r="C125">
        <v>379</v>
      </c>
      <c r="D125" t="s">
        <v>364</v>
      </c>
      <c r="E125" s="103">
        <f>INDEX($G125:$M125,SUMIF(cbal!E$476:E$562,$B125,cbal!$D$476:$D$562)+1)</f>
        <v>0</v>
      </c>
      <c r="G125">
        <v>0</v>
      </c>
      <c r="H125" s="563">
        <v>0.01</v>
      </c>
      <c r="I125" s="563"/>
      <c r="J125" s="563"/>
      <c r="K125" s="563"/>
      <c r="L125" s="563"/>
      <c r="M125" s="563"/>
    </row>
    <row r="126" spans="2:13" ht="11.25">
      <c r="B126">
        <v>6</v>
      </c>
      <c r="C126">
        <v>353</v>
      </c>
      <c r="D126" t="s">
        <v>2249</v>
      </c>
      <c r="E126" s="103">
        <f>INDEX($G126:$M126,SUMIF(cbal!E$476:E$562,$B126,cbal!$D$476:$D$562)+1)</f>
        <v>0</v>
      </c>
      <c r="G126">
        <v>0</v>
      </c>
      <c r="H126" s="532">
        <v>500</v>
      </c>
      <c r="I126" s="532"/>
      <c r="J126" s="532"/>
      <c r="K126" s="532"/>
      <c r="L126" s="532"/>
      <c r="M126" s="532"/>
    </row>
    <row r="127" spans="2:13" ht="11.25">
      <c r="B127">
        <v>6</v>
      </c>
      <c r="C127">
        <v>352</v>
      </c>
      <c r="D127" t="s">
        <v>2248</v>
      </c>
      <c r="E127" s="103">
        <f>INDEX($G127:$M127,SUMIF(cbal!E$476:E$562,$B127,cbal!$D$476:$D$562)+1)</f>
        <v>0</v>
      </c>
      <c r="G127">
        <v>0</v>
      </c>
      <c r="H127" s="532">
        <v>1000</v>
      </c>
      <c r="I127" s="532">
        <v>500</v>
      </c>
      <c r="J127" s="532">
        <v>500</v>
      </c>
      <c r="K127" s="532">
        <v>500</v>
      </c>
      <c r="L127" s="532">
        <v>500</v>
      </c>
      <c r="M127" s="532">
        <v>500</v>
      </c>
    </row>
    <row r="128" spans="2:13" ht="11.25">
      <c r="B128">
        <v>7</v>
      </c>
      <c r="C128" s="700" t="s">
        <v>4926</v>
      </c>
      <c r="D128" t="s">
        <v>4926</v>
      </c>
      <c r="E128" s="103"/>
      <c r="G128">
        <v>0</v>
      </c>
      <c r="H128" s="531"/>
      <c r="I128" s="531"/>
      <c r="J128" s="531"/>
      <c r="K128" s="531"/>
      <c r="L128" s="531"/>
      <c r="M128" s="531"/>
    </row>
    <row r="129" spans="2:13" ht="11.25">
      <c r="B129">
        <v>7</v>
      </c>
      <c r="C129">
        <v>328</v>
      </c>
      <c r="D129" t="s">
        <v>706</v>
      </c>
      <c r="E129" s="103">
        <f>INDEX($G129:$M129,SUMIF(cbal!E$476:E$562,$B129,cbal!$D$476:$D$562)+1)</f>
        <v>0</v>
      </c>
      <c r="G129">
        <v>0</v>
      </c>
      <c r="H129" s="563">
        <v>0.03</v>
      </c>
      <c r="I129" s="563"/>
      <c r="J129" s="563"/>
      <c r="K129" s="563"/>
      <c r="L129" s="563"/>
      <c r="M129" s="563"/>
    </row>
    <row r="130" spans="2:13" ht="11.25">
      <c r="B130">
        <v>7</v>
      </c>
      <c r="C130">
        <v>343</v>
      </c>
      <c r="D130" t="s">
        <v>5294</v>
      </c>
      <c r="E130" s="103">
        <f>INDEX($G130:$M130,SUMIF(cbal!E$476:E$562,$B130,cbal!$D$476:$D$562)+1)</f>
        <v>0</v>
      </c>
      <c r="G130">
        <v>0</v>
      </c>
      <c r="H130" s="563">
        <v>0.03</v>
      </c>
      <c r="I130" s="563">
        <v>0.03</v>
      </c>
      <c r="J130" s="563">
        <v>0.03</v>
      </c>
      <c r="K130" s="563">
        <v>0.03</v>
      </c>
      <c r="L130" s="563">
        <v>0.03</v>
      </c>
      <c r="M130" s="563">
        <v>0.03</v>
      </c>
    </row>
    <row r="131" spans="2:13" ht="11.25">
      <c r="B131">
        <v>7</v>
      </c>
      <c r="C131">
        <v>329</v>
      </c>
      <c r="D131" t="s">
        <v>676</v>
      </c>
      <c r="E131" s="103">
        <f>INDEX($G131:$M131,SUMIF(cbal!E$476:E$562,$B131,cbal!$D$476:$D$562)+1)</f>
        <v>0</v>
      </c>
      <c r="G131">
        <v>0</v>
      </c>
      <c r="H131" s="1064">
        <f>1000000/3</f>
        <v>333333.33333333331</v>
      </c>
      <c r="I131" s="1064">
        <f t="shared" ref="I131:M133" si="7">500000/3</f>
        <v>166666.66666666666</v>
      </c>
      <c r="J131" s="1064">
        <f t="shared" si="7"/>
        <v>166666.66666666666</v>
      </c>
      <c r="K131" s="1064">
        <f t="shared" si="7"/>
        <v>166666.66666666666</v>
      </c>
      <c r="L131" s="1064">
        <f t="shared" si="7"/>
        <v>166666.66666666666</v>
      </c>
      <c r="M131" s="1064">
        <f t="shared" si="7"/>
        <v>166666.66666666666</v>
      </c>
    </row>
    <row r="132" spans="2:13" ht="11.25">
      <c r="B132">
        <v>7</v>
      </c>
      <c r="C132">
        <v>330</v>
      </c>
      <c r="D132" t="s">
        <v>4472</v>
      </c>
      <c r="E132" s="103">
        <f>INDEX($G132:$M132,SUMIF(cbal!E$476:E$562,$B132,cbal!$D$476:$D$562)+1)</f>
        <v>0</v>
      </c>
      <c r="G132">
        <v>0</v>
      </c>
      <c r="H132" s="1064">
        <f>1000000/3</f>
        <v>333333.33333333331</v>
      </c>
      <c r="I132" s="1064">
        <f t="shared" si="7"/>
        <v>166666.66666666666</v>
      </c>
      <c r="J132" s="1064">
        <f t="shared" si="7"/>
        <v>166666.66666666666</v>
      </c>
      <c r="K132" s="1064">
        <f t="shared" si="7"/>
        <v>166666.66666666666</v>
      </c>
      <c r="L132" s="1064">
        <f t="shared" si="7"/>
        <v>166666.66666666666</v>
      </c>
      <c r="M132" s="1064">
        <f t="shared" si="7"/>
        <v>166666.66666666666</v>
      </c>
    </row>
    <row r="133" spans="2:13" ht="11.25">
      <c r="B133">
        <v>7</v>
      </c>
      <c r="C133">
        <v>331</v>
      </c>
      <c r="D133" t="s">
        <v>4473</v>
      </c>
      <c r="E133" s="103">
        <f>INDEX($G133:$M133,SUMIF(cbal!E$476:E$562,$B133,cbal!$D$476:$D$562)+1)</f>
        <v>0</v>
      </c>
      <c r="G133">
        <v>0</v>
      </c>
      <c r="H133" s="1064">
        <f>1000000/3</f>
        <v>333333.33333333331</v>
      </c>
      <c r="I133" s="1064">
        <f t="shared" si="7"/>
        <v>166666.66666666666</v>
      </c>
      <c r="J133" s="1064">
        <f t="shared" si="7"/>
        <v>166666.66666666666</v>
      </c>
      <c r="K133" s="1064">
        <f t="shared" si="7"/>
        <v>166666.66666666666</v>
      </c>
      <c r="L133" s="1064">
        <f t="shared" si="7"/>
        <v>166666.66666666666</v>
      </c>
      <c r="M133" s="1064">
        <f t="shared" si="7"/>
        <v>166666.66666666666</v>
      </c>
    </row>
    <row r="134" spans="2:13" ht="11.25">
      <c r="B134">
        <v>8</v>
      </c>
      <c r="C134" s="700" t="s">
        <v>4849</v>
      </c>
      <c r="D134" t="s">
        <v>4849</v>
      </c>
      <c r="E134" s="103"/>
      <c r="G134">
        <v>0</v>
      </c>
      <c r="H134" s="531"/>
      <c r="I134" s="531"/>
      <c r="J134" s="531"/>
      <c r="K134" s="531"/>
      <c r="L134" s="531"/>
      <c r="M134" s="531"/>
    </row>
    <row r="135" spans="2:13" ht="11.25">
      <c r="B135">
        <v>8</v>
      </c>
      <c r="C135">
        <v>328</v>
      </c>
      <c r="D135" t="s">
        <v>706</v>
      </c>
      <c r="E135" s="103">
        <f>INDEX($G135:$M135,SUMIF(cbal!E$476:E$562,$B135,cbal!$D$476:$D$562)+1)</f>
        <v>0</v>
      </c>
      <c r="G135">
        <v>0</v>
      </c>
      <c r="H135" s="563">
        <v>0.03</v>
      </c>
      <c r="I135" s="563">
        <v>0.03</v>
      </c>
      <c r="J135" s="563">
        <v>0.03</v>
      </c>
      <c r="K135" s="563">
        <v>0.03</v>
      </c>
      <c r="L135" s="563">
        <v>0.03</v>
      </c>
      <c r="M135" s="563">
        <v>0.03</v>
      </c>
    </row>
    <row r="136" spans="2:13" ht="11.25">
      <c r="B136">
        <v>8</v>
      </c>
      <c r="C136">
        <v>205</v>
      </c>
      <c r="D136" t="s">
        <v>5269</v>
      </c>
      <c r="E136" s="103">
        <f>INDEX($G136:$M136,SUMIF(cbal!E$476:E$562,$B136,cbal!$D$476:$D$562)+1)</f>
        <v>0</v>
      </c>
      <c r="G136">
        <v>0</v>
      </c>
      <c r="H136" s="563">
        <v>0.03</v>
      </c>
      <c r="I136" s="563">
        <v>0.03</v>
      </c>
      <c r="J136" s="563">
        <v>0.03</v>
      </c>
      <c r="K136" s="563">
        <v>0.03</v>
      </c>
      <c r="L136" s="563">
        <v>0.03</v>
      </c>
      <c r="M136" s="563">
        <v>0.03</v>
      </c>
    </row>
    <row r="137" spans="2:13" ht="11.25">
      <c r="B137">
        <v>8</v>
      </c>
      <c r="C137">
        <v>329</v>
      </c>
      <c r="D137" t="s">
        <v>676</v>
      </c>
      <c r="E137" s="103">
        <f>INDEX($G137:$M137,SUMIF(cbal!E$476:E$562,$B137,cbal!$D$476:$D$562)+1)</f>
        <v>0</v>
      </c>
      <c r="G137">
        <v>0</v>
      </c>
      <c r="H137" s="1064">
        <f t="shared" ref="H137:M139" si="8">750000/3</f>
        <v>250000</v>
      </c>
      <c r="I137" s="1064">
        <f t="shared" si="8"/>
        <v>250000</v>
      </c>
      <c r="J137" s="1064">
        <f t="shared" si="8"/>
        <v>250000</v>
      </c>
      <c r="K137" s="1064">
        <f t="shared" si="8"/>
        <v>250000</v>
      </c>
      <c r="L137" s="1064">
        <f t="shared" si="8"/>
        <v>250000</v>
      </c>
      <c r="M137" s="1064">
        <f t="shared" si="8"/>
        <v>250000</v>
      </c>
    </row>
    <row r="138" spans="2:13" ht="11.25">
      <c r="B138">
        <v>8</v>
      </c>
      <c r="C138">
        <v>330</v>
      </c>
      <c r="D138" t="s">
        <v>4472</v>
      </c>
      <c r="E138" s="103">
        <f>INDEX($G138:$M138,SUMIF(cbal!E$476:E$562,$B138,cbal!$D$476:$D$562)+1)</f>
        <v>0</v>
      </c>
      <c r="G138">
        <v>0</v>
      </c>
      <c r="H138" s="1064">
        <f t="shared" si="8"/>
        <v>250000</v>
      </c>
      <c r="I138" s="1064">
        <f t="shared" si="8"/>
        <v>250000</v>
      </c>
      <c r="J138" s="1064">
        <f t="shared" si="8"/>
        <v>250000</v>
      </c>
      <c r="K138" s="1064">
        <f t="shared" si="8"/>
        <v>250000</v>
      </c>
      <c r="L138" s="1064">
        <f t="shared" si="8"/>
        <v>250000</v>
      </c>
      <c r="M138" s="1064">
        <f t="shared" si="8"/>
        <v>250000</v>
      </c>
    </row>
    <row r="139" spans="2:13" ht="11.25">
      <c r="B139">
        <v>8</v>
      </c>
      <c r="C139">
        <v>331</v>
      </c>
      <c r="D139" t="s">
        <v>4473</v>
      </c>
      <c r="E139" s="103">
        <f>INDEX($G139:$M139,SUMIF(cbal!E$476:E$562,$B139,cbal!$D$476:$D$562)+1)</f>
        <v>0</v>
      </c>
      <c r="G139">
        <v>0</v>
      </c>
      <c r="H139" s="1064">
        <f t="shared" si="8"/>
        <v>250000</v>
      </c>
      <c r="I139" s="1064">
        <f t="shared" si="8"/>
        <v>250000</v>
      </c>
      <c r="J139" s="1064">
        <f t="shared" si="8"/>
        <v>250000</v>
      </c>
      <c r="K139" s="1064">
        <f t="shared" si="8"/>
        <v>250000</v>
      </c>
      <c r="L139" s="1064">
        <f t="shared" si="8"/>
        <v>250000</v>
      </c>
      <c r="M139" s="1064">
        <f t="shared" si="8"/>
        <v>250000</v>
      </c>
    </row>
    <row r="140" spans="2:13" ht="11.25">
      <c r="B140">
        <v>9</v>
      </c>
      <c r="C140" s="700" t="s">
        <v>4850</v>
      </c>
      <c r="D140" s="700" t="s">
        <v>5679</v>
      </c>
      <c r="E140" s="103"/>
      <c r="G140">
        <v>0</v>
      </c>
      <c r="H140" s="531"/>
      <c r="I140" s="531"/>
      <c r="J140" s="531"/>
      <c r="K140" s="531"/>
      <c r="L140" s="531"/>
      <c r="M140" s="531"/>
    </row>
    <row r="141" spans="2:13" ht="11.25">
      <c r="B141">
        <v>9</v>
      </c>
      <c r="C141">
        <v>380</v>
      </c>
      <c r="D141" t="s">
        <v>4861</v>
      </c>
      <c r="E141" s="103">
        <f>INDEX($G141:$M141,SUMIF(cbal!E$476:E$562,$B141,cbal!$D$476:$D$562)+1)</f>
        <v>0</v>
      </c>
      <c r="G141">
        <v>0</v>
      </c>
      <c r="H141" s="531">
        <v>0.03</v>
      </c>
      <c r="I141" s="563"/>
      <c r="J141" s="563"/>
      <c r="K141" s="563"/>
      <c r="L141" s="563"/>
      <c r="M141" s="563"/>
    </row>
    <row r="142" spans="2:13" ht="11.25">
      <c r="B142">
        <v>9</v>
      </c>
      <c r="C142">
        <v>381</v>
      </c>
      <c r="D142" t="s">
        <v>4862</v>
      </c>
      <c r="E142" s="103">
        <f>INDEX($G142:$M142,SUMIF(cbal!E$476:E$562,$B142,cbal!$D$476:$D$562)+1)</f>
        <v>0</v>
      </c>
      <c r="G142">
        <v>0</v>
      </c>
      <c r="H142" s="531">
        <v>0.03</v>
      </c>
      <c r="I142" s="563"/>
      <c r="J142" s="563"/>
      <c r="K142" s="563"/>
      <c r="L142" s="563"/>
      <c r="M142" s="563"/>
    </row>
    <row r="143" spans="2:13" ht="11.25">
      <c r="B143">
        <v>9</v>
      </c>
      <c r="C143">
        <v>382</v>
      </c>
      <c r="D143" t="s">
        <v>5164</v>
      </c>
      <c r="E143" s="103">
        <f>INDEX($G143:$M143,SUMIF(cbal!E$476:E$562,$B143,cbal!$D$476:$D$562)+1)</f>
        <v>0</v>
      </c>
      <c r="G143">
        <v>0</v>
      </c>
      <c r="H143" s="531">
        <v>0.03</v>
      </c>
      <c r="I143" s="563"/>
      <c r="J143" s="563"/>
      <c r="K143" s="563"/>
      <c r="L143" s="563"/>
      <c r="M143" s="563"/>
    </row>
    <row r="144" spans="2:13" ht="11.25">
      <c r="B144">
        <v>9</v>
      </c>
      <c r="C144">
        <v>328</v>
      </c>
      <c r="D144" t="s">
        <v>706</v>
      </c>
      <c r="E144" s="103">
        <f>INDEX($G144:$M144,SUMIF(cbal!E$476:E$562,$B144,cbal!$D$476:$D$562)+1)</f>
        <v>0</v>
      </c>
      <c r="G144">
        <v>0</v>
      </c>
      <c r="H144" s="563">
        <v>0.05</v>
      </c>
      <c r="I144" s="563"/>
      <c r="J144" s="563"/>
      <c r="K144" s="563"/>
      <c r="L144" s="563"/>
      <c r="M144" s="563"/>
    </row>
    <row r="145" spans="2:13" ht="11.25">
      <c r="B145">
        <v>9</v>
      </c>
      <c r="C145">
        <v>342</v>
      </c>
      <c r="D145" t="str">
        <f>"Special Program Sales " &amp; DataNameProd1Seg3</f>
        <v>Special Program Sales Futuria</v>
      </c>
      <c r="E145" s="103">
        <f>INDEX($G145:$M145,SUMIF(cbal!E$476:E$562,$B145,cbal!$D$476:$D$562)+1)</f>
        <v>0</v>
      </c>
      <c r="G145">
        <v>0</v>
      </c>
      <c r="H145" s="563">
        <v>0.03</v>
      </c>
      <c r="I145" s="563"/>
      <c r="J145" s="563"/>
      <c r="K145" s="563"/>
      <c r="L145" s="563"/>
      <c r="M145" s="563"/>
    </row>
    <row r="146" spans="2:13" ht="11.25">
      <c r="B146">
        <v>9</v>
      </c>
      <c r="C146">
        <v>329</v>
      </c>
      <c r="D146" t="s">
        <v>676</v>
      </c>
      <c r="E146" s="103">
        <f>INDEX($G146:$M146,SUMIF(cbal!E$476:E$562,$B146,cbal!$D$476:$D$562)+1)</f>
        <v>0</v>
      </c>
      <c r="G146">
        <v>0</v>
      </c>
      <c r="H146" s="1064">
        <f>500000/3</f>
        <v>166666.66666666666</v>
      </c>
      <c r="I146" s="1064">
        <f t="shared" ref="I146:M148" si="9">250000/3</f>
        <v>83333.333333333328</v>
      </c>
      <c r="J146" s="1064">
        <f t="shared" si="9"/>
        <v>83333.333333333328</v>
      </c>
      <c r="K146" s="1064">
        <f t="shared" si="9"/>
        <v>83333.333333333328</v>
      </c>
      <c r="L146" s="1064">
        <f t="shared" si="9"/>
        <v>83333.333333333328</v>
      </c>
      <c r="M146" s="1064">
        <f t="shared" si="9"/>
        <v>83333.333333333328</v>
      </c>
    </row>
    <row r="147" spans="2:13" ht="11.25">
      <c r="B147">
        <v>9</v>
      </c>
      <c r="C147">
        <v>330</v>
      </c>
      <c r="D147" t="s">
        <v>4472</v>
      </c>
      <c r="E147" s="103">
        <f>INDEX($G147:$M147,SUMIF(cbal!E$476:E$562,$B147,cbal!$D$476:$D$562)+1)</f>
        <v>0</v>
      </c>
      <c r="G147">
        <v>0</v>
      </c>
      <c r="H147" s="1064">
        <f>500000/3</f>
        <v>166666.66666666666</v>
      </c>
      <c r="I147" s="1064">
        <f t="shared" si="9"/>
        <v>83333.333333333328</v>
      </c>
      <c r="J147" s="1064">
        <f t="shared" si="9"/>
        <v>83333.333333333328</v>
      </c>
      <c r="K147" s="1064">
        <f t="shared" si="9"/>
        <v>83333.333333333328</v>
      </c>
      <c r="L147" s="1064">
        <f t="shared" si="9"/>
        <v>83333.333333333328</v>
      </c>
      <c r="M147" s="1064">
        <f t="shared" si="9"/>
        <v>83333.333333333328</v>
      </c>
    </row>
    <row r="148" spans="2:13" ht="11.25">
      <c r="B148">
        <v>9</v>
      </c>
      <c r="C148">
        <v>331</v>
      </c>
      <c r="D148" t="s">
        <v>4473</v>
      </c>
      <c r="E148" s="103">
        <f>INDEX($G148:$M148,SUMIF(cbal!E$476:E$562,$B148,cbal!$D$476:$D$562)+1)</f>
        <v>0</v>
      </c>
      <c r="G148">
        <v>0</v>
      </c>
      <c r="H148" s="1064">
        <f>500000/3</f>
        <v>166666.66666666666</v>
      </c>
      <c r="I148" s="1064">
        <f t="shared" si="9"/>
        <v>83333.333333333328</v>
      </c>
      <c r="J148" s="1064">
        <f t="shared" si="9"/>
        <v>83333.333333333328</v>
      </c>
      <c r="K148" s="1064">
        <f t="shared" si="9"/>
        <v>83333.333333333328</v>
      </c>
      <c r="L148" s="1064">
        <f t="shared" si="9"/>
        <v>83333.333333333328</v>
      </c>
      <c r="M148" s="1064">
        <f t="shared" si="9"/>
        <v>83333.333333333328</v>
      </c>
    </row>
    <row r="149" spans="2:13" ht="11.25">
      <c r="B149">
        <v>10</v>
      </c>
      <c r="C149" s="700" t="s">
        <v>4851</v>
      </c>
      <c r="D149" t="s">
        <v>4851</v>
      </c>
      <c r="E149" s="103"/>
      <c r="G149">
        <v>0</v>
      </c>
      <c r="H149" s="531"/>
      <c r="I149" s="531"/>
      <c r="J149" s="531"/>
      <c r="K149" s="531"/>
      <c r="L149" s="531"/>
      <c r="M149" s="531"/>
    </row>
    <row r="150" spans="2:13" ht="11.25">
      <c r="B150">
        <v>10</v>
      </c>
      <c r="C150">
        <v>12</v>
      </c>
      <c r="D150" t="s">
        <v>3371</v>
      </c>
      <c r="E150" s="103">
        <f>INDEX($G150:$M150,SUMIF(cbal!E$476:E$562,$B150,cbal!$D$476:$D$562)+1)</f>
        <v>0</v>
      </c>
      <c r="G150">
        <v>0</v>
      </c>
      <c r="H150" s="563">
        <v>0.01</v>
      </c>
      <c r="I150" s="563">
        <v>0.01</v>
      </c>
      <c r="J150" s="563">
        <v>0.01</v>
      </c>
      <c r="K150" s="563">
        <v>0.01</v>
      </c>
      <c r="L150" s="563">
        <v>0.01</v>
      </c>
      <c r="M150" s="563">
        <v>0.01</v>
      </c>
    </row>
    <row r="151" spans="2:13" ht="11.25">
      <c r="B151">
        <v>10</v>
      </c>
      <c r="C151">
        <v>161</v>
      </c>
      <c r="D151" t="s">
        <v>5267</v>
      </c>
      <c r="E151" s="103">
        <f>INDEX($G151:$M151,SUMIF(cbal!E$476:E$562,$B151,cbal!$D$476:$D$562)+1)</f>
        <v>0</v>
      </c>
      <c r="G151">
        <v>0</v>
      </c>
      <c r="H151" s="531">
        <v>0.02</v>
      </c>
      <c r="I151" s="531">
        <v>0.02</v>
      </c>
      <c r="J151" s="531">
        <v>0.02</v>
      </c>
      <c r="K151" s="531">
        <v>0.02</v>
      </c>
      <c r="L151" s="531">
        <v>0.02</v>
      </c>
      <c r="M151" s="531">
        <v>0.02</v>
      </c>
    </row>
    <row r="152" spans="2:13" ht="11.25">
      <c r="B152">
        <v>10</v>
      </c>
      <c r="C152">
        <v>183</v>
      </c>
      <c r="D152" t="s">
        <v>5268</v>
      </c>
      <c r="E152" s="103">
        <f>INDEX($G152:$M152,SUMIF(cbal!E$476:E$562,$B152,cbal!$D$476:$D$562)+1)</f>
        <v>0</v>
      </c>
      <c r="G152">
        <v>0</v>
      </c>
      <c r="H152" s="531">
        <v>0.02</v>
      </c>
      <c r="I152" s="531">
        <v>0.02</v>
      </c>
      <c r="J152" s="531">
        <v>0.02</v>
      </c>
      <c r="K152" s="531">
        <v>0.02</v>
      </c>
      <c r="L152" s="531">
        <v>0.02</v>
      </c>
      <c r="M152" s="531">
        <v>0.02</v>
      </c>
    </row>
    <row r="153" spans="2:13" ht="11.25">
      <c r="B153">
        <v>10</v>
      </c>
      <c r="C153">
        <v>205</v>
      </c>
      <c r="D153" t="s">
        <v>5269</v>
      </c>
      <c r="E153" s="103">
        <f>INDEX($G153:$M153,SUMIF(cbal!E$476:E$562,$B153,cbal!$D$476:$D$562)+1)</f>
        <v>0</v>
      </c>
      <c r="G153">
        <v>0</v>
      </c>
      <c r="H153" s="531">
        <v>0.02</v>
      </c>
      <c r="I153" s="531">
        <v>0.02</v>
      </c>
      <c r="J153" s="531">
        <v>0.02</v>
      </c>
      <c r="K153" s="531">
        <v>0.02</v>
      </c>
      <c r="L153" s="531">
        <v>0.02</v>
      </c>
      <c r="M153" s="531">
        <v>0.02</v>
      </c>
    </row>
    <row r="154" spans="2:13" ht="11.25">
      <c r="B154">
        <v>10</v>
      </c>
      <c r="C154">
        <v>328</v>
      </c>
      <c r="D154" t="s">
        <v>706</v>
      </c>
      <c r="E154" s="103">
        <f>INDEX($G154:$M154,SUMIF(cbal!E$476:E$562,$B154,cbal!$D$476:$D$562)+1)</f>
        <v>0</v>
      </c>
      <c r="G154">
        <v>0</v>
      </c>
      <c r="H154" s="531">
        <v>0.02</v>
      </c>
      <c r="I154" s="1064"/>
      <c r="J154" s="1064"/>
      <c r="K154" s="1064"/>
      <c r="L154" s="1064"/>
      <c r="M154" s="1064"/>
    </row>
    <row r="155" spans="2:13" ht="11.25">
      <c r="B155">
        <v>11</v>
      </c>
      <c r="C155" s="700" t="s">
        <v>4852</v>
      </c>
      <c r="D155" t="s">
        <v>4852</v>
      </c>
      <c r="E155" s="103"/>
      <c r="G155">
        <v>0</v>
      </c>
      <c r="H155" s="531"/>
      <c r="I155" s="531"/>
      <c r="J155" s="531"/>
      <c r="K155" s="531"/>
      <c r="L155" s="531"/>
      <c r="M155" s="531"/>
    </row>
    <row r="156" spans="2:13" ht="11.25">
      <c r="B156">
        <v>11</v>
      </c>
      <c r="C156">
        <v>155</v>
      </c>
      <c r="D156" t="s">
        <v>5272</v>
      </c>
      <c r="E156" s="103">
        <f>INDEX($G156:$M156,SUMIF(cbal!E$476:E$562,$B156,cbal!$D$476:$D$562)+1)</f>
        <v>0</v>
      </c>
      <c r="G156">
        <v>0</v>
      </c>
      <c r="H156" s="531">
        <v>-0.03</v>
      </c>
      <c r="I156" s="531">
        <v>-0.03</v>
      </c>
      <c r="J156" s="531">
        <v>-0.03</v>
      </c>
      <c r="K156" s="531">
        <v>-0.03</v>
      </c>
      <c r="L156" s="531">
        <v>-0.03</v>
      </c>
      <c r="M156" s="531">
        <v>-0.03</v>
      </c>
    </row>
    <row r="157" spans="2:13" ht="11.25">
      <c r="B157">
        <v>11</v>
      </c>
      <c r="C157">
        <v>177</v>
      </c>
      <c r="D157" t="s">
        <v>5273</v>
      </c>
      <c r="E157" s="103">
        <f>INDEX($G157:$M157,SUMIF(cbal!E$476:E$562,$B157,cbal!$D$476:$D$562)+1)</f>
        <v>0</v>
      </c>
      <c r="G157">
        <v>0</v>
      </c>
      <c r="H157" s="531">
        <v>-0.03</v>
      </c>
      <c r="I157" s="531">
        <v>-0.03</v>
      </c>
      <c r="J157" s="531">
        <v>-0.03</v>
      </c>
      <c r="K157" s="531">
        <v>-0.03</v>
      </c>
      <c r="L157" s="531">
        <v>-0.03</v>
      </c>
      <c r="M157" s="531">
        <v>-0.03</v>
      </c>
    </row>
    <row r="158" spans="2:13" ht="11.25">
      <c r="B158">
        <v>11</v>
      </c>
      <c r="C158">
        <v>199</v>
      </c>
      <c r="D158" t="s">
        <v>5274</v>
      </c>
      <c r="E158" s="103">
        <f>INDEX($G158:$M158,SUMIF(cbal!E$476:E$562,$B158,cbal!$D$476:$D$562)+1)</f>
        <v>0</v>
      </c>
      <c r="G158">
        <v>0</v>
      </c>
      <c r="H158" s="531">
        <v>-0.03</v>
      </c>
      <c r="I158" s="531">
        <v>-0.03</v>
      </c>
      <c r="J158" s="531">
        <v>-0.03</v>
      </c>
      <c r="K158" s="531">
        <v>-0.03</v>
      </c>
      <c r="L158" s="531">
        <v>-0.03</v>
      </c>
      <c r="M158" s="531">
        <v>-0.03</v>
      </c>
    </row>
    <row r="159" spans="2:13" ht="11.25">
      <c r="B159">
        <v>11</v>
      </c>
      <c r="C159">
        <v>161</v>
      </c>
      <c r="D159" t="s">
        <v>5267</v>
      </c>
      <c r="E159" s="103">
        <f>INDEX($G159:$M159,SUMIF(cbal!E$476:E$562,$B159,cbal!$D$476:$D$562)+1)</f>
        <v>0</v>
      </c>
      <c r="G159">
        <v>0</v>
      </c>
      <c r="H159" s="531">
        <v>0.03</v>
      </c>
      <c r="I159" s="531">
        <v>0.03</v>
      </c>
      <c r="J159" s="531">
        <v>0.03</v>
      </c>
      <c r="K159" s="531">
        <v>0.03</v>
      </c>
      <c r="L159" s="531">
        <v>0.03</v>
      </c>
      <c r="M159" s="531">
        <v>0.03</v>
      </c>
    </row>
    <row r="160" spans="2:13" ht="11.25">
      <c r="B160">
        <v>11</v>
      </c>
      <c r="C160">
        <v>183</v>
      </c>
      <c r="D160" t="s">
        <v>5268</v>
      </c>
      <c r="E160" s="103">
        <f>INDEX($G160:$M160,SUMIF(cbal!E$476:E$562,$B160,cbal!$D$476:$D$562)+1)</f>
        <v>0</v>
      </c>
      <c r="G160">
        <v>0</v>
      </c>
      <c r="H160" s="531">
        <v>0.03</v>
      </c>
      <c r="I160" s="531">
        <v>0.03</v>
      </c>
      <c r="J160" s="531">
        <v>0.03</v>
      </c>
      <c r="K160" s="531">
        <v>0.03</v>
      </c>
      <c r="L160" s="531">
        <v>0.03</v>
      </c>
      <c r="M160" s="531">
        <v>0.03</v>
      </c>
    </row>
    <row r="161" spans="2:13" ht="11.25">
      <c r="B161">
        <v>11</v>
      </c>
      <c r="C161">
        <v>329</v>
      </c>
      <c r="D161" t="s">
        <v>676</v>
      </c>
      <c r="E161" s="103">
        <f>INDEX($G161:$M161,SUMIF(cbal!E$476:E$562,$B161,cbal!$D$476:$D$562)+1)</f>
        <v>0</v>
      </c>
      <c r="G161">
        <v>0</v>
      </c>
      <c r="H161" s="1064">
        <f>250000/3</f>
        <v>83333.333333333328</v>
      </c>
      <c r="I161" s="1064"/>
      <c r="J161" s="1064"/>
      <c r="K161" s="1064"/>
      <c r="L161" s="1064"/>
      <c r="M161" s="1064"/>
    </row>
    <row r="162" spans="2:13" ht="11.25">
      <c r="B162">
        <v>11</v>
      </c>
      <c r="C162">
        <v>330</v>
      </c>
      <c r="D162" t="s">
        <v>4472</v>
      </c>
      <c r="E162" s="103">
        <f>INDEX($G162:$M162,SUMIF(cbal!E$476:E$562,$B162,cbal!$D$476:$D$562)+1)</f>
        <v>0</v>
      </c>
      <c r="G162">
        <v>0</v>
      </c>
      <c r="H162" s="1064">
        <f>250000/3</f>
        <v>83333.333333333328</v>
      </c>
      <c r="I162" s="1064"/>
      <c r="J162" s="1064"/>
      <c r="K162" s="1064"/>
      <c r="L162" s="1064"/>
      <c r="M162" s="1064"/>
    </row>
    <row r="163" spans="2:13" ht="11.25">
      <c r="B163">
        <v>11</v>
      </c>
      <c r="C163">
        <v>331</v>
      </c>
      <c r="D163" t="s">
        <v>4473</v>
      </c>
      <c r="E163" s="103">
        <f>INDEX($G163:$M163,SUMIF(cbal!E$476:E$562,$B163,cbal!$D$476:$D$562)+1)</f>
        <v>0</v>
      </c>
      <c r="G163">
        <v>0</v>
      </c>
      <c r="H163" s="1064">
        <f>250000/3</f>
        <v>83333.333333333328</v>
      </c>
      <c r="I163" s="1064"/>
      <c r="J163" s="1064"/>
      <c r="K163" s="1064"/>
      <c r="L163" s="1064"/>
      <c r="M163" s="1064"/>
    </row>
    <row r="164" spans="2:13" ht="11.25">
      <c r="B164">
        <v>12</v>
      </c>
      <c r="C164" s="700" t="s">
        <v>5230</v>
      </c>
      <c r="D164" t="s">
        <v>5230</v>
      </c>
      <c r="E164" s="103"/>
      <c r="G164">
        <v>0</v>
      </c>
      <c r="H164" s="531"/>
      <c r="I164" s="531"/>
      <c r="J164" s="531"/>
      <c r="K164" s="531"/>
      <c r="L164" s="531"/>
      <c r="M164" s="531"/>
    </row>
    <row r="165" spans="2:13" ht="11.25">
      <c r="B165">
        <v>12</v>
      </c>
      <c r="C165">
        <v>328</v>
      </c>
      <c r="D165" t="s">
        <v>706</v>
      </c>
      <c r="E165" s="103">
        <f>INDEX($G165:$M165,SUMIF(cbal!E$476:E$562,$B165,cbal!$D$476:$D$562)+1)</f>
        <v>0</v>
      </c>
      <c r="G165">
        <v>0</v>
      </c>
      <c r="H165" s="531">
        <v>0.03</v>
      </c>
      <c r="I165" s="531"/>
      <c r="J165" s="531"/>
      <c r="K165" s="531"/>
      <c r="L165" s="531"/>
      <c r="M165" s="531"/>
    </row>
    <row r="166" spans="2:13" ht="11.25">
      <c r="B166">
        <v>12</v>
      </c>
      <c r="C166">
        <v>155</v>
      </c>
      <c r="D166" t="s">
        <v>5272</v>
      </c>
      <c r="E166" s="103">
        <f>INDEX($G166:$M166,SUMIF(cbal!E$476:E$562,$B166,cbal!$D$476:$D$562)+1)</f>
        <v>0</v>
      </c>
      <c r="H166" s="531">
        <v>-0.03</v>
      </c>
      <c r="I166" s="531">
        <v>-0.03</v>
      </c>
      <c r="J166" s="531">
        <v>-0.03</v>
      </c>
      <c r="K166" s="531">
        <v>-0.03</v>
      </c>
      <c r="L166" s="531">
        <v>-0.03</v>
      </c>
      <c r="M166" s="531">
        <v>-0.03</v>
      </c>
    </row>
    <row r="167" spans="2:13" ht="11.25">
      <c r="B167">
        <v>12</v>
      </c>
      <c r="C167">
        <v>161</v>
      </c>
      <c r="D167" t="s">
        <v>5267</v>
      </c>
      <c r="E167" s="103">
        <f>INDEX($G167:$M167,SUMIF(cbal!E$476:E$562,$B167,cbal!$D$476:$D$562)+1)</f>
        <v>0</v>
      </c>
      <c r="G167">
        <v>0</v>
      </c>
      <c r="H167" s="531">
        <v>0.03</v>
      </c>
      <c r="I167" s="531">
        <v>0.03</v>
      </c>
      <c r="J167" s="531">
        <v>0.03</v>
      </c>
      <c r="K167" s="531">
        <v>0.03</v>
      </c>
      <c r="L167" s="531">
        <v>0.03</v>
      </c>
      <c r="M167" s="531">
        <v>0.03</v>
      </c>
    </row>
    <row r="168" spans="2:13" ht="11.25">
      <c r="B168">
        <v>12</v>
      </c>
      <c r="C168">
        <v>183</v>
      </c>
      <c r="D168" t="s">
        <v>5268</v>
      </c>
      <c r="E168" s="103">
        <f>INDEX($G168:$M168,SUMIF(cbal!E$476:E$562,$B168,cbal!$D$476:$D$562)+1)</f>
        <v>0</v>
      </c>
      <c r="G168">
        <v>0</v>
      </c>
      <c r="H168" s="531">
        <v>0.03</v>
      </c>
      <c r="I168" s="531">
        <v>0.03</v>
      </c>
      <c r="J168" s="531">
        <v>0.03</v>
      </c>
      <c r="K168" s="531">
        <v>0.03</v>
      </c>
      <c r="L168" s="531">
        <v>0.03</v>
      </c>
      <c r="M168" s="531">
        <v>0.03</v>
      </c>
    </row>
    <row r="169" spans="2:13" ht="11.25">
      <c r="B169">
        <v>12</v>
      </c>
      <c r="C169">
        <v>275</v>
      </c>
      <c r="D169" t="s">
        <v>5295</v>
      </c>
      <c r="E169" s="103">
        <f>INDEX($G169:$M169,SUMIF(cbal!E$476:E$562,$B169,cbal!$D$476:$D$562)+1)</f>
        <v>0</v>
      </c>
      <c r="G169">
        <v>0</v>
      </c>
      <c r="H169" s="531">
        <v>0.03</v>
      </c>
      <c r="I169" s="531">
        <v>0.03</v>
      </c>
      <c r="J169" s="531">
        <v>0.03</v>
      </c>
      <c r="K169" s="531">
        <v>0.03</v>
      </c>
      <c r="L169" s="531">
        <v>0.03</v>
      </c>
      <c r="M169" s="531">
        <v>0.03</v>
      </c>
    </row>
    <row r="170" spans="2:13" ht="11.25">
      <c r="B170">
        <v>12</v>
      </c>
      <c r="C170">
        <v>329</v>
      </c>
      <c r="D170" t="s">
        <v>676</v>
      </c>
      <c r="E170" s="103">
        <f>INDEX($G170:$M170,SUMIF(cbal!E$476:E$562,$B170,cbal!$D$476:$D$562)+1)</f>
        <v>0</v>
      </c>
      <c r="G170">
        <v>0</v>
      </c>
      <c r="H170" s="1064">
        <f t="shared" ref="H170:M172" si="10">1000000/3</f>
        <v>333333.33333333331</v>
      </c>
      <c r="I170" s="1064">
        <f t="shared" si="10"/>
        <v>333333.33333333331</v>
      </c>
      <c r="J170" s="1064">
        <f t="shared" si="10"/>
        <v>333333.33333333331</v>
      </c>
      <c r="K170" s="1064">
        <f t="shared" si="10"/>
        <v>333333.33333333331</v>
      </c>
      <c r="L170" s="1064">
        <f t="shared" si="10"/>
        <v>333333.33333333331</v>
      </c>
      <c r="M170" s="1064">
        <f t="shared" si="10"/>
        <v>333333.33333333331</v>
      </c>
    </row>
    <row r="171" spans="2:13" ht="11.25">
      <c r="B171">
        <v>12</v>
      </c>
      <c r="C171">
        <v>330</v>
      </c>
      <c r="D171" t="s">
        <v>4472</v>
      </c>
      <c r="E171" s="103">
        <f>INDEX($G171:$M171,SUMIF(cbal!E$476:E$562,$B171,cbal!$D$476:$D$562)+1)</f>
        <v>0</v>
      </c>
      <c r="G171">
        <v>0</v>
      </c>
      <c r="H171" s="1064">
        <f t="shared" si="10"/>
        <v>333333.33333333331</v>
      </c>
      <c r="I171" s="1064">
        <f t="shared" si="10"/>
        <v>333333.33333333331</v>
      </c>
      <c r="J171" s="1064">
        <f t="shared" si="10"/>
        <v>333333.33333333331</v>
      </c>
      <c r="K171" s="1064">
        <f t="shared" si="10"/>
        <v>333333.33333333331</v>
      </c>
      <c r="L171" s="1064">
        <f t="shared" si="10"/>
        <v>333333.33333333331</v>
      </c>
      <c r="M171" s="1064">
        <f t="shared" si="10"/>
        <v>333333.33333333331</v>
      </c>
    </row>
    <row r="172" spans="2:13" ht="11.25">
      <c r="B172">
        <v>12</v>
      </c>
      <c r="C172">
        <v>331</v>
      </c>
      <c r="D172" t="s">
        <v>4473</v>
      </c>
      <c r="E172" s="103">
        <f>INDEX($G172:$M172,SUMIF(cbal!E$476:E$562,$B172,cbal!$D$476:$D$562)+1)</f>
        <v>0</v>
      </c>
      <c r="G172">
        <v>0</v>
      </c>
      <c r="H172" s="1064">
        <f t="shared" si="10"/>
        <v>333333.33333333331</v>
      </c>
      <c r="I172" s="1064">
        <f t="shared" si="10"/>
        <v>333333.33333333331</v>
      </c>
      <c r="J172" s="1064">
        <f t="shared" si="10"/>
        <v>333333.33333333331</v>
      </c>
      <c r="K172" s="1064">
        <f t="shared" si="10"/>
        <v>333333.33333333331</v>
      </c>
      <c r="L172" s="1064">
        <f t="shared" si="10"/>
        <v>333333.33333333331</v>
      </c>
      <c r="M172" s="1064">
        <f t="shared" si="10"/>
        <v>333333.33333333331</v>
      </c>
    </row>
    <row r="173" spans="2:13" ht="11.25">
      <c r="B173">
        <v>13</v>
      </c>
      <c r="C173" s="700" t="s">
        <v>4853</v>
      </c>
      <c r="D173" s="700" t="s">
        <v>5680</v>
      </c>
      <c r="E173" s="103"/>
      <c r="G173">
        <v>0</v>
      </c>
      <c r="H173" s="531"/>
      <c r="I173" s="531"/>
      <c r="J173" s="531"/>
      <c r="K173" s="531"/>
      <c r="L173" s="531"/>
      <c r="M173" s="531"/>
    </row>
    <row r="174" spans="2:13" ht="11.25">
      <c r="B174">
        <v>13</v>
      </c>
      <c r="C174">
        <v>379</v>
      </c>
      <c r="D174" t="s">
        <v>364</v>
      </c>
      <c r="E174" s="103">
        <f>INDEX($G174:$M174,SUMIF(cbal!E$476:E$562,$B174,cbal!$D$476:$D$562)+1)</f>
        <v>0</v>
      </c>
      <c r="G174">
        <v>0</v>
      </c>
      <c r="H174" s="531">
        <v>0.03</v>
      </c>
      <c r="I174" s="531"/>
      <c r="J174" s="531"/>
      <c r="K174" s="531"/>
      <c r="L174" s="531"/>
      <c r="M174" s="531"/>
    </row>
    <row r="175" spans="2:13" ht="11.25">
      <c r="B175">
        <v>13</v>
      </c>
      <c r="C175">
        <v>161</v>
      </c>
      <c r="D175" t="s">
        <v>5267</v>
      </c>
      <c r="E175" s="103">
        <f>INDEX($G175:$M175,SUMIF(cbal!E$476:E$562,$B175,cbal!$D$476:$D$562)+1)</f>
        <v>0</v>
      </c>
      <c r="G175">
        <v>0</v>
      </c>
      <c r="H175" s="531">
        <v>0.03</v>
      </c>
      <c r="I175" s="531">
        <v>0.03</v>
      </c>
      <c r="J175" s="531">
        <v>0.03</v>
      </c>
      <c r="K175" s="531">
        <v>0.03</v>
      </c>
      <c r="L175" s="531">
        <v>0.03</v>
      </c>
      <c r="M175" s="531">
        <v>0.03</v>
      </c>
    </row>
    <row r="176" spans="2:13" ht="11.25">
      <c r="B176">
        <v>13</v>
      </c>
      <c r="C176">
        <v>183</v>
      </c>
      <c r="D176" t="s">
        <v>5268</v>
      </c>
      <c r="E176" s="103">
        <f>INDEX($G176:$M176,SUMIF(cbal!E$476:E$562,$B176,cbal!$D$476:$D$562)+1)</f>
        <v>0</v>
      </c>
      <c r="G176">
        <v>0</v>
      </c>
      <c r="H176" s="531">
        <v>0.03</v>
      </c>
      <c r="I176" s="531">
        <v>0.03</v>
      </c>
      <c r="J176" s="531">
        <v>0.03</v>
      </c>
      <c r="K176" s="531">
        <v>0.03</v>
      </c>
      <c r="L176" s="531">
        <v>0.03</v>
      </c>
      <c r="M176" s="531">
        <v>0.03</v>
      </c>
    </row>
    <row r="177" spans="2:13" ht="11.25">
      <c r="B177">
        <v>13</v>
      </c>
      <c r="C177">
        <v>10</v>
      </c>
      <c r="D177" t="s">
        <v>5296</v>
      </c>
      <c r="E177" s="103">
        <f>INDEX($G177:$M177,SUMIF(cbal!E$476:E$562,$B177,cbal!$D$476:$D$562)+1)</f>
        <v>0</v>
      </c>
      <c r="G177">
        <v>0</v>
      </c>
      <c r="H177" s="531">
        <v>0.1</v>
      </c>
      <c r="I177" s="531">
        <v>0.1</v>
      </c>
      <c r="J177" s="531">
        <v>0.1</v>
      </c>
      <c r="K177" s="531">
        <v>0.1</v>
      </c>
      <c r="L177" s="531">
        <v>0.1</v>
      </c>
      <c r="M177" s="531">
        <v>0.1</v>
      </c>
    </row>
    <row r="178" spans="2:13" ht="11.25">
      <c r="B178">
        <v>14</v>
      </c>
      <c r="C178" s="700" t="s">
        <v>5143</v>
      </c>
      <c r="D178" t="s">
        <v>5143</v>
      </c>
      <c r="E178" s="103"/>
      <c r="G178">
        <v>0</v>
      </c>
      <c r="H178" s="531"/>
      <c r="I178" s="531"/>
      <c r="J178" s="531"/>
      <c r="K178" s="531"/>
      <c r="L178" s="531"/>
      <c r="M178" s="531"/>
    </row>
    <row r="179" spans="2:13" ht="11.25">
      <c r="B179">
        <v>14</v>
      </c>
      <c r="C179">
        <v>328</v>
      </c>
      <c r="D179" t="s">
        <v>706</v>
      </c>
      <c r="E179" s="103">
        <f>INDEX($G179:$M179,SUMIF(cbal!E$476:E$562,$B179,cbal!$D$476:$D$562)+1)</f>
        <v>0</v>
      </c>
      <c r="G179">
        <v>0</v>
      </c>
      <c r="H179" s="563">
        <v>1.4999999999999999E-2</v>
      </c>
      <c r="I179" s="563"/>
      <c r="J179" s="563"/>
      <c r="K179" s="563"/>
      <c r="L179" s="563"/>
      <c r="M179" s="563"/>
    </row>
    <row r="180" spans="2:13" ht="11.25">
      <c r="B180">
        <v>14</v>
      </c>
      <c r="C180">
        <v>354</v>
      </c>
      <c r="D180" t="s">
        <v>2250</v>
      </c>
      <c r="E180" s="103">
        <f>INDEX($G180:$M180,SUMIF(cbal!E$476:E$562,$B180,cbal!$D$476:$D$562)+1)</f>
        <v>0</v>
      </c>
      <c r="G180">
        <v>0</v>
      </c>
      <c r="H180" s="532">
        <v>500</v>
      </c>
      <c r="I180" s="532">
        <v>500</v>
      </c>
      <c r="J180" s="532">
        <v>500</v>
      </c>
      <c r="K180" s="532">
        <v>500</v>
      </c>
      <c r="L180" s="532">
        <v>500</v>
      </c>
      <c r="M180" s="532">
        <v>500</v>
      </c>
    </row>
    <row r="181" spans="2:13" ht="11.25">
      <c r="B181">
        <v>14</v>
      </c>
      <c r="C181">
        <v>329</v>
      </c>
      <c r="D181" t="s">
        <v>676</v>
      </c>
      <c r="E181" s="103">
        <f>INDEX($G181:$M181,SUMIF(cbal!E$476:E$562,$B181,cbal!$D$476:$D$562)+1)</f>
        <v>0</v>
      </c>
      <c r="G181">
        <v>0</v>
      </c>
      <c r="H181" s="1064">
        <v>333333.33333333331</v>
      </c>
      <c r="I181" s="1064">
        <v>166666.66666666666</v>
      </c>
      <c r="J181" s="1064">
        <v>166666.66666666666</v>
      </c>
      <c r="K181" s="1064">
        <v>166666.66666666666</v>
      </c>
      <c r="L181" s="1064">
        <v>166666.66666666666</v>
      </c>
      <c r="M181" s="1064">
        <v>166666.66666666666</v>
      </c>
    </row>
    <row r="182" spans="2:13" ht="11.25">
      <c r="B182">
        <v>14</v>
      </c>
      <c r="C182">
        <v>330</v>
      </c>
      <c r="D182" t="s">
        <v>4472</v>
      </c>
      <c r="E182" s="103">
        <f>INDEX($G182:$M182,SUMIF(cbal!E$476:E$562,$B182,cbal!$D$476:$D$562)+1)</f>
        <v>0</v>
      </c>
      <c r="G182">
        <v>0</v>
      </c>
      <c r="H182" s="1064">
        <v>333333.33333333331</v>
      </c>
      <c r="I182" s="1064">
        <v>166666.66666666666</v>
      </c>
      <c r="J182" s="1064">
        <v>166666.66666666666</v>
      </c>
      <c r="K182" s="1064">
        <v>166666.66666666666</v>
      </c>
      <c r="L182" s="1064">
        <v>166666.66666666666</v>
      </c>
      <c r="M182" s="1064">
        <v>166666.66666666666</v>
      </c>
    </row>
    <row r="183" spans="2:13" ht="11.25">
      <c r="B183">
        <v>14</v>
      </c>
      <c r="C183">
        <v>331</v>
      </c>
      <c r="D183" t="s">
        <v>4473</v>
      </c>
      <c r="E183" s="103">
        <f>INDEX($G183:$M183,SUMIF(cbal!E$476:E$562,$B183,cbal!$D$476:$D$562)+1)</f>
        <v>0</v>
      </c>
      <c r="G183">
        <v>0</v>
      </c>
      <c r="H183" s="1064">
        <v>333333.33333333331</v>
      </c>
      <c r="I183" s="1064">
        <v>166666.66666666666</v>
      </c>
      <c r="J183" s="1064">
        <v>166666.66666666666</v>
      </c>
      <c r="K183" s="1064">
        <v>166666.66666666666</v>
      </c>
      <c r="L183" s="1064">
        <v>166666.66666666666</v>
      </c>
      <c r="M183" s="1064">
        <v>166666.66666666666</v>
      </c>
    </row>
    <row r="184" spans="2:13" ht="11.25">
      <c r="B184">
        <v>15</v>
      </c>
      <c r="C184" s="700" t="s">
        <v>5229</v>
      </c>
      <c r="D184" t="s">
        <v>5229</v>
      </c>
      <c r="E184" s="103"/>
      <c r="G184">
        <v>0</v>
      </c>
      <c r="H184" s="531"/>
      <c r="I184" s="531"/>
      <c r="J184" s="531"/>
      <c r="K184" s="531"/>
      <c r="L184" s="531"/>
      <c r="M184" s="531"/>
    </row>
    <row r="185" spans="2:13" ht="11.25">
      <c r="B185">
        <v>15</v>
      </c>
      <c r="C185">
        <v>328</v>
      </c>
      <c r="D185" t="s">
        <v>706</v>
      </c>
      <c r="E185" s="103">
        <f>INDEX($G185:$M185,SUMIF(cbal!E$476:E$562,$B185,cbal!$D$476:$D$562)+1)</f>
        <v>0</v>
      </c>
      <c r="G185">
        <v>0</v>
      </c>
      <c r="H185" s="563">
        <v>1.4999999999999999E-2</v>
      </c>
      <c r="I185" s="563"/>
      <c r="J185" s="563"/>
      <c r="K185" s="563"/>
      <c r="L185" s="563"/>
      <c r="M185" s="563"/>
    </row>
    <row r="186" spans="2:13" ht="11.25">
      <c r="B186">
        <v>15</v>
      </c>
      <c r="C186">
        <v>354</v>
      </c>
      <c r="D186" t="s">
        <v>2250</v>
      </c>
      <c r="E186" s="103">
        <f>INDEX($G186:$M186,SUMIF(cbal!E$476:E$562,$B186,cbal!$D$476:$D$562)+1)</f>
        <v>0</v>
      </c>
      <c r="G186">
        <v>0</v>
      </c>
      <c r="H186" s="532">
        <v>1000</v>
      </c>
      <c r="I186" s="532">
        <v>1000</v>
      </c>
      <c r="J186" s="532">
        <v>1000</v>
      </c>
      <c r="K186" s="532">
        <v>1000</v>
      </c>
      <c r="L186" s="532">
        <v>1000</v>
      </c>
      <c r="M186" s="532">
        <v>1000</v>
      </c>
    </row>
    <row r="187" spans="2:13" ht="11.25">
      <c r="B187">
        <v>15</v>
      </c>
      <c r="C187">
        <v>353</v>
      </c>
      <c r="D187" t="s">
        <v>2249</v>
      </c>
      <c r="E187" s="103">
        <f>INDEX($G187:$M187,SUMIF(cbal!E$476:E$562,$B187,cbal!$D$476:$D$562)+1)</f>
        <v>0</v>
      </c>
      <c r="G187">
        <v>0</v>
      </c>
      <c r="H187" s="532">
        <v>1000</v>
      </c>
      <c r="I187" s="532">
        <v>1000</v>
      </c>
      <c r="J187" s="532">
        <v>1000</v>
      </c>
      <c r="K187" s="532">
        <v>1000</v>
      </c>
      <c r="L187" s="532">
        <v>1000</v>
      </c>
      <c r="M187" s="532">
        <v>1000</v>
      </c>
    </row>
    <row r="188" spans="2:13" ht="11.25">
      <c r="B188">
        <v>15</v>
      </c>
      <c r="C188">
        <v>329</v>
      </c>
      <c r="D188" t="s">
        <v>676</v>
      </c>
      <c r="E188" s="103">
        <f>INDEX($G188:$M188,SUMIF(cbal!E$476:E$562,$B188,cbal!$D$476:$D$562)+1)</f>
        <v>0</v>
      </c>
      <c r="G188">
        <v>0</v>
      </c>
      <c r="H188" s="1064">
        <v>166666.66666666666</v>
      </c>
      <c r="I188" s="1064">
        <v>50000</v>
      </c>
      <c r="J188" s="1064">
        <f t="shared" ref="I188:M190" si="11">150000/3</f>
        <v>50000</v>
      </c>
      <c r="K188" s="1064">
        <f t="shared" si="11"/>
        <v>50000</v>
      </c>
      <c r="L188" s="1064">
        <f t="shared" si="11"/>
        <v>50000</v>
      </c>
      <c r="M188" s="1064">
        <f t="shared" si="11"/>
        <v>50000</v>
      </c>
    </row>
    <row r="189" spans="2:13" ht="11.25">
      <c r="B189">
        <v>15</v>
      </c>
      <c r="C189">
        <v>330</v>
      </c>
      <c r="D189" t="s">
        <v>4472</v>
      </c>
      <c r="E189" s="103">
        <f>INDEX($G189:$M189,SUMIF(cbal!E$476:E$562,$B189,cbal!$D$476:$D$562)+1)</f>
        <v>0</v>
      </c>
      <c r="G189">
        <v>0</v>
      </c>
      <c r="H189" s="1064">
        <v>166666.66666666666</v>
      </c>
      <c r="I189" s="1064">
        <f t="shared" si="11"/>
        <v>50000</v>
      </c>
      <c r="J189" s="1064">
        <f t="shared" si="11"/>
        <v>50000</v>
      </c>
      <c r="K189" s="1064">
        <f t="shared" si="11"/>
        <v>50000</v>
      </c>
      <c r="L189" s="1064">
        <f t="shared" si="11"/>
        <v>50000</v>
      </c>
      <c r="M189" s="1064">
        <f t="shared" si="11"/>
        <v>50000</v>
      </c>
    </row>
    <row r="190" spans="2:13" ht="11.25">
      <c r="B190">
        <v>15</v>
      </c>
      <c r="C190">
        <v>331</v>
      </c>
      <c r="D190" t="s">
        <v>4473</v>
      </c>
      <c r="E190" s="103">
        <f>INDEX($G190:$M190,SUMIF(cbal!E$476:E$562,$B190,cbal!$D$476:$D$562)+1)</f>
        <v>0</v>
      </c>
      <c r="G190">
        <v>0</v>
      </c>
      <c r="H190" s="1064">
        <v>166666.66666666666</v>
      </c>
      <c r="I190" s="1064">
        <f t="shared" si="11"/>
        <v>50000</v>
      </c>
      <c r="J190" s="1064">
        <f t="shared" si="11"/>
        <v>50000</v>
      </c>
      <c r="K190" s="1064">
        <f t="shared" si="11"/>
        <v>50000</v>
      </c>
      <c r="L190" s="1064">
        <f t="shared" si="11"/>
        <v>50000</v>
      </c>
      <c r="M190" s="1064">
        <f t="shared" si="11"/>
        <v>50000</v>
      </c>
    </row>
    <row r="191" spans="2:13" ht="11.25">
      <c r="B191">
        <v>16</v>
      </c>
      <c r="C191" s="700" t="s">
        <v>5233</v>
      </c>
      <c r="D191" t="s">
        <v>5233</v>
      </c>
      <c r="E191" s="103"/>
      <c r="G191">
        <v>0</v>
      </c>
      <c r="H191" s="531"/>
      <c r="I191" s="531"/>
      <c r="J191" s="531"/>
      <c r="K191" s="531"/>
      <c r="L191" s="531"/>
      <c r="M191" s="531"/>
    </row>
    <row r="192" spans="2:13" ht="11.25">
      <c r="B192">
        <v>16</v>
      </c>
      <c r="C192">
        <v>328</v>
      </c>
      <c r="D192" t="s">
        <v>706</v>
      </c>
      <c r="E192" s="103">
        <f>INDEX($G192:$M192,SUMIF(cbal!E$476:E$562,$B192,cbal!$D$476:$D$562)+1)</f>
        <v>0</v>
      </c>
      <c r="G192">
        <v>0</v>
      </c>
      <c r="H192" s="563">
        <v>1.4999999999999999E-2</v>
      </c>
      <c r="I192" s="563"/>
      <c r="J192" s="563"/>
      <c r="K192" s="563"/>
      <c r="L192" s="563"/>
      <c r="M192" s="563"/>
    </row>
    <row r="193" spans="1:13" ht="11.25">
      <c r="B193">
        <v>16</v>
      </c>
      <c r="C193">
        <v>379</v>
      </c>
      <c r="D193" t="s">
        <v>364</v>
      </c>
      <c r="E193" s="103">
        <f>INDEX($G193:$M193,SUMIF(cbal!E$476:E$562,$B193,cbal!$D$476:$D$562)+1)</f>
        <v>0</v>
      </c>
      <c r="G193">
        <v>0</v>
      </c>
      <c r="H193" s="1067">
        <v>0.03</v>
      </c>
      <c r="I193" s="1067"/>
      <c r="J193" s="1067"/>
      <c r="K193" s="1067"/>
      <c r="L193" s="1067"/>
      <c r="M193" s="1067"/>
    </row>
    <row r="194" spans="1:13" ht="11.25">
      <c r="B194">
        <v>16</v>
      </c>
      <c r="C194">
        <v>383</v>
      </c>
      <c r="D194" t="s">
        <v>5144</v>
      </c>
      <c r="E194" s="103">
        <f>INDEX($G194:$M194,SUMIF(cbal!E$476:E$562,$B194,cbal!$D$476:$D$562)+1)</f>
        <v>0</v>
      </c>
      <c r="G194">
        <v>0</v>
      </c>
      <c r="H194" s="1155">
        <v>1</v>
      </c>
      <c r="I194" s="1067"/>
      <c r="J194" s="1067"/>
      <c r="K194" s="1067"/>
      <c r="L194" s="1067"/>
      <c r="M194" s="1067"/>
    </row>
    <row r="195" spans="1:13" ht="11.25">
      <c r="B195">
        <v>16</v>
      </c>
      <c r="C195">
        <v>354</v>
      </c>
      <c r="D195" t="s">
        <v>2250</v>
      </c>
      <c r="E195" s="103">
        <f>INDEX($G195:$M195,SUMIF(cbal!E$476:E$562,$B195,cbal!$D$476:$D$562)+1)</f>
        <v>0</v>
      </c>
      <c r="G195">
        <v>0</v>
      </c>
      <c r="H195" s="532">
        <v>6000</v>
      </c>
      <c r="I195" s="532">
        <v>6000</v>
      </c>
      <c r="J195" s="532">
        <v>6000</v>
      </c>
      <c r="K195" s="532">
        <v>6000</v>
      </c>
      <c r="L195" s="532">
        <v>6000</v>
      </c>
      <c r="M195" s="532">
        <v>6000</v>
      </c>
    </row>
    <row r="196" spans="1:13" ht="11.25">
      <c r="B196">
        <v>16</v>
      </c>
      <c r="C196">
        <v>329</v>
      </c>
      <c r="D196" t="s">
        <v>676</v>
      </c>
      <c r="E196" s="103">
        <f>INDEX($G196:$M196,SUMIF(cbal!E$476:E$562,$B196,cbal!$D$476:$D$562)+1)</f>
        <v>0</v>
      </c>
      <c r="G196">
        <v>0</v>
      </c>
      <c r="H196" s="1064">
        <f>500000/3</f>
        <v>166666.66666666666</v>
      </c>
      <c r="I196" s="1064">
        <f t="shared" ref="I196:M198" si="12">500000/3</f>
        <v>166666.66666666666</v>
      </c>
      <c r="J196" s="1064">
        <f t="shared" si="12"/>
        <v>166666.66666666666</v>
      </c>
      <c r="K196" s="1064">
        <f t="shared" si="12"/>
        <v>166666.66666666666</v>
      </c>
      <c r="L196" s="1064">
        <f t="shared" si="12"/>
        <v>166666.66666666666</v>
      </c>
      <c r="M196" s="1064">
        <f t="shared" si="12"/>
        <v>166666.66666666666</v>
      </c>
    </row>
    <row r="197" spans="1:13" ht="11.25">
      <c r="B197">
        <v>16</v>
      </c>
      <c r="C197">
        <v>330</v>
      </c>
      <c r="D197" t="s">
        <v>4472</v>
      </c>
      <c r="E197" s="103">
        <f>INDEX($G197:$M197,SUMIF(cbal!E$476:E$562,$B197,cbal!$D$476:$D$562)+1)</f>
        <v>0</v>
      </c>
      <c r="G197">
        <v>0</v>
      </c>
      <c r="H197" s="1064">
        <f>500000/3</f>
        <v>166666.66666666666</v>
      </c>
      <c r="I197" s="1064">
        <f t="shared" si="12"/>
        <v>166666.66666666666</v>
      </c>
      <c r="J197" s="1064">
        <f t="shared" si="12"/>
        <v>166666.66666666666</v>
      </c>
      <c r="K197" s="1064">
        <f t="shared" si="12"/>
        <v>166666.66666666666</v>
      </c>
      <c r="L197" s="1064">
        <f t="shared" si="12"/>
        <v>166666.66666666666</v>
      </c>
      <c r="M197" s="1064">
        <f t="shared" si="12"/>
        <v>166666.66666666666</v>
      </c>
    </row>
    <row r="198" spans="1:13" ht="11.25">
      <c r="B198">
        <v>16</v>
      </c>
      <c r="C198">
        <v>331</v>
      </c>
      <c r="D198" t="s">
        <v>4473</v>
      </c>
      <c r="E198" s="103">
        <f>INDEX($G198:$M198,SUMIF(cbal!E$476:E$562,$B198,cbal!$D$476:$D$562)+1)</f>
        <v>0</v>
      </c>
      <c r="G198">
        <v>0</v>
      </c>
      <c r="H198" s="1064">
        <f>500000/3</f>
        <v>166666.66666666666</v>
      </c>
      <c r="I198" s="1064">
        <f t="shared" si="12"/>
        <v>166666.66666666666</v>
      </c>
      <c r="J198" s="1064">
        <f t="shared" si="12"/>
        <v>166666.66666666666</v>
      </c>
      <c r="K198" s="1064">
        <f t="shared" si="12"/>
        <v>166666.66666666666</v>
      </c>
      <c r="L198" s="1064">
        <f t="shared" si="12"/>
        <v>166666.66666666666</v>
      </c>
      <c r="M198" s="1064">
        <f t="shared" si="12"/>
        <v>166666.66666666666</v>
      </c>
    </row>
    <row r="199" spans="1:13" ht="11.25">
      <c r="E199" s="103"/>
      <c r="H199" s="1064"/>
      <c r="I199" s="1064"/>
      <c r="J199" s="1064"/>
      <c r="K199" s="1064"/>
      <c r="L199" s="1064"/>
      <c r="M199" s="1064"/>
    </row>
    <row r="200" spans="1:13" ht="11.25">
      <c r="A200" s="2" t="s">
        <v>2803</v>
      </c>
      <c r="E200" s="103"/>
      <c r="H200" s="530"/>
      <c r="I200" s="530"/>
      <c r="J200" s="530"/>
      <c r="K200" s="530"/>
      <c r="L200" s="530"/>
      <c r="M200" s="530"/>
    </row>
    <row r="201" spans="1:13" ht="11.25">
      <c r="B201">
        <v>101</v>
      </c>
      <c r="C201" t="s">
        <v>5150</v>
      </c>
      <c r="D201" s="700" t="s">
        <v>6304</v>
      </c>
      <c r="E201" s="103"/>
      <c r="G201">
        <v>0</v>
      </c>
      <c r="H201" s="530"/>
      <c r="I201" s="530"/>
      <c r="J201" s="530"/>
      <c r="K201" s="530"/>
      <c r="L201" s="530"/>
      <c r="M201" s="530"/>
    </row>
    <row r="202" spans="1:13" ht="11.25">
      <c r="B202">
        <v>101</v>
      </c>
      <c r="C202">
        <v>205</v>
      </c>
      <c r="D202" t="s">
        <v>5269</v>
      </c>
      <c r="E202" s="103">
        <f>INDEX($G202:$M202,SUMIF(cbal!E$476:E$562,$B202,cbal!$D$476:$D$562)+1)</f>
        <v>0</v>
      </c>
      <c r="G202">
        <v>0</v>
      </c>
      <c r="H202" s="1068">
        <v>0.02</v>
      </c>
      <c r="I202" s="1068">
        <v>0.02</v>
      </c>
      <c r="J202" s="1068">
        <v>0.02</v>
      </c>
      <c r="K202" s="1068">
        <v>0.02</v>
      </c>
      <c r="L202" s="1068">
        <v>0.02</v>
      </c>
      <c r="M202" s="1068">
        <v>0.02</v>
      </c>
    </row>
    <row r="203" spans="1:13" ht="11.25">
      <c r="B203">
        <v>101</v>
      </c>
      <c r="C203">
        <v>328</v>
      </c>
      <c r="D203" t="s">
        <v>706</v>
      </c>
      <c r="E203" s="103">
        <f>INDEX($G203:$M203,SUMIF(cbal!E$476:E$562,$B203,cbal!$D$476:$D$562)+1)</f>
        <v>0</v>
      </c>
      <c r="G203">
        <v>0</v>
      </c>
      <c r="H203" s="1068">
        <v>0.02</v>
      </c>
      <c r="I203" s="532"/>
      <c r="J203" s="530"/>
      <c r="K203" s="530"/>
      <c r="L203" s="530"/>
      <c r="M203" s="530"/>
    </row>
    <row r="204" spans="1:13" ht="11.25">
      <c r="B204">
        <v>102</v>
      </c>
      <c r="C204" s="700" t="s">
        <v>5151</v>
      </c>
      <c r="D204" s="700" t="s">
        <v>6305</v>
      </c>
      <c r="E204" s="103"/>
      <c r="G204">
        <v>0</v>
      </c>
      <c r="H204" s="530"/>
      <c r="I204" s="530"/>
      <c r="J204" s="530"/>
      <c r="K204" s="530"/>
      <c r="L204" s="530"/>
      <c r="M204" s="530"/>
    </row>
    <row r="205" spans="1:13" ht="11.25">
      <c r="B205">
        <v>102</v>
      </c>
      <c r="C205">
        <v>205</v>
      </c>
      <c r="D205" t="s">
        <v>5269</v>
      </c>
      <c r="E205" s="103">
        <f>INDEX($G205:$M205,SUMIF(cbal!E$476:E$562,$B205,cbal!$D$476:$D$562)+1)</f>
        <v>0</v>
      </c>
      <c r="G205">
        <v>0</v>
      </c>
      <c r="H205" s="1068">
        <v>-0.02</v>
      </c>
      <c r="I205" s="1068">
        <v>-0.02</v>
      </c>
      <c r="J205" s="1068">
        <v>-0.02</v>
      </c>
      <c r="K205" s="1068">
        <v>-0.02</v>
      </c>
      <c r="L205" s="1068">
        <v>-0.02</v>
      </c>
      <c r="M205" s="1068">
        <v>-0.02</v>
      </c>
    </row>
    <row r="206" spans="1:13" ht="11.25">
      <c r="B206">
        <v>102</v>
      </c>
      <c r="C206">
        <v>328</v>
      </c>
      <c r="D206" t="s">
        <v>706</v>
      </c>
      <c r="E206" s="103">
        <f>INDEX($G206:$M206,SUMIF(cbal!E$476:E$562,$B206,cbal!$D$476:$D$562)+1)</f>
        <v>0</v>
      </c>
      <c r="G206">
        <v>0</v>
      </c>
      <c r="H206" s="1068">
        <v>-0.02</v>
      </c>
      <c r="I206" s="532"/>
      <c r="J206" s="530"/>
      <c r="K206" s="530"/>
      <c r="L206" s="530"/>
      <c r="M206" s="530"/>
    </row>
    <row r="207" spans="1:13" ht="11.25">
      <c r="B207">
        <v>103</v>
      </c>
      <c r="C207" s="700" t="s">
        <v>5152</v>
      </c>
      <c r="D207" s="700" t="s">
        <v>6306</v>
      </c>
      <c r="E207" s="103"/>
      <c r="G207">
        <v>0</v>
      </c>
      <c r="H207" s="530"/>
      <c r="I207" s="530"/>
      <c r="J207" s="530"/>
      <c r="K207" s="530"/>
      <c r="L207" s="530"/>
      <c r="M207" s="530"/>
    </row>
    <row r="208" spans="1:13" ht="11.25">
      <c r="B208">
        <v>103</v>
      </c>
      <c r="C208">
        <v>205</v>
      </c>
      <c r="D208" t="s">
        <v>5269</v>
      </c>
      <c r="E208" s="103">
        <f>INDEX($G208:$M208,SUMIF(cbal!E$476:E$562,$B208,cbal!$D$476:$D$562)+1)</f>
        <v>0</v>
      </c>
      <c r="G208">
        <v>0</v>
      </c>
      <c r="H208" s="1068">
        <v>-0.02</v>
      </c>
      <c r="I208" s="1068">
        <v>-0.02</v>
      </c>
      <c r="J208" s="1068">
        <v>-0.02</v>
      </c>
      <c r="K208" s="1068">
        <v>-0.02</v>
      </c>
      <c r="L208" s="1068">
        <v>-0.02</v>
      </c>
      <c r="M208" s="1068">
        <v>-0.02</v>
      </c>
    </row>
    <row r="209" spans="2:13" ht="11.25">
      <c r="B209">
        <v>103</v>
      </c>
      <c r="C209">
        <v>328</v>
      </c>
      <c r="D209" t="s">
        <v>706</v>
      </c>
      <c r="E209" s="103">
        <f>INDEX($G209:$M209,SUMIF(cbal!E$476:E$562,$B209,cbal!$D$476:$D$562)+1)</f>
        <v>0</v>
      </c>
      <c r="G209">
        <v>0</v>
      </c>
      <c r="H209" s="1068">
        <v>-0.02</v>
      </c>
      <c r="I209" s="532"/>
      <c r="J209" s="530"/>
      <c r="K209" s="530"/>
      <c r="L209" s="530"/>
      <c r="M209" s="530"/>
    </row>
    <row r="210" spans="2:13" ht="11.25">
      <c r="B210">
        <v>104</v>
      </c>
      <c r="C210" s="700" t="s">
        <v>5153</v>
      </c>
      <c r="D210" s="700" t="s">
        <v>6307</v>
      </c>
      <c r="E210" s="103"/>
      <c r="G210">
        <v>0</v>
      </c>
      <c r="H210" s="530"/>
      <c r="I210" s="530"/>
      <c r="J210" s="530"/>
      <c r="K210" s="530"/>
      <c r="L210" s="530"/>
      <c r="M210" s="530"/>
    </row>
    <row r="211" spans="2:13" ht="11.25">
      <c r="B211">
        <v>104</v>
      </c>
      <c r="C211">
        <v>205</v>
      </c>
      <c r="D211" t="s">
        <v>5269</v>
      </c>
      <c r="E211" s="103">
        <f>INDEX($G211:$M211,SUMIF(cbal!E$476:E$562,$B211,cbal!$D$476:$D$562)+1)</f>
        <v>0</v>
      </c>
      <c r="G211">
        <v>0</v>
      </c>
      <c r="H211" s="1068">
        <v>0.02</v>
      </c>
      <c r="I211" s="1068">
        <v>0.02</v>
      </c>
      <c r="J211" s="1068">
        <v>0.02</v>
      </c>
      <c r="K211" s="1068">
        <v>0.02</v>
      </c>
      <c r="L211" s="1068">
        <v>0.02</v>
      </c>
      <c r="M211" s="1068">
        <v>0.02</v>
      </c>
    </row>
    <row r="212" spans="2:13" ht="11.25">
      <c r="B212">
        <v>104</v>
      </c>
      <c r="C212">
        <v>328</v>
      </c>
      <c r="D212" t="s">
        <v>706</v>
      </c>
      <c r="E212" s="103">
        <f>INDEX($G212:$M212,SUMIF(cbal!E$476:E$562,$B212,cbal!$D$476:$D$562)+1)</f>
        <v>0</v>
      </c>
      <c r="G212">
        <v>0</v>
      </c>
      <c r="H212" s="1068">
        <v>-0.02</v>
      </c>
      <c r="I212" s="532"/>
      <c r="J212" s="530"/>
      <c r="K212" s="530"/>
      <c r="L212" s="530"/>
      <c r="M212" s="530"/>
    </row>
    <row r="213" spans="2:13" ht="11.25">
      <c r="B213">
        <v>201</v>
      </c>
      <c r="C213" t="s">
        <v>5150</v>
      </c>
      <c r="D213" s="700" t="s">
        <v>6308</v>
      </c>
      <c r="E213" s="103"/>
      <c r="G213">
        <v>0</v>
      </c>
      <c r="H213" s="530"/>
      <c r="I213" s="530"/>
      <c r="J213" s="530"/>
      <c r="K213" s="530"/>
      <c r="L213" s="530"/>
      <c r="M213" s="530"/>
    </row>
    <row r="214" spans="2:13" ht="11.25">
      <c r="B214">
        <v>201</v>
      </c>
      <c r="C214">
        <v>205</v>
      </c>
      <c r="D214" t="s">
        <v>5269</v>
      </c>
      <c r="E214" s="103">
        <f>INDEX($G214:$M214,SUMIF(cbal!E$476:E$562,$B214,cbal!$D$476:$D$562)+1)</f>
        <v>0</v>
      </c>
      <c r="G214">
        <v>0</v>
      </c>
      <c r="H214" s="1068">
        <v>0.01</v>
      </c>
      <c r="I214" s="1068">
        <v>0.01</v>
      </c>
      <c r="J214" s="1068">
        <v>0.01</v>
      </c>
      <c r="K214" s="1068">
        <v>0.01</v>
      </c>
      <c r="L214" s="1068">
        <v>0.01</v>
      </c>
      <c r="M214" s="1068">
        <v>0.01</v>
      </c>
    </row>
    <row r="215" spans="2:13" ht="11.25">
      <c r="B215">
        <v>201</v>
      </c>
      <c r="C215">
        <v>328</v>
      </c>
      <c r="D215" t="s">
        <v>706</v>
      </c>
      <c r="E215" s="103">
        <f>INDEX($G215:$M215,SUMIF(cbal!E$476:E$562,$B215,cbal!$D$476:$D$562)+1)</f>
        <v>0</v>
      </c>
      <c r="G215">
        <v>0</v>
      </c>
      <c r="H215" s="1068">
        <v>-0.01</v>
      </c>
      <c r="I215" s="532"/>
      <c r="J215" s="530"/>
      <c r="K215" s="530"/>
      <c r="L215" s="530"/>
      <c r="M215" s="530"/>
    </row>
    <row r="216" spans="2:13" ht="11.25">
      <c r="B216">
        <v>202</v>
      </c>
      <c r="C216" s="700" t="s">
        <v>5151</v>
      </c>
      <c r="D216" s="700" t="s">
        <v>6309</v>
      </c>
      <c r="E216" s="103"/>
      <c r="G216">
        <v>0</v>
      </c>
      <c r="H216" s="530"/>
      <c r="I216" s="530"/>
      <c r="J216" s="530"/>
      <c r="K216" s="530"/>
      <c r="L216" s="530"/>
      <c r="M216" s="530"/>
    </row>
    <row r="217" spans="2:13" ht="11.25">
      <c r="B217">
        <v>202</v>
      </c>
      <c r="C217">
        <v>205</v>
      </c>
      <c r="D217" t="s">
        <v>5269</v>
      </c>
      <c r="E217" s="103">
        <f>INDEX($G217:$M217,SUMIF(cbal!E$476:E$562,$B217,cbal!$D$476:$D$562)+1)</f>
        <v>0</v>
      </c>
      <c r="G217">
        <v>0</v>
      </c>
      <c r="H217" s="1068">
        <v>0.02</v>
      </c>
      <c r="I217" s="1068">
        <v>0.02</v>
      </c>
      <c r="J217" s="1068">
        <v>0.02</v>
      </c>
      <c r="K217" s="1068">
        <v>0.02</v>
      </c>
      <c r="L217" s="1068">
        <v>0.02</v>
      </c>
      <c r="M217" s="1068">
        <v>0.02</v>
      </c>
    </row>
    <row r="218" spans="2:13" ht="11.25">
      <c r="B218">
        <v>202</v>
      </c>
      <c r="C218">
        <v>328</v>
      </c>
      <c r="D218" t="s">
        <v>706</v>
      </c>
      <c r="E218" s="103">
        <f>INDEX($G218:$M218,SUMIF(cbal!E$476:E$562,$B218,cbal!$D$476:$D$562)+1)</f>
        <v>0</v>
      </c>
      <c r="G218">
        <v>0</v>
      </c>
      <c r="H218" s="1068">
        <v>0.02</v>
      </c>
      <c r="I218" s="532"/>
      <c r="J218" s="530"/>
      <c r="K218" s="530"/>
      <c r="L218" s="530"/>
      <c r="M218" s="530"/>
    </row>
    <row r="219" spans="2:13" ht="11.25">
      <c r="B219">
        <v>203</v>
      </c>
      <c r="C219" s="700" t="s">
        <v>5152</v>
      </c>
      <c r="D219" s="700" t="s">
        <v>6310</v>
      </c>
      <c r="E219" s="103"/>
      <c r="G219">
        <v>0</v>
      </c>
      <c r="H219" s="530"/>
      <c r="I219" s="530"/>
      <c r="J219" s="530"/>
      <c r="K219" s="530"/>
      <c r="L219" s="530"/>
      <c r="M219" s="530"/>
    </row>
    <row r="220" spans="2:13" ht="11.25">
      <c r="B220">
        <v>203</v>
      </c>
      <c r="C220">
        <v>205</v>
      </c>
      <c r="D220" t="s">
        <v>5269</v>
      </c>
      <c r="E220" s="103">
        <f>INDEX($G220:$M220,SUMIF(cbal!E$476:E$562,$B220,cbal!$D$476:$D$562)+1)</f>
        <v>0</v>
      </c>
      <c r="G220">
        <v>0</v>
      </c>
      <c r="H220" s="1068">
        <v>-0.02</v>
      </c>
      <c r="I220" s="1068">
        <v>-0.02</v>
      </c>
      <c r="J220" s="1068">
        <v>-0.02</v>
      </c>
      <c r="K220" s="1068">
        <v>-0.02</v>
      </c>
      <c r="L220" s="1068">
        <v>-0.02</v>
      </c>
      <c r="M220" s="1068">
        <v>-0.02</v>
      </c>
    </row>
    <row r="221" spans="2:13" ht="11.25">
      <c r="B221">
        <v>203</v>
      </c>
      <c r="C221">
        <v>328</v>
      </c>
      <c r="D221" t="s">
        <v>706</v>
      </c>
      <c r="E221" s="103">
        <f>INDEX($G221:$M221,SUMIF(cbal!E$476:E$562,$B221,cbal!$D$476:$D$562)+1)</f>
        <v>0</v>
      </c>
      <c r="G221">
        <v>0</v>
      </c>
      <c r="H221" s="1068">
        <v>-0.02</v>
      </c>
      <c r="I221" s="532"/>
      <c r="J221" s="530"/>
      <c r="K221" s="530"/>
      <c r="L221" s="530"/>
      <c r="M221" s="530"/>
    </row>
    <row r="222" spans="2:13" ht="11.25">
      <c r="B222">
        <v>204</v>
      </c>
      <c r="C222" s="700" t="s">
        <v>5153</v>
      </c>
      <c r="D222" s="700" t="s">
        <v>6311</v>
      </c>
      <c r="E222" s="103"/>
      <c r="G222">
        <v>0</v>
      </c>
      <c r="H222" s="530"/>
      <c r="I222" s="530"/>
      <c r="J222" s="530"/>
      <c r="K222" s="530"/>
      <c r="L222" s="530"/>
      <c r="M222" s="530"/>
    </row>
    <row r="223" spans="2:13" ht="11.25">
      <c r="B223">
        <v>204</v>
      </c>
      <c r="C223">
        <v>205</v>
      </c>
      <c r="D223" t="s">
        <v>5269</v>
      </c>
      <c r="E223" s="103">
        <f>INDEX($G223:$M223,SUMIF(cbal!E$476:E$562,$B223,cbal!$D$476:$D$562)+1)</f>
        <v>0</v>
      </c>
      <c r="G223">
        <v>0</v>
      </c>
      <c r="H223" s="1068">
        <v>0.02</v>
      </c>
      <c r="I223" s="1068">
        <v>0.02</v>
      </c>
      <c r="J223" s="1068">
        <v>0.02</v>
      </c>
      <c r="K223" s="1068">
        <v>0.02</v>
      </c>
      <c r="L223" s="1068">
        <v>0.02</v>
      </c>
      <c r="M223" s="1068">
        <v>0.02</v>
      </c>
    </row>
    <row r="224" spans="2:13" ht="11.25">
      <c r="B224">
        <v>204</v>
      </c>
      <c r="C224">
        <v>328</v>
      </c>
      <c r="D224" t="s">
        <v>706</v>
      </c>
      <c r="E224" s="103">
        <f>INDEX($G224:$M224,SUMIF(cbal!E$476:E$562,$B224,cbal!$D$476:$D$562)+1)</f>
        <v>0</v>
      </c>
      <c r="G224">
        <v>0</v>
      </c>
      <c r="H224" s="1068">
        <v>0.02</v>
      </c>
      <c r="I224" s="532"/>
      <c r="J224" s="530"/>
      <c r="K224" s="530"/>
      <c r="L224" s="530"/>
      <c r="M224" s="530"/>
    </row>
    <row r="225" spans="2:13" ht="11.25">
      <c r="B225">
        <v>401</v>
      </c>
      <c r="C225" t="s">
        <v>5150</v>
      </c>
      <c r="D225" t="s">
        <v>5150</v>
      </c>
      <c r="E225" s="103"/>
      <c r="G225">
        <v>0</v>
      </c>
      <c r="H225" s="530"/>
      <c r="I225" s="530"/>
      <c r="J225" s="530"/>
      <c r="K225" s="530"/>
      <c r="L225" s="530"/>
      <c r="M225" s="530"/>
    </row>
    <row r="226" spans="2:13" ht="11.25">
      <c r="B226">
        <v>401</v>
      </c>
      <c r="C226">
        <v>205</v>
      </c>
      <c r="D226" t="s">
        <v>5269</v>
      </c>
      <c r="E226" s="103">
        <f>INDEX($G226:$M226,SUMIF(cbal!E$476:E$562,$B226,cbal!$D$476:$D$562)+1)</f>
        <v>0</v>
      </c>
      <c r="G226">
        <v>0</v>
      </c>
      <c r="H226" s="1068">
        <v>-0.01</v>
      </c>
      <c r="I226" s="1068">
        <v>-0.01</v>
      </c>
      <c r="J226" s="1068">
        <v>-0.01</v>
      </c>
      <c r="K226" s="1068">
        <v>-0.01</v>
      </c>
      <c r="L226" s="1068">
        <v>-0.01</v>
      </c>
      <c r="M226" s="1068">
        <v>-0.01</v>
      </c>
    </row>
    <row r="227" spans="2:13" ht="11.25">
      <c r="B227">
        <v>401</v>
      </c>
      <c r="C227">
        <v>328</v>
      </c>
      <c r="D227" t="s">
        <v>706</v>
      </c>
      <c r="E227" s="103">
        <f>INDEX($G227:$M227,SUMIF(cbal!E$476:E$562,$B227,cbal!$D$476:$D$562)+1)</f>
        <v>0</v>
      </c>
      <c r="G227">
        <v>0</v>
      </c>
      <c r="H227" s="1068">
        <v>-0.02</v>
      </c>
      <c r="I227" s="532"/>
      <c r="J227" s="530"/>
      <c r="K227" s="530"/>
      <c r="L227" s="530"/>
      <c r="M227" s="530"/>
    </row>
    <row r="228" spans="2:13" ht="11.25">
      <c r="B228">
        <v>402</v>
      </c>
      <c r="C228" s="700" t="s">
        <v>5151</v>
      </c>
      <c r="D228" t="s">
        <v>5151</v>
      </c>
      <c r="E228" s="103"/>
      <c r="G228">
        <v>0</v>
      </c>
      <c r="H228" s="530"/>
      <c r="I228" s="530"/>
      <c r="J228" s="530"/>
      <c r="K228" s="530"/>
      <c r="L228" s="530"/>
      <c r="M228" s="530"/>
    </row>
    <row r="229" spans="2:13" ht="11.25">
      <c r="B229">
        <v>402</v>
      </c>
      <c r="C229">
        <v>205</v>
      </c>
      <c r="D229" t="s">
        <v>5269</v>
      </c>
      <c r="E229" s="103">
        <f>INDEX($G229:$M229,SUMIF(cbal!E$476:E$562,$B229,cbal!$D$476:$D$562)+1)</f>
        <v>0</v>
      </c>
      <c r="G229">
        <v>0</v>
      </c>
      <c r="H229" s="1068">
        <v>0.02</v>
      </c>
      <c r="I229" s="1068">
        <v>0.02</v>
      </c>
      <c r="J229" s="1068">
        <v>0.02</v>
      </c>
      <c r="K229" s="1068">
        <v>0.02</v>
      </c>
      <c r="L229" s="1068">
        <v>0.02</v>
      </c>
      <c r="M229" s="1068">
        <v>0.02</v>
      </c>
    </row>
    <row r="230" spans="2:13" ht="11.25">
      <c r="B230">
        <v>402</v>
      </c>
      <c r="C230">
        <v>183</v>
      </c>
      <c r="D230" t="s">
        <v>5268</v>
      </c>
      <c r="E230" s="103">
        <f>INDEX($G230:$M230,SUMIF(cbal!E$476:E$562,$B230,cbal!$D$476:$D$562)+1)</f>
        <v>0</v>
      </c>
      <c r="G230">
        <v>0</v>
      </c>
      <c r="H230" s="1068">
        <v>0.01</v>
      </c>
      <c r="I230" s="1068">
        <v>0.01</v>
      </c>
      <c r="J230" s="1068">
        <v>0.01</v>
      </c>
      <c r="K230" s="1068">
        <v>0.01</v>
      </c>
      <c r="L230" s="1068">
        <v>0.01</v>
      </c>
      <c r="M230" s="1068">
        <v>0.01</v>
      </c>
    </row>
    <row r="231" spans="2:13" ht="11.25">
      <c r="B231">
        <v>402</v>
      </c>
      <c r="C231">
        <v>328</v>
      </c>
      <c r="D231" t="s">
        <v>706</v>
      </c>
      <c r="E231" s="103">
        <f>INDEX($G231:$M231,SUMIF(cbal!E$476:E$562,$B231,cbal!$D$476:$D$562)+1)</f>
        <v>0</v>
      </c>
      <c r="G231">
        <v>0</v>
      </c>
      <c r="H231" s="1068">
        <v>0.02</v>
      </c>
      <c r="I231" s="532"/>
      <c r="J231" s="530"/>
      <c r="K231" s="530"/>
      <c r="L231" s="530"/>
      <c r="M231" s="530"/>
    </row>
    <row r="232" spans="2:13" ht="11.25">
      <c r="B232">
        <v>403</v>
      </c>
      <c r="C232" s="700" t="s">
        <v>5152</v>
      </c>
      <c r="D232" t="s">
        <v>5152</v>
      </c>
      <c r="E232" s="103"/>
      <c r="G232">
        <v>0</v>
      </c>
      <c r="H232" s="530"/>
      <c r="I232" s="530"/>
      <c r="J232" s="530"/>
      <c r="K232" s="530"/>
      <c r="L232" s="530"/>
      <c r="M232" s="530"/>
    </row>
    <row r="233" spans="2:13" ht="11.25">
      <c r="B233">
        <v>403</v>
      </c>
      <c r="C233">
        <v>183</v>
      </c>
      <c r="D233" t="s">
        <v>5268</v>
      </c>
      <c r="E233" s="103">
        <f>INDEX($G233:$M233,SUMIF(cbal!E$476:E$562,$B233,cbal!$D$476:$D$562)+1)</f>
        <v>0</v>
      </c>
      <c r="G233">
        <v>0</v>
      </c>
      <c r="H233" s="1068">
        <v>0.01</v>
      </c>
      <c r="I233" s="1068">
        <v>0.01</v>
      </c>
      <c r="J233" s="1068">
        <v>0.01</v>
      </c>
      <c r="K233" s="1068">
        <v>0.01</v>
      </c>
      <c r="L233" s="1068">
        <v>0.01</v>
      </c>
      <c r="M233" s="1068">
        <v>0.01</v>
      </c>
    </row>
    <row r="234" spans="2:13" ht="11.25">
      <c r="B234">
        <v>403</v>
      </c>
      <c r="C234">
        <v>328</v>
      </c>
      <c r="D234" t="s">
        <v>706</v>
      </c>
      <c r="E234" s="103">
        <f>INDEX($G234:$M234,SUMIF(cbal!E$476:E$562,$B234,cbal!$D$476:$D$562)+1)</f>
        <v>0</v>
      </c>
      <c r="G234">
        <v>0</v>
      </c>
      <c r="H234" s="1068">
        <v>0.01</v>
      </c>
      <c r="I234" s="532"/>
      <c r="J234" s="530"/>
      <c r="K234" s="530"/>
      <c r="L234" s="530"/>
      <c r="M234" s="530"/>
    </row>
    <row r="235" spans="2:13" ht="11.25">
      <c r="B235">
        <v>404</v>
      </c>
      <c r="C235" s="700" t="s">
        <v>5153</v>
      </c>
      <c r="D235" t="s">
        <v>5153</v>
      </c>
      <c r="E235" s="103"/>
      <c r="G235">
        <v>0</v>
      </c>
      <c r="H235" s="530"/>
      <c r="I235" s="530"/>
      <c r="J235" s="530"/>
      <c r="K235" s="530"/>
      <c r="L235" s="530"/>
      <c r="M235" s="530"/>
    </row>
    <row r="236" spans="2:13" ht="11.25">
      <c r="B236">
        <v>404</v>
      </c>
      <c r="C236">
        <v>205</v>
      </c>
      <c r="D236" t="s">
        <v>5269</v>
      </c>
      <c r="E236" s="103">
        <f>INDEX($G236:$M236,SUMIF(cbal!E$476:E$562,$B236,cbal!$D$476:$D$562)+1)</f>
        <v>0</v>
      </c>
      <c r="G236">
        <v>0</v>
      </c>
      <c r="H236" s="1068">
        <v>-0.01</v>
      </c>
      <c r="I236" s="1068">
        <v>-0.01</v>
      </c>
      <c r="J236" s="1068">
        <v>-0.01</v>
      </c>
      <c r="K236" s="1068">
        <v>-0.01</v>
      </c>
      <c r="L236" s="1068">
        <v>-0.01</v>
      </c>
      <c r="M236" s="1068">
        <v>-0.01</v>
      </c>
    </row>
    <row r="237" spans="2:13" ht="11.25">
      <c r="B237">
        <v>404</v>
      </c>
      <c r="C237">
        <v>183</v>
      </c>
      <c r="D237" t="s">
        <v>5268</v>
      </c>
      <c r="E237" s="103">
        <f>INDEX($G237:$M237,SUMIF(cbal!E$476:E$562,$B237,cbal!$D$476:$D$562)+1)</f>
        <v>0</v>
      </c>
      <c r="G237">
        <v>0</v>
      </c>
      <c r="H237" s="1068">
        <v>-0.01</v>
      </c>
      <c r="I237" s="1068">
        <v>-0.01</v>
      </c>
      <c r="J237" s="1068">
        <v>-0.01</v>
      </c>
      <c r="K237" s="1068">
        <v>-0.01</v>
      </c>
      <c r="L237" s="1068">
        <v>-0.01</v>
      </c>
      <c r="M237" s="1068">
        <v>-0.01</v>
      </c>
    </row>
    <row r="238" spans="2:13" ht="11.25">
      <c r="B238">
        <v>404</v>
      </c>
      <c r="C238">
        <v>328</v>
      </c>
      <c r="D238" t="s">
        <v>706</v>
      </c>
      <c r="E238" s="103">
        <f>INDEX($G238:$M238,SUMIF(cbal!E$476:E$562,$B238,cbal!$D$476:$D$562)+1)</f>
        <v>0</v>
      </c>
      <c r="G238">
        <v>0</v>
      </c>
      <c r="H238" s="1068">
        <v>-0.01</v>
      </c>
      <c r="I238" s="532"/>
      <c r="J238" s="530"/>
      <c r="K238" s="530"/>
      <c r="L238" s="530"/>
      <c r="M238" s="530"/>
    </row>
    <row r="239" spans="2:13" ht="11.25">
      <c r="B239">
        <v>501</v>
      </c>
      <c r="C239" s="700" t="s">
        <v>5154</v>
      </c>
      <c r="D239" t="s">
        <v>5154</v>
      </c>
      <c r="E239" s="103"/>
      <c r="G239">
        <v>0</v>
      </c>
      <c r="H239" s="530"/>
      <c r="I239" s="530"/>
      <c r="J239" s="530"/>
      <c r="K239" s="530"/>
      <c r="L239" s="530"/>
      <c r="M239" s="530"/>
    </row>
    <row r="240" spans="2:13" ht="11.25">
      <c r="B240">
        <v>501</v>
      </c>
      <c r="C240">
        <v>328</v>
      </c>
      <c r="D240" t="s">
        <v>706</v>
      </c>
      <c r="E240" s="103">
        <f>INDEX($G240:$M240,SUMIF(cbal!E$476:E$562,$B240,cbal!$D$476:$D$562)+1)</f>
        <v>0</v>
      </c>
      <c r="G240">
        <v>0</v>
      </c>
      <c r="H240" s="1068">
        <v>-0.01</v>
      </c>
      <c r="I240" s="1068"/>
      <c r="J240" s="1068"/>
      <c r="K240" s="1068"/>
      <c r="L240" s="1068"/>
      <c r="M240" s="1068"/>
    </row>
    <row r="241" spans="2:13" ht="11.25">
      <c r="B241">
        <v>501</v>
      </c>
      <c r="C241">
        <v>183</v>
      </c>
      <c r="D241" t="s">
        <v>5268</v>
      </c>
      <c r="E241" s="103">
        <f>INDEX($G241:$M241,SUMIF(cbal!E$476:E$562,$B241,cbal!$D$476:$D$562)+1)</f>
        <v>0</v>
      </c>
      <c r="G241">
        <v>0</v>
      </c>
      <c r="H241" s="1068">
        <v>-0.02</v>
      </c>
      <c r="I241" s="1068">
        <v>-0.02</v>
      </c>
      <c r="J241" s="1068">
        <v>-0.02</v>
      </c>
      <c r="K241" s="1068">
        <v>-0.02</v>
      </c>
      <c r="L241" s="1068">
        <v>-0.02</v>
      </c>
      <c r="M241" s="1068">
        <v>-0.02</v>
      </c>
    </row>
    <row r="242" spans="2:13" ht="11.25">
      <c r="B242">
        <v>502</v>
      </c>
      <c r="C242" s="700" t="s">
        <v>5155</v>
      </c>
      <c r="D242" t="s">
        <v>5155</v>
      </c>
      <c r="E242" s="103"/>
      <c r="G242">
        <v>0</v>
      </c>
      <c r="H242" s="530"/>
      <c r="I242" s="530"/>
      <c r="J242" s="530"/>
      <c r="K242" s="530"/>
      <c r="L242" s="530"/>
      <c r="M242" s="530"/>
    </row>
    <row r="243" spans="2:13" ht="11.25">
      <c r="B243">
        <v>502</v>
      </c>
      <c r="C243">
        <v>328</v>
      </c>
      <c r="D243" t="s">
        <v>706</v>
      </c>
      <c r="E243" s="103">
        <f>INDEX($G243:$M243,SUMIF(cbal!E$476:E$562,$B243,cbal!$D$476:$D$562)+1)</f>
        <v>0</v>
      </c>
      <c r="G243">
        <v>0</v>
      </c>
      <c r="H243" s="1068">
        <v>0.01</v>
      </c>
      <c r="I243" s="1068"/>
      <c r="J243" s="1068"/>
      <c r="K243" s="1068"/>
      <c r="L243" s="1068"/>
      <c r="M243" s="1068"/>
    </row>
    <row r="244" spans="2:13" ht="11.25">
      <c r="B244">
        <v>502</v>
      </c>
      <c r="C244">
        <v>183</v>
      </c>
      <c r="D244" t="s">
        <v>5268</v>
      </c>
      <c r="E244" s="103">
        <f>INDEX($G244:$M244,SUMIF(cbal!E$476:E$562,$B244,cbal!$D$476:$D$562)+1)</f>
        <v>0</v>
      </c>
      <c r="G244">
        <v>0</v>
      </c>
      <c r="H244" s="1068">
        <v>0.01</v>
      </c>
      <c r="I244" s="1068">
        <v>0.01</v>
      </c>
      <c r="J244" s="1068">
        <v>0.01</v>
      </c>
      <c r="K244" s="1068">
        <v>0.01</v>
      </c>
      <c r="L244" s="1068">
        <v>0.01</v>
      </c>
      <c r="M244" s="1068">
        <v>0.01</v>
      </c>
    </row>
    <row r="245" spans="2:13" ht="11.25">
      <c r="B245">
        <v>503</v>
      </c>
      <c r="C245" s="700" t="s">
        <v>5156</v>
      </c>
      <c r="D245" t="s">
        <v>5156</v>
      </c>
      <c r="E245" s="103"/>
      <c r="G245">
        <v>0</v>
      </c>
      <c r="H245" s="530"/>
      <c r="I245" s="530"/>
      <c r="J245" s="530"/>
      <c r="K245" s="530"/>
      <c r="L245" s="530"/>
      <c r="M245" s="530"/>
    </row>
    <row r="246" spans="2:13" ht="11.25">
      <c r="B246">
        <v>503</v>
      </c>
      <c r="C246">
        <v>328</v>
      </c>
      <c r="D246" t="s">
        <v>706</v>
      </c>
      <c r="E246" s="103">
        <f>INDEX($G246:$M246,SUMIF(cbal!E$476:E$562,$B246,cbal!$D$476:$D$562)+1)</f>
        <v>0</v>
      </c>
      <c r="G246">
        <v>0</v>
      </c>
      <c r="H246" s="1068">
        <v>0.02</v>
      </c>
      <c r="I246" s="1068"/>
      <c r="J246" s="1068"/>
      <c r="K246" s="1068"/>
      <c r="L246" s="1068"/>
      <c r="M246" s="1068"/>
    </row>
    <row r="247" spans="2:13" ht="11.25">
      <c r="B247">
        <v>503</v>
      </c>
      <c r="C247">
        <v>183</v>
      </c>
      <c r="D247" t="s">
        <v>5268</v>
      </c>
      <c r="E247" s="103">
        <f>INDEX($G247:$M247,SUMIF(cbal!E$476:E$562,$B247,cbal!$D$476:$D$562)+1)</f>
        <v>0</v>
      </c>
      <c r="G247">
        <v>0</v>
      </c>
      <c r="H247" s="1068">
        <v>0.02</v>
      </c>
      <c r="I247" s="1068">
        <v>0.02</v>
      </c>
      <c r="J247" s="1068">
        <v>0.02</v>
      </c>
      <c r="K247" s="1068">
        <v>0.02</v>
      </c>
      <c r="L247" s="1068">
        <v>0.02</v>
      </c>
      <c r="M247" s="1068">
        <v>0.02</v>
      </c>
    </row>
    <row r="248" spans="2:13" ht="11.25">
      <c r="B248">
        <v>301</v>
      </c>
      <c r="C248" s="700" t="s">
        <v>4858</v>
      </c>
      <c r="D248" t="s">
        <v>4858</v>
      </c>
      <c r="E248" s="103"/>
      <c r="G248">
        <v>0</v>
      </c>
      <c r="H248" s="530"/>
      <c r="I248" s="530"/>
      <c r="J248" s="530"/>
      <c r="K248" s="530"/>
      <c r="L248" s="530"/>
      <c r="M248" s="530"/>
    </row>
    <row r="249" spans="2:13" ht="11.25">
      <c r="B249">
        <v>301</v>
      </c>
      <c r="C249">
        <v>368</v>
      </c>
      <c r="D249" t="s">
        <v>4140</v>
      </c>
      <c r="E249" s="103">
        <f>INDEX($G249:$M249,SUMIF(cbal!E476:E562,B249,cbal!D476:D562)+1)</f>
        <v>0</v>
      </c>
      <c r="G249">
        <v>0</v>
      </c>
      <c r="H249" s="1069">
        <v>1000000</v>
      </c>
      <c r="I249" s="1069">
        <v>1000000</v>
      </c>
      <c r="J249" s="1069">
        <v>1000000</v>
      </c>
      <c r="K249" s="1069">
        <v>1000000</v>
      </c>
      <c r="L249" s="1069">
        <v>1000000</v>
      </c>
      <c r="M249" s="1069">
        <v>1000000</v>
      </c>
    </row>
    <row r="250" spans="2:13" ht="11.25">
      <c r="B250">
        <v>301</v>
      </c>
      <c r="C250">
        <v>369</v>
      </c>
      <c r="D250" t="s">
        <v>4141</v>
      </c>
      <c r="E250" s="103">
        <f>INDEX($G250:$M250,SUMIF(cbal!E$476:E$562,$B250,cbal!$D$476:$D$562)+1)</f>
        <v>0</v>
      </c>
      <c r="G250">
        <v>0</v>
      </c>
      <c r="H250" s="1069">
        <v>1000000</v>
      </c>
      <c r="I250" s="1069">
        <v>1000000</v>
      </c>
      <c r="J250" s="1069">
        <v>1000000</v>
      </c>
      <c r="K250" s="1069">
        <v>1000000</v>
      </c>
      <c r="L250" s="1069">
        <v>1000000</v>
      </c>
      <c r="M250" s="1069">
        <v>1000000</v>
      </c>
    </row>
    <row r="251" spans="2:13" ht="11.25">
      <c r="B251">
        <v>301</v>
      </c>
      <c r="C251">
        <v>370</v>
      </c>
      <c r="D251" t="s">
        <v>4142</v>
      </c>
      <c r="E251" s="103">
        <f>INDEX($G251:$M251,SUMIF(cbal!E$476:E$562,$B251,cbal!$D$476:$D$562)+1)</f>
        <v>0</v>
      </c>
      <c r="G251">
        <v>0</v>
      </c>
      <c r="H251" s="1069">
        <v>1000000</v>
      </c>
      <c r="I251" s="1069">
        <v>1000000</v>
      </c>
      <c r="J251" s="1069">
        <v>1000000</v>
      </c>
      <c r="K251" s="1069">
        <v>1000000</v>
      </c>
      <c r="L251" s="1069">
        <v>1000000</v>
      </c>
      <c r="M251" s="1069">
        <v>1000000</v>
      </c>
    </row>
    <row r="252" spans="2:13" ht="11.25">
      <c r="B252">
        <v>301</v>
      </c>
      <c r="C252">
        <v>10</v>
      </c>
      <c r="D252" t="s">
        <v>5296</v>
      </c>
      <c r="E252" s="103">
        <f>INDEX($G252:$M252,SUMIF(cbal!E$476:E$562,$B252,cbal!$D$476:$D$562)+1)</f>
        <v>1</v>
      </c>
      <c r="G252">
        <v>1</v>
      </c>
      <c r="H252" s="1068">
        <v>0.02</v>
      </c>
      <c r="I252" s="1068">
        <v>0.02</v>
      </c>
      <c r="J252" s="1068">
        <v>0.02</v>
      </c>
      <c r="K252" s="1068">
        <v>0.02</v>
      </c>
      <c r="L252" s="1068">
        <v>0.02</v>
      </c>
      <c r="M252" s="1068">
        <v>0.02</v>
      </c>
    </row>
    <row r="253" spans="2:13" ht="11.25">
      <c r="B253">
        <v>301</v>
      </c>
      <c r="C253">
        <v>378</v>
      </c>
      <c r="D253" t="s">
        <v>4617</v>
      </c>
      <c r="E253" s="103">
        <f>INDEX($G253:$M253,SUMIF(cbal!E$476:E$562,$B253,cbal!$D$476:$D$562)+1)</f>
        <v>0</v>
      </c>
      <c r="G253">
        <v>0</v>
      </c>
      <c r="H253" s="1068">
        <v>-0.02</v>
      </c>
      <c r="I253" s="1068">
        <v>-0.02</v>
      </c>
      <c r="J253" s="1068">
        <v>-0.02</v>
      </c>
      <c r="K253" s="1068">
        <v>-0.02</v>
      </c>
      <c r="L253" s="1068">
        <v>-0.02</v>
      </c>
      <c r="M253" s="1068">
        <v>-0.02</v>
      </c>
    </row>
    <row r="254" spans="2:13" ht="11.25">
      <c r="B254">
        <v>302</v>
      </c>
      <c r="C254" s="700" t="s">
        <v>4859</v>
      </c>
      <c r="D254" t="s">
        <v>4859</v>
      </c>
      <c r="E254" s="103"/>
      <c r="G254">
        <v>0</v>
      </c>
      <c r="H254" s="530"/>
      <c r="I254" s="530"/>
      <c r="J254" s="530"/>
      <c r="K254" s="530"/>
      <c r="L254" s="530"/>
      <c r="M254" s="530"/>
    </row>
    <row r="255" spans="2:13" ht="11.25">
      <c r="B255">
        <v>302</v>
      </c>
      <c r="C255">
        <v>12</v>
      </c>
      <c r="D255" t="s">
        <v>3371</v>
      </c>
      <c r="E255" s="103">
        <f>INDEX($G255:$M255,SUMIF(cbal!E$476:E$562,$B255,cbal!$D$476:$D$562)+1)</f>
        <v>0</v>
      </c>
      <c r="G255">
        <v>0</v>
      </c>
      <c r="H255" s="1068">
        <v>0.03</v>
      </c>
      <c r="I255" s="1068">
        <v>0.03</v>
      </c>
      <c r="J255" s="1068">
        <v>0.03</v>
      </c>
      <c r="K255" s="1068">
        <v>0.03</v>
      </c>
      <c r="L255" s="1068">
        <v>0.03</v>
      </c>
      <c r="M255" s="1068">
        <v>0.03</v>
      </c>
    </row>
    <row r="256" spans="2:13" ht="11.25">
      <c r="B256">
        <v>302</v>
      </c>
      <c r="C256">
        <v>328</v>
      </c>
      <c r="D256" t="s">
        <v>706</v>
      </c>
      <c r="E256" s="103">
        <f>INDEX($G256:$M256,SUMIF(cbal!E$476:E$562,$B256,cbal!$D$476:$D$562)+1)</f>
        <v>0</v>
      </c>
      <c r="G256">
        <v>0</v>
      </c>
      <c r="H256" s="1068">
        <v>0.02</v>
      </c>
      <c r="I256" s="1069"/>
      <c r="J256" s="1069"/>
      <c r="K256" s="1069"/>
      <c r="L256" s="1069"/>
      <c r="M256" s="1069"/>
    </row>
    <row r="257" spans="2:13" ht="11.25">
      <c r="B257">
        <v>302</v>
      </c>
      <c r="C257">
        <v>379</v>
      </c>
      <c r="D257" t="s">
        <v>364</v>
      </c>
      <c r="E257" s="103">
        <f>INDEX($G257:$M257,SUMIF(cbal!E$476:E$562,$B257,cbal!$D$476:$D$562)+1)</f>
        <v>0</v>
      </c>
      <c r="G257">
        <v>0</v>
      </c>
      <c r="H257" s="1068">
        <v>0.02</v>
      </c>
      <c r="I257" s="1069"/>
      <c r="J257" s="1069"/>
      <c r="K257" s="1069"/>
      <c r="L257" s="1069"/>
      <c r="M257" s="1069"/>
    </row>
    <row r="258" spans="2:13" ht="11.25">
      <c r="B258">
        <v>303</v>
      </c>
      <c r="C258" s="700" t="s">
        <v>4860</v>
      </c>
      <c r="D258" t="s">
        <v>4860</v>
      </c>
      <c r="E258" s="103"/>
      <c r="G258">
        <v>0</v>
      </c>
      <c r="H258" s="530"/>
      <c r="I258" s="530"/>
      <c r="J258" s="530"/>
      <c r="K258" s="530"/>
      <c r="L258" s="530"/>
      <c r="M258" s="530"/>
    </row>
    <row r="259" spans="2:13" ht="11.25">
      <c r="B259">
        <v>303</v>
      </c>
      <c r="C259">
        <v>328</v>
      </c>
      <c r="D259" t="s">
        <v>706</v>
      </c>
      <c r="E259" s="103">
        <f>INDEX($G259:$M259,SUMIF(cbal!E$476:E$562,$B259,cbal!$D$476:$D$562)+1)</f>
        <v>0</v>
      </c>
      <c r="G259">
        <v>0</v>
      </c>
      <c r="H259" s="1068">
        <v>-0.03</v>
      </c>
      <c r="I259" s="1068"/>
      <c r="J259" s="1068"/>
      <c r="K259" s="1068"/>
      <c r="L259" s="1068"/>
      <c r="M259" s="1068"/>
    </row>
    <row r="260" spans="2:13" ht="11.25">
      <c r="B260">
        <v>303</v>
      </c>
      <c r="C260">
        <v>379</v>
      </c>
      <c r="D260" t="s">
        <v>364</v>
      </c>
      <c r="E260" s="103">
        <f>INDEX($G260:$M260,SUMIF(cbal!E$476:E$562,$B260,cbal!$D$476:$D$562)+1)</f>
        <v>0</v>
      </c>
      <c r="G260">
        <v>0</v>
      </c>
      <c r="H260" s="1068">
        <v>-0.03</v>
      </c>
      <c r="I260" s="1068"/>
      <c r="J260" s="1068"/>
      <c r="K260" s="1068"/>
      <c r="L260" s="1068"/>
      <c r="M260" s="1068"/>
    </row>
    <row r="261" spans="2:13" ht="11.25">
      <c r="B261">
        <v>303</v>
      </c>
      <c r="C261">
        <v>378</v>
      </c>
      <c r="D261" t="s">
        <v>4617</v>
      </c>
      <c r="E261" s="103">
        <f>INDEX($G261:$M261,SUMIF(cbal!E$476:E$562,$B261,cbal!$D$476:$D$562)+1)</f>
        <v>0</v>
      </c>
      <c r="G261">
        <v>0</v>
      </c>
      <c r="H261" s="1068">
        <v>-0.03</v>
      </c>
      <c r="I261" s="1068">
        <v>-0.03</v>
      </c>
      <c r="J261" s="1068">
        <v>-0.03</v>
      </c>
      <c r="K261" s="1068">
        <v>-0.03</v>
      </c>
      <c r="L261" s="1068">
        <v>-0.03</v>
      </c>
      <c r="M261" s="1068">
        <v>-0.03</v>
      </c>
    </row>
    <row r="262" spans="2:13" ht="11.25"/>
    <row r="263" spans="2:13" ht="11.25">
      <c r="D263" t="s">
        <v>5146</v>
      </c>
      <c r="E263" s="1157" t="b">
        <f>COUNTIF(obal!E$476:E$503,14)&gt;0</f>
        <v>0</v>
      </c>
    </row>
    <row r="264" spans="2:13" ht="11.25"/>
    <row r="265" spans="2:13" ht="11.25">
      <c r="B265">
        <v>601</v>
      </c>
      <c r="C265" s="700" t="s">
        <v>5147</v>
      </c>
      <c r="D265" t="s">
        <v>5147</v>
      </c>
    </row>
    <row r="266" spans="2:13" ht="11.25">
      <c r="B266">
        <v>601</v>
      </c>
      <c r="C266">
        <v>382</v>
      </c>
      <c r="D266" t="s">
        <v>5164</v>
      </c>
      <c r="E266" s="1158">
        <f>INDEX($G266:$M266,SUMIF(cbal!E$476:E$562,$B266,cbal!$D$476:$D$562)+1)</f>
        <v>0</v>
      </c>
      <c r="G266">
        <v>0</v>
      </c>
      <c r="H266" s="1068">
        <v>0.02</v>
      </c>
      <c r="I266" s="1068"/>
      <c r="J266" s="1068"/>
      <c r="K266" s="1068"/>
      <c r="L266" s="1068"/>
      <c r="M266" s="1068"/>
    </row>
    <row r="267" spans="2:13" ht="12" customHeight="1">
      <c r="B267">
        <v>601</v>
      </c>
      <c r="C267">
        <v>370</v>
      </c>
      <c r="D267" t="s">
        <v>4142</v>
      </c>
      <c r="E267" s="103">
        <f>INDEX($G267:$M267,SUMIF(cbal!E$476:E$562,$B267,cbal!$D$476:$D$562)+1)</f>
        <v>0</v>
      </c>
      <c r="G267">
        <v>0</v>
      </c>
      <c r="H267" s="1160">
        <v>5000000</v>
      </c>
      <c r="I267" s="1068"/>
      <c r="J267" s="1068"/>
      <c r="K267" s="1068"/>
      <c r="L267" s="1068"/>
      <c r="M267" s="1068"/>
    </row>
    <row r="268" spans="2:13" ht="11.25">
      <c r="B268">
        <v>601</v>
      </c>
      <c r="C268">
        <v>328</v>
      </c>
      <c r="D268" t="s">
        <v>706</v>
      </c>
      <c r="E268" s="103">
        <f>INDEX($G268:$M268,SUMIF(cbal!E$476:E$562,$B268,cbal!$D$476:$D$562)+1)*NOT(E$263)</f>
        <v>0</v>
      </c>
      <c r="G268">
        <v>0</v>
      </c>
      <c r="H268" s="1068">
        <v>-0.03</v>
      </c>
      <c r="I268" s="532"/>
      <c r="J268" s="530"/>
      <c r="K268" s="530"/>
      <c r="L268" s="530"/>
      <c r="M268" s="530"/>
    </row>
    <row r="269" spans="2:13" ht="11.25">
      <c r="B269">
        <v>601</v>
      </c>
      <c r="C269">
        <v>331</v>
      </c>
      <c r="D269" t="s">
        <v>4473</v>
      </c>
      <c r="E269" s="103">
        <f>INDEX($G269:$M269,SUMIF(cbal!E$476:E$562,$B269,cbal!$D$476:$D$562)+1)*NOT(E$263)</f>
        <v>0</v>
      </c>
      <c r="G269">
        <v>0</v>
      </c>
      <c r="H269" s="1159">
        <v>600000</v>
      </c>
      <c r="I269" s="532"/>
      <c r="J269" s="530"/>
      <c r="K269" s="530"/>
      <c r="L269" s="530"/>
      <c r="M269" s="530"/>
    </row>
    <row r="270" spans="2:13" ht="11.25"/>
    <row r="271" spans="2:13" ht="11.25">
      <c r="D271" t="s">
        <v>5165</v>
      </c>
      <c r="E271" s="1157" t="b">
        <f>COUNTIF(obal!E$476:E$503,15)&gt;0</f>
        <v>0</v>
      </c>
    </row>
    <row r="272" spans="2:13" ht="11.25"/>
    <row r="273" spans="2:13" ht="12" thickBot="1">
      <c r="B273">
        <v>602</v>
      </c>
      <c r="C273" s="700" t="s">
        <v>5148</v>
      </c>
      <c r="D273" t="s">
        <v>5148</v>
      </c>
      <c r="F273" t="s">
        <v>5149</v>
      </c>
    </row>
    <row r="274" spans="2:13" ht="12" customHeight="1" thickBot="1">
      <c r="B274">
        <v>602</v>
      </c>
      <c r="C274">
        <v>370</v>
      </c>
      <c r="D274" t="s">
        <v>4142</v>
      </c>
      <c r="E274" s="103">
        <f>INDEX($G274:$M274,SUMIF(cbal!E$476:E$562,$B274,cbal!$D$476:$D$562)+1)*IF(E$271,$F274,1)</f>
        <v>0</v>
      </c>
      <c r="F274" s="1161">
        <v>1.5</v>
      </c>
      <c r="G274">
        <v>0</v>
      </c>
      <c r="H274" s="1160">
        <v>1500000</v>
      </c>
      <c r="I274" s="1068"/>
      <c r="J274" s="1068"/>
      <c r="K274" s="1068"/>
      <c r="L274" s="1068"/>
      <c r="M274" s="1068"/>
    </row>
    <row r="275" spans="2:13" ht="11.25">
      <c r="B275">
        <v>602</v>
      </c>
      <c r="C275">
        <v>328</v>
      </c>
      <c r="D275" t="s">
        <v>706</v>
      </c>
      <c r="E275" s="103">
        <f>INDEX($G275:$M275,SUMIF(cbal!E$476:E$562,$B275,cbal!$D$476:$D$562)+1)</f>
        <v>0</v>
      </c>
      <c r="G275">
        <v>0</v>
      </c>
      <c r="H275" s="1068">
        <v>0.01</v>
      </c>
      <c r="I275" s="1068"/>
      <c r="J275" s="1068"/>
      <c r="K275" s="1068"/>
      <c r="L275" s="1068"/>
      <c r="M275" s="1068"/>
    </row>
  </sheetData>
  <autoFilter ref="A6:M10"/>
  <phoneticPr fontId="0" type="noConversion"/>
  <conditionalFormatting sqref="D84:D91 D111:D113 D140 D149:D154 D102:D108 D123:D124 D164:D169 D126:D127 D188:D190 D193 D195 D265:D267 D264:E264 G262:J264 D248:D263 D180:D183 D199:D200 D230:D234 D239:D244 M262:M264 D144 D146:D147 D206:D207 D209 D212 D225:D228">
    <cfRule type="expression" dxfId="66" priority="125" stopIfTrue="1">
      <formula>ISTEXT($C84)</formula>
    </cfRule>
  </conditionalFormatting>
  <conditionalFormatting sqref="D92:D101">
    <cfRule type="expression" dxfId="65" priority="101" stopIfTrue="1">
      <formula>ISTEXT($C92)</formula>
    </cfRule>
  </conditionalFormatting>
  <conditionalFormatting sqref="D109">
    <cfRule type="expression" dxfId="64" priority="98" stopIfTrue="1">
      <formula>ISTEXT($C109)</formula>
    </cfRule>
  </conditionalFormatting>
  <conditionalFormatting sqref="D110">
    <cfRule type="expression" dxfId="63" priority="97" stopIfTrue="1">
      <formula>ISTEXT($C110)</formula>
    </cfRule>
  </conditionalFormatting>
  <conditionalFormatting sqref="D114:D120">
    <cfRule type="expression" dxfId="62" priority="93" stopIfTrue="1">
      <formula>ISTEXT($C114)</formula>
    </cfRule>
  </conditionalFormatting>
  <conditionalFormatting sqref="D121">
    <cfRule type="expression" dxfId="61" priority="92" stopIfTrue="1">
      <formula>ISTEXT($C121)</formula>
    </cfRule>
  </conditionalFormatting>
  <conditionalFormatting sqref="D122">
    <cfRule type="expression" dxfId="60" priority="91" stopIfTrue="1">
      <formula>ISTEXT($C122)</formula>
    </cfRule>
  </conditionalFormatting>
  <conditionalFormatting sqref="D133">
    <cfRule type="expression" dxfId="59" priority="86" stopIfTrue="1">
      <formula>ISTEXT($C133)</formula>
    </cfRule>
  </conditionalFormatting>
  <conditionalFormatting sqref="D139">
    <cfRule type="expression" dxfId="58" priority="83" stopIfTrue="1">
      <formula>ISTEXT($C139)</formula>
    </cfRule>
  </conditionalFormatting>
  <conditionalFormatting sqref="D128:D132">
    <cfRule type="expression" dxfId="57" priority="87" stopIfTrue="1">
      <formula>ISTEXT($C128)</formula>
    </cfRule>
  </conditionalFormatting>
  <conditionalFormatting sqref="D134:D138">
    <cfRule type="expression" dxfId="56" priority="84" stopIfTrue="1">
      <formula>ISTEXT($C134)</formula>
    </cfRule>
  </conditionalFormatting>
  <conditionalFormatting sqref="D148">
    <cfRule type="expression" dxfId="55" priority="81" stopIfTrue="1">
      <formula>ISTEXT($C148)</formula>
    </cfRule>
  </conditionalFormatting>
  <conditionalFormatting sqref="D155:D160">
    <cfRule type="expression" dxfId="54" priority="78" stopIfTrue="1">
      <formula>ISTEXT($C155)</formula>
    </cfRule>
  </conditionalFormatting>
  <conditionalFormatting sqref="D161:D163">
    <cfRule type="expression" dxfId="53" priority="77" stopIfTrue="1">
      <formula>ISTEXT($C161)</formula>
    </cfRule>
  </conditionalFormatting>
  <conditionalFormatting sqref="D170:D172">
    <cfRule type="expression" dxfId="52" priority="75" stopIfTrue="1">
      <formula>ISTEXT($C170)</formula>
    </cfRule>
  </conditionalFormatting>
  <conditionalFormatting sqref="D173:D178">
    <cfRule type="expression" dxfId="51" priority="74" stopIfTrue="1">
      <formula>ISTEXT($C173)</formula>
    </cfRule>
  </conditionalFormatting>
  <conditionalFormatting sqref="D184">
    <cfRule type="expression" dxfId="50" priority="71" stopIfTrue="1">
      <formula>ISTEXT($C184)</formula>
    </cfRule>
  </conditionalFormatting>
  <conditionalFormatting sqref="D191">
    <cfRule type="expression" dxfId="49" priority="68" stopIfTrue="1">
      <formula>ISTEXT($C191)</formula>
    </cfRule>
  </conditionalFormatting>
  <conditionalFormatting sqref="D245:D247">
    <cfRule type="expression" dxfId="48" priority="61" stopIfTrue="1">
      <formula>ISTEXT($C245)</formula>
    </cfRule>
  </conditionalFormatting>
  <conditionalFormatting sqref="D262:E262">
    <cfRule type="expression" dxfId="47" priority="57" stopIfTrue="1">
      <formula>ISTEXT($C262)</formula>
    </cfRule>
  </conditionalFormatting>
  <conditionalFormatting sqref="D196:D198">
    <cfRule type="expression" dxfId="46" priority="54" stopIfTrue="1">
      <formula>ISTEXT($C196)</formula>
    </cfRule>
  </conditionalFormatting>
  <conditionalFormatting sqref="D125">
    <cfRule type="expression" dxfId="45" priority="53" stopIfTrue="1">
      <formula>ISTEXT($C125)</formula>
    </cfRule>
  </conditionalFormatting>
  <conditionalFormatting sqref="D179">
    <cfRule type="expression" dxfId="44" priority="52" stopIfTrue="1">
      <formula>ISTEXT($C179)</formula>
    </cfRule>
  </conditionalFormatting>
  <conditionalFormatting sqref="D185">
    <cfRule type="expression" dxfId="43" priority="51" stopIfTrue="1">
      <formula>ISTEXT($C185)</formula>
    </cfRule>
  </conditionalFormatting>
  <conditionalFormatting sqref="D194">
    <cfRule type="expression" dxfId="42" priority="50" stopIfTrue="1">
      <formula>ISTEXT($C194)</formula>
    </cfRule>
  </conditionalFormatting>
  <conditionalFormatting sqref="E263">
    <cfRule type="expression" dxfId="41" priority="46">
      <formula>E263=TRUE</formula>
    </cfRule>
    <cfRule type="expression" dxfId="40" priority="47">
      <formula>E263=FALSE</formula>
    </cfRule>
  </conditionalFormatting>
  <conditionalFormatting sqref="D273 G270:J270 D270:E270 M270">
    <cfRule type="expression" dxfId="39" priority="45" stopIfTrue="1">
      <formula>ISTEXT($C270)</formula>
    </cfRule>
  </conditionalFormatting>
  <conditionalFormatting sqref="G271:J271 M271">
    <cfRule type="expression" dxfId="38" priority="44" stopIfTrue="1">
      <formula>ISTEXT($C271)</formula>
    </cfRule>
  </conditionalFormatting>
  <conditionalFormatting sqref="D271">
    <cfRule type="expression" dxfId="37" priority="43" stopIfTrue="1">
      <formula>ISTEXT($C271)</formula>
    </cfRule>
  </conditionalFormatting>
  <conditionalFormatting sqref="E271">
    <cfRule type="expression" dxfId="36" priority="41">
      <formula>E271=TRUE</formula>
    </cfRule>
    <cfRule type="expression" dxfId="35" priority="42">
      <formula>E271=FALSE</formula>
    </cfRule>
  </conditionalFormatting>
  <conditionalFormatting sqref="G272:J272 D272:E272 M272">
    <cfRule type="expression" dxfId="34" priority="40" stopIfTrue="1">
      <formula>ISTEXT($C272)</formula>
    </cfRule>
  </conditionalFormatting>
  <conditionalFormatting sqref="D268">
    <cfRule type="expression" dxfId="33" priority="39" stopIfTrue="1">
      <formula>ISTEXT($C268)</formula>
    </cfRule>
  </conditionalFormatting>
  <conditionalFormatting sqref="D269">
    <cfRule type="expression" dxfId="32" priority="38" stopIfTrue="1">
      <formula>ISTEXT($C269)</formula>
    </cfRule>
  </conditionalFormatting>
  <conditionalFormatting sqref="D274">
    <cfRule type="expression" dxfId="31" priority="37" stopIfTrue="1">
      <formula>ISTEXT($C274)</formula>
    </cfRule>
  </conditionalFormatting>
  <conditionalFormatting sqref="D275">
    <cfRule type="expression" dxfId="30" priority="36" stopIfTrue="1">
      <formula>ISTEXT($C275)</formula>
    </cfRule>
  </conditionalFormatting>
  <conditionalFormatting sqref="D186">
    <cfRule type="expression" dxfId="29" priority="34" stopIfTrue="1">
      <formula>ISTEXT($C186)</formula>
    </cfRule>
  </conditionalFormatting>
  <conditionalFormatting sqref="D187">
    <cfRule type="expression" dxfId="28" priority="33" stopIfTrue="1">
      <formula>ISTEXT($C187)</formula>
    </cfRule>
  </conditionalFormatting>
  <conditionalFormatting sqref="D229">
    <cfRule type="expression" dxfId="27" priority="32" stopIfTrue="1">
      <formula>ISTEXT($C229)</formula>
    </cfRule>
  </conditionalFormatting>
  <conditionalFormatting sqref="D235 D237:D238">
    <cfRule type="expression" dxfId="26" priority="31" stopIfTrue="1">
      <formula>ISTEXT($C235)</formula>
    </cfRule>
  </conditionalFormatting>
  <conditionalFormatting sqref="D236">
    <cfRule type="expression" dxfId="25" priority="30" stopIfTrue="1">
      <formula>ISTEXT($C236)</formula>
    </cfRule>
  </conditionalFormatting>
  <conditionalFormatting sqref="K262:K264">
    <cfRule type="expression" dxfId="24" priority="29" stopIfTrue="1">
      <formula>ISTEXT($C262)</formula>
    </cfRule>
  </conditionalFormatting>
  <conditionalFormatting sqref="K270">
    <cfRule type="expression" dxfId="23" priority="28" stopIfTrue="1">
      <formula>ISTEXT($C270)</formula>
    </cfRule>
  </conditionalFormatting>
  <conditionalFormatting sqref="K271">
    <cfRule type="expression" dxfId="22" priority="27" stopIfTrue="1">
      <formula>ISTEXT($C271)</formula>
    </cfRule>
  </conditionalFormatting>
  <conditionalFormatting sqref="K272">
    <cfRule type="expression" dxfId="21" priority="26" stopIfTrue="1">
      <formula>ISTEXT($C272)</formula>
    </cfRule>
  </conditionalFormatting>
  <conditionalFormatting sqref="L262:L264">
    <cfRule type="expression" dxfId="20" priority="21" stopIfTrue="1">
      <formula>ISTEXT($C262)</formula>
    </cfRule>
  </conditionalFormatting>
  <conditionalFormatting sqref="L270">
    <cfRule type="expression" dxfId="19" priority="20" stopIfTrue="1">
      <formula>ISTEXT($C270)</formula>
    </cfRule>
  </conditionalFormatting>
  <conditionalFormatting sqref="L271">
    <cfRule type="expression" dxfId="18" priority="19" stopIfTrue="1">
      <formula>ISTEXT($C271)</formula>
    </cfRule>
  </conditionalFormatting>
  <conditionalFormatting sqref="L272">
    <cfRule type="expression" dxfId="17" priority="18" stopIfTrue="1">
      <formula>ISTEXT($C272)</formula>
    </cfRule>
  </conditionalFormatting>
  <conditionalFormatting sqref="D141:D143">
    <cfRule type="expression" dxfId="16" priority="17" stopIfTrue="1">
      <formula>ISTEXT($C141)</formula>
    </cfRule>
  </conditionalFormatting>
  <conditionalFormatting sqref="D145">
    <cfRule type="expression" dxfId="15" priority="16" stopIfTrue="1">
      <formula>ISTEXT($C145)</formula>
    </cfRule>
  </conditionalFormatting>
  <conditionalFormatting sqref="D192">
    <cfRule type="expression" dxfId="14" priority="15" stopIfTrue="1">
      <formula>ISTEXT($C192)</formula>
    </cfRule>
  </conditionalFormatting>
  <conditionalFormatting sqref="D201:D204">
    <cfRule type="expression" dxfId="13" priority="14" stopIfTrue="1">
      <formula>ISTEXT($C201)</formula>
    </cfRule>
  </conditionalFormatting>
  <conditionalFormatting sqref="D205">
    <cfRule type="expression" dxfId="12" priority="13" stopIfTrue="1">
      <formula>ISTEXT($C205)</formula>
    </cfRule>
  </conditionalFormatting>
  <conditionalFormatting sqref="D211">
    <cfRule type="expression" dxfId="11" priority="11" stopIfTrue="1">
      <formula>ISTEXT($C211)</formula>
    </cfRule>
  </conditionalFormatting>
  <conditionalFormatting sqref="D210">
    <cfRule type="expression" dxfId="10" priority="10" stopIfTrue="1">
      <formula>ISTEXT($C210)</formula>
    </cfRule>
  </conditionalFormatting>
  <conditionalFormatting sqref="D208">
    <cfRule type="expression" dxfId="9" priority="9" stopIfTrue="1">
      <formula>ISTEXT($C208)</formula>
    </cfRule>
  </conditionalFormatting>
  <conditionalFormatting sqref="D218 D221 D224">
    <cfRule type="expression" dxfId="8" priority="8" stopIfTrue="1">
      <formula>ISTEXT($C218)</formula>
    </cfRule>
  </conditionalFormatting>
  <conditionalFormatting sqref="D213:D216">
    <cfRule type="expression" dxfId="7" priority="7" stopIfTrue="1">
      <formula>ISTEXT($C213)</formula>
    </cfRule>
  </conditionalFormatting>
  <conditionalFormatting sqref="D217">
    <cfRule type="expression" dxfId="6" priority="6" stopIfTrue="1">
      <formula>ISTEXT($C217)</formula>
    </cfRule>
  </conditionalFormatting>
  <conditionalFormatting sqref="D223">
    <cfRule type="expression" dxfId="5" priority="5" stopIfTrue="1">
      <formula>ISTEXT($C223)</formula>
    </cfRule>
  </conditionalFormatting>
  <conditionalFormatting sqref="D220">
    <cfRule type="expression" dxfId="4" priority="3" stopIfTrue="1">
      <formula>ISTEXT($C220)</formula>
    </cfRule>
  </conditionalFormatting>
  <conditionalFormatting sqref="D219">
    <cfRule type="expression" dxfId="3" priority="2" stopIfTrue="1">
      <formula>ISTEXT($C219)</formula>
    </cfRule>
  </conditionalFormatting>
  <conditionalFormatting sqref="D222">
    <cfRule type="expression" dxfId="2" priority="1" stopIfTrue="1">
      <formula>ISTEXT($C222)</formula>
    </cfRule>
  </conditionalFormatting>
  <pageMargins left="0.5" right="0.5" top="0.5" bottom="0.5"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96600"/>
  </sheetPr>
  <dimension ref="A1:K161"/>
  <sheetViews>
    <sheetView view="pageBreakPreview" zoomScale="90" zoomScaleNormal="100" zoomScaleSheetLayoutView="90" workbookViewId="0">
      <selection activeCell="F21" sqref="F21"/>
    </sheetView>
  </sheetViews>
  <sheetFormatPr defaultColWidth="18.83203125" defaultRowHeight="12.75" customHeight="1"/>
  <cols>
    <col min="1" max="1" width="1.1640625" style="26" customWidth="1"/>
    <col min="2" max="3" width="3.83203125" style="26" customWidth="1"/>
    <col min="4" max="4" width="34.83203125" style="26" customWidth="1"/>
    <col min="5" max="9" width="20.83203125" style="26" customWidth="1"/>
    <col min="10" max="10" width="1.83203125" style="26" customWidth="1"/>
    <col min="11" max="11" width="20.83203125" style="26" customWidth="1"/>
    <col min="12" max="16384" width="18.83203125" style="26"/>
  </cols>
  <sheetData>
    <row r="1" spans="1:11" ht="12" thickBot="1"/>
    <row r="2" spans="1:11" s="505" customFormat="1" ht="23.25">
      <c r="A2" s="504"/>
      <c r="B2" s="1053" t="str">
        <f>"Competitor Report - "&amp;"Year "&amp;xxYear</f>
        <v>Competitor Report - Year 1</v>
      </c>
      <c r="C2" s="1182"/>
      <c r="D2" s="1182"/>
      <c r="E2" s="1182"/>
      <c r="F2" s="1182"/>
      <c r="G2" s="1182"/>
      <c r="H2" s="1182"/>
      <c r="I2" s="1182"/>
      <c r="J2" s="1182"/>
      <c r="K2" s="1054"/>
    </row>
    <row r="3" spans="1:11" s="479" customFormat="1" ht="15">
      <c r="B3" s="1183"/>
      <c r="C3" s="480"/>
      <c r="D3" s="481"/>
      <c r="E3" s="481"/>
      <c r="F3" s="481"/>
      <c r="G3" s="481"/>
      <c r="H3" s="481"/>
      <c r="I3" s="481"/>
      <c r="J3" s="480"/>
      <c r="K3" s="482"/>
    </row>
    <row r="4" spans="1:11" s="479" customFormat="1" ht="15.75">
      <c r="A4" s="483"/>
      <c r="B4" s="1184" t="s">
        <v>3268</v>
      </c>
      <c r="C4" s="1055"/>
      <c r="D4" s="1055"/>
      <c r="E4" s="1055" t="str">
        <f>decTeamName</f>
        <v>Entrevard</v>
      </c>
      <c r="F4" s="1055" t="str">
        <f>decTeamName</f>
        <v>Entrevard</v>
      </c>
      <c r="G4" s="1055" t="str">
        <f>decTeamName</f>
        <v>Entrevard</v>
      </c>
      <c r="H4" s="1055" t="str">
        <f>decTeamName</f>
        <v>Entrevard</v>
      </c>
      <c r="I4" s="1055" t="str">
        <f>decTeamName</f>
        <v>Entrevard</v>
      </c>
      <c r="J4" s="1055"/>
      <c r="K4" s="1056" t="s">
        <v>697</v>
      </c>
    </row>
    <row r="5" spans="1:11" s="479" customFormat="1" ht="15">
      <c r="B5" s="1183"/>
      <c r="C5" s="480"/>
      <c r="D5" s="481"/>
      <c r="E5" s="481"/>
      <c r="F5" s="481"/>
      <c r="G5" s="481"/>
      <c r="H5" s="481"/>
      <c r="I5" s="481"/>
      <c r="J5" s="480"/>
      <c r="K5" s="482"/>
    </row>
    <row r="6" spans="1:11" s="479" customFormat="1" ht="15">
      <c r="B6" s="1183" t="s">
        <v>4808</v>
      </c>
      <c r="C6" s="480"/>
      <c r="D6" s="480"/>
      <c r="E6" s="484">
        <f>finBookings</f>
        <v>441261193.15301216</v>
      </c>
      <c r="F6" s="484">
        <f>finBookings</f>
        <v>441261193.15301216</v>
      </c>
      <c r="G6" s="484">
        <f>finBookings</f>
        <v>441261193.15301216</v>
      </c>
      <c r="H6" s="484">
        <f>finBookings</f>
        <v>441261193.15301216</v>
      </c>
      <c r="I6" s="484">
        <f>finBookings</f>
        <v>441261193.15301216</v>
      </c>
      <c r="J6" s="480"/>
      <c r="K6" s="485">
        <f>AVERAGE(E6:I6)</f>
        <v>441261193.15301216</v>
      </c>
    </row>
    <row r="7" spans="1:11" s="479" customFormat="1" ht="15">
      <c r="B7" s="1183"/>
      <c r="C7" s="480" t="s">
        <v>4826</v>
      </c>
      <c r="D7" s="480"/>
      <c r="E7" s="486">
        <f>finBookingsCAGR</f>
        <v>0.30292902901643148</v>
      </c>
      <c r="F7" s="486">
        <f>finBookingsCAGR</f>
        <v>0.30292902901643148</v>
      </c>
      <c r="G7" s="486">
        <f>finBookingsCAGR</f>
        <v>0.30292902901643148</v>
      </c>
      <c r="H7" s="486">
        <f>finBookingsCAGR</f>
        <v>0.30292902901643148</v>
      </c>
      <c r="I7" s="486">
        <f>finBookingsCAGR</f>
        <v>0.30292902901643148</v>
      </c>
      <c r="J7" s="480"/>
      <c r="K7" s="487">
        <f>AVERAGE(E7:I7)</f>
        <v>0.30292902901643148</v>
      </c>
    </row>
    <row r="8" spans="1:11" s="479" customFormat="1" ht="6" customHeight="1">
      <c r="B8" s="1183"/>
      <c r="C8" s="480"/>
      <c r="D8" s="480"/>
      <c r="E8" s="486"/>
      <c r="F8" s="486"/>
      <c r="G8" s="486"/>
      <c r="H8" s="486"/>
      <c r="I8" s="486"/>
      <c r="J8" s="480"/>
      <c r="K8" s="487"/>
    </row>
    <row r="9" spans="1:11" s="479" customFormat="1" ht="15">
      <c r="B9" s="1183" t="s">
        <v>4558</v>
      </c>
      <c r="C9" s="480"/>
      <c r="D9" s="480"/>
      <c r="E9" s="484">
        <f>finPNLTotalRev</f>
        <v>200512505.05278993</v>
      </c>
      <c r="F9" s="484">
        <f>finPNLTotalRev</f>
        <v>200512505.05278993</v>
      </c>
      <c r="G9" s="484">
        <f>finPNLTotalRev</f>
        <v>200512505.05278993</v>
      </c>
      <c r="H9" s="484">
        <f>finPNLTotalRev</f>
        <v>200512505.05278993</v>
      </c>
      <c r="I9" s="484">
        <f>finPNLTotalRev</f>
        <v>200512505.05278993</v>
      </c>
      <c r="J9" s="480"/>
      <c r="K9" s="485">
        <f t="shared" ref="K9:K26" si="0">AVERAGE(E9:I9)</f>
        <v>200512505.05278993</v>
      </c>
    </row>
    <row r="10" spans="1:11" s="479" customFormat="1" ht="6" customHeight="1">
      <c r="B10" s="1183"/>
      <c r="C10" s="480"/>
      <c r="D10" s="480"/>
      <c r="E10" s="486"/>
      <c r="F10" s="486"/>
      <c r="G10" s="486"/>
      <c r="H10" s="486"/>
      <c r="I10" s="486"/>
      <c r="J10" s="480"/>
      <c r="K10" s="487"/>
    </row>
    <row r="11" spans="1:11" s="479" customFormat="1" ht="15">
      <c r="B11" s="1183" t="s">
        <v>769</v>
      </c>
      <c r="C11" s="480"/>
      <c r="D11" s="480"/>
      <c r="E11" s="484">
        <f>finPNLTotalRev-finPNLTotalGrossProfit</f>
        <v>96133094.602367491</v>
      </c>
      <c r="F11" s="484">
        <f>finPNLTotalRev-finPNLTotalGrossProfit</f>
        <v>96133094.602367491</v>
      </c>
      <c r="G11" s="484">
        <f>finPNLTotalRev-finPNLTotalGrossProfit</f>
        <v>96133094.602367491</v>
      </c>
      <c r="H11" s="484">
        <f>finPNLTotalRev-finPNLTotalGrossProfit</f>
        <v>96133094.602367491</v>
      </c>
      <c r="I11" s="484">
        <f>finPNLTotalRev-finPNLTotalGrossProfit</f>
        <v>96133094.602367491</v>
      </c>
      <c r="J11" s="480"/>
      <c r="K11" s="485">
        <f t="shared" si="0"/>
        <v>96133094.602367491</v>
      </c>
    </row>
    <row r="12" spans="1:11" s="479" customFormat="1" ht="6" customHeight="1">
      <c r="B12" s="1183"/>
      <c r="C12" s="480"/>
      <c r="D12" s="480"/>
      <c r="E12" s="484"/>
      <c r="F12" s="484"/>
      <c r="G12" s="484"/>
      <c r="H12" s="484"/>
      <c r="I12" s="484"/>
      <c r="J12" s="480"/>
      <c r="K12" s="485"/>
    </row>
    <row r="13" spans="1:11" s="479" customFormat="1" ht="15">
      <c r="B13" s="1183" t="s">
        <v>4715</v>
      </c>
      <c r="C13" s="480"/>
      <c r="D13" s="480"/>
      <c r="E13" s="484">
        <f>finPNLTotalGrossProfit</f>
        <v>104379410.45042244</v>
      </c>
      <c r="F13" s="484">
        <f>finPNLTotalGrossProfit</f>
        <v>104379410.45042244</v>
      </c>
      <c r="G13" s="484">
        <f>finPNLTotalGrossProfit</f>
        <v>104379410.45042244</v>
      </c>
      <c r="H13" s="484">
        <f>finPNLTotalGrossProfit</f>
        <v>104379410.45042244</v>
      </c>
      <c r="I13" s="484">
        <f>finPNLTotalGrossProfit</f>
        <v>104379410.45042244</v>
      </c>
      <c r="J13" s="480"/>
      <c r="K13" s="485">
        <f t="shared" si="0"/>
        <v>104379410.45042244</v>
      </c>
    </row>
    <row r="14" spans="1:11" s="479" customFormat="1" ht="15">
      <c r="B14" s="1183"/>
      <c r="C14" s="480" t="s">
        <v>4823</v>
      </c>
      <c r="D14" s="480"/>
      <c r="E14" s="486">
        <f>E13/E9</f>
        <v>0.52056309616670515</v>
      </c>
      <c r="F14" s="486">
        <f>F13/F9</f>
        <v>0.52056309616670515</v>
      </c>
      <c r="G14" s="486">
        <f>G13/G9</f>
        <v>0.52056309616670515</v>
      </c>
      <c r="H14" s="486">
        <f>H13/H9</f>
        <v>0.52056309616670515</v>
      </c>
      <c r="I14" s="486">
        <f>I13/I9</f>
        <v>0.52056309616670515</v>
      </c>
      <c r="J14" s="480"/>
      <c r="K14" s="487">
        <f t="shared" si="0"/>
        <v>0.52056309616670515</v>
      </c>
    </row>
    <row r="15" spans="1:11" s="479" customFormat="1" ht="6" customHeight="1">
      <c r="B15" s="1183"/>
      <c r="C15" s="480"/>
      <c r="D15" s="480"/>
      <c r="E15" s="486"/>
      <c r="F15" s="486"/>
      <c r="G15" s="486"/>
      <c r="H15" s="486"/>
      <c r="I15" s="486"/>
      <c r="J15" s="480"/>
      <c r="K15" s="487"/>
    </row>
    <row r="16" spans="1:11" s="479" customFormat="1" ht="15">
      <c r="B16" s="1183" t="s">
        <v>771</v>
      </c>
      <c r="C16" s="480"/>
      <c r="D16" s="480"/>
      <c r="E16" s="484">
        <f>finPNLTotalMSExp</f>
        <v>59610137.848936141</v>
      </c>
      <c r="F16" s="484">
        <f>finPNLTotalMSExp</f>
        <v>59610137.848936141</v>
      </c>
      <c r="G16" s="484">
        <f>finPNLTotalMSExp</f>
        <v>59610137.848936141</v>
      </c>
      <c r="H16" s="484">
        <f>finPNLTotalMSExp</f>
        <v>59610137.848936141</v>
      </c>
      <c r="I16" s="484">
        <f>finPNLTotalMSExp</f>
        <v>59610137.848936141</v>
      </c>
      <c r="J16" s="480"/>
      <c r="K16" s="485">
        <f t="shared" si="0"/>
        <v>59610137.848936141</v>
      </c>
    </row>
    <row r="17" spans="1:11" s="479" customFormat="1" ht="6" customHeight="1">
      <c r="B17" s="1183"/>
      <c r="C17" s="480"/>
      <c r="D17" s="480"/>
      <c r="E17" s="484"/>
      <c r="F17" s="484"/>
      <c r="G17" s="484"/>
      <c r="H17" s="484"/>
      <c r="I17" s="484"/>
      <c r="J17" s="480"/>
      <c r="K17" s="485"/>
    </row>
    <row r="18" spans="1:11" s="479" customFormat="1" ht="15">
      <c r="B18" s="1183" t="s">
        <v>770</v>
      </c>
      <c r="C18" s="480"/>
      <c r="D18" s="480"/>
      <c r="E18" s="484">
        <f>finPNLTotalOpExp</f>
        <v>70747350</v>
      </c>
      <c r="F18" s="484">
        <f>finPNLTotalOpExp</f>
        <v>70747350</v>
      </c>
      <c r="G18" s="484">
        <f>finPNLTotalOpExp</f>
        <v>70747350</v>
      </c>
      <c r="H18" s="484">
        <f>finPNLTotalOpExp</f>
        <v>70747350</v>
      </c>
      <c r="I18" s="484">
        <f>finPNLTotalOpExp</f>
        <v>70747350</v>
      </c>
      <c r="J18" s="480"/>
      <c r="K18" s="485">
        <f t="shared" si="0"/>
        <v>70747350</v>
      </c>
    </row>
    <row r="19" spans="1:11" s="479" customFormat="1" ht="6" customHeight="1">
      <c r="B19" s="1183"/>
      <c r="C19" s="480"/>
      <c r="D19" s="480"/>
      <c r="E19" s="484"/>
      <c r="F19" s="484"/>
      <c r="G19" s="484"/>
      <c r="H19" s="484"/>
      <c r="I19" s="484"/>
      <c r="J19" s="480"/>
      <c r="K19" s="485"/>
    </row>
    <row r="20" spans="1:11" s="479" customFormat="1" ht="15">
      <c r="B20" s="1183" t="s">
        <v>4828</v>
      </c>
      <c r="C20" s="480"/>
      <c r="D20" s="480"/>
      <c r="E20" s="484">
        <f>finPNLRDExp</f>
        <v>10023452.299999999</v>
      </c>
      <c r="F20" s="484">
        <f>finPNLRDExp</f>
        <v>10023452.299999999</v>
      </c>
      <c r="G20" s="484">
        <f>finPNLRDExp</f>
        <v>10023452.299999999</v>
      </c>
      <c r="H20" s="484">
        <f>finPNLRDExp</f>
        <v>10023452.299999999</v>
      </c>
      <c r="I20" s="484">
        <f>finPNLRDExp</f>
        <v>10023452.299999999</v>
      </c>
      <c r="J20" s="480"/>
      <c r="K20" s="485">
        <f>AVERAGE(E20:I20)</f>
        <v>10023452.299999999</v>
      </c>
    </row>
    <row r="21" spans="1:11" s="479" customFormat="1" ht="6" customHeight="1">
      <c r="B21" s="1183"/>
      <c r="C21" s="480"/>
      <c r="D21" s="480"/>
      <c r="E21" s="484"/>
      <c r="F21" s="484"/>
      <c r="G21" s="484"/>
      <c r="H21" s="484"/>
      <c r="I21" s="484"/>
      <c r="J21" s="480"/>
      <c r="K21" s="485"/>
    </row>
    <row r="22" spans="1:11" s="479" customFormat="1" ht="15">
      <c r="B22" s="1183" t="s">
        <v>4716</v>
      </c>
      <c r="C22" s="480"/>
      <c r="D22" s="480"/>
      <c r="E22" s="484">
        <f>finPNLTotalOpIncome</f>
        <v>-36001529.698513702</v>
      </c>
      <c r="F22" s="484">
        <f>finPNLTotalOpIncome</f>
        <v>-36001529.698513702</v>
      </c>
      <c r="G22" s="484">
        <f>finPNLTotalOpIncome</f>
        <v>-36001529.698513702</v>
      </c>
      <c r="H22" s="484">
        <f>finPNLTotalOpIncome</f>
        <v>-36001529.698513702</v>
      </c>
      <c r="I22" s="484">
        <f>finPNLTotalOpIncome</f>
        <v>-36001529.698513702</v>
      </c>
      <c r="J22" s="480"/>
      <c r="K22" s="485">
        <f t="shared" si="0"/>
        <v>-36001529.698513702</v>
      </c>
    </row>
    <row r="23" spans="1:11" s="479" customFormat="1" ht="15">
      <c r="B23" s="1183"/>
      <c r="C23" s="480" t="s">
        <v>4824</v>
      </c>
      <c r="D23" s="480"/>
      <c r="E23" s="486">
        <f>E22/E9</f>
        <v>-0.17954755335102615</v>
      </c>
      <c r="F23" s="486">
        <f>F22/F9</f>
        <v>-0.17954755335102615</v>
      </c>
      <c r="G23" s="486">
        <f>G22/G9</f>
        <v>-0.17954755335102615</v>
      </c>
      <c r="H23" s="486">
        <f>H22/H9</f>
        <v>-0.17954755335102615</v>
      </c>
      <c r="I23" s="486">
        <f>I22/I9</f>
        <v>-0.17954755335102615</v>
      </c>
      <c r="J23" s="480"/>
      <c r="K23" s="487">
        <f t="shared" si="0"/>
        <v>-0.17954755335102615</v>
      </c>
    </row>
    <row r="24" spans="1:11" s="479" customFormat="1" ht="15">
      <c r="B24" s="1183"/>
      <c r="C24" s="480"/>
      <c r="D24" s="480"/>
      <c r="E24" s="593"/>
      <c r="F24" s="481"/>
      <c r="G24" s="481"/>
      <c r="H24" s="481"/>
      <c r="I24" s="481"/>
      <c r="J24" s="480"/>
      <c r="K24" s="482"/>
    </row>
    <row r="25" spans="1:11" s="479" customFormat="1" ht="15">
      <c r="B25" s="1183" t="s">
        <v>4932</v>
      </c>
      <c r="C25" s="480"/>
      <c r="D25" s="480"/>
      <c r="E25" s="584">
        <f ca="1">capESATEnd</f>
        <v>0.6174379006842422</v>
      </c>
      <c r="F25" s="584">
        <f ca="1">capESATEnd</f>
        <v>0.6174379006842422</v>
      </c>
      <c r="G25" s="584">
        <f ca="1">capESATEnd</f>
        <v>0.6174379006842422</v>
      </c>
      <c r="H25" s="584">
        <f ca="1">capESATEnd</f>
        <v>0.6174379006842422</v>
      </c>
      <c r="I25" s="584">
        <f ca="1">capESATEnd</f>
        <v>0.6174379006842422</v>
      </c>
      <c r="J25" s="585"/>
      <c r="K25" s="586">
        <f t="shared" ca="1" si="0"/>
        <v>0.6174379006842422</v>
      </c>
    </row>
    <row r="26" spans="1:11" s="479" customFormat="1" ht="15">
      <c r="B26" s="1183" t="s">
        <v>4933</v>
      </c>
      <c r="C26" s="480"/>
      <c r="D26" s="480"/>
      <c r="E26" s="488">
        <f ca="1">capCSATEnd</f>
        <v>0.67005549739544945</v>
      </c>
      <c r="F26" s="488">
        <f ca="1">capCSATEnd</f>
        <v>0.67005549739544945</v>
      </c>
      <c r="G26" s="488">
        <f ca="1">capCSATEnd</f>
        <v>0.67005549739544945</v>
      </c>
      <c r="H26" s="488">
        <f ca="1">capCSATEnd</f>
        <v>0.67005549739544945</v>
      </c>
      <c r="I26" s="488">
        <f ca="1">capCSATEnd</f>
        <v>0.67005549739544945</v>
      </c>
      <c r="J26" s="480"/>
      <c r="K26" s="489">
        <f t="shared" ca="1" si="0"/>
        <v>0.67005549739544945</v>
      </c>
    </row>
    <row r="27" spans="1:11" s="479" customFormat="1" ht="15.75" thickBot="1">
      <c r="B27" s="493"/>
      <c r="C27" s="1185"/>
      <c r="D27" s="1185"/>
      <c r="E27" s="1186"/>
      <c r="F27" s="1186"/>
      <c r="G27" s="1186"/>
      <c r="H27" s="1186"/>
      <c r="I27" s="1186"/>
      <c r="J27" s="1185"/>
      <c r="K27" s="1187"/>
    </row>
    <row r="28" spans="1:11" s="507" customFormat="1" ht="23.25">
      <c r="A28" s="506"/>
      <c r="B28" s="1053" t="str">
        <f>"Competitor Report - "&amp;"Year "&amp;xxYear</f>
        <v>Competitor Report - Year 1</v>
      </c>
      <c r="C28" s="1182"/>
      <c r="D28" s="1182"/>
      <c r="E28" s="1182"/>
      <c r="F28" s="1182"/>
      <c r="G28" s="1182"/>
      <c r="H28" s="1182"/>
      <c r="I28" s="1182"/>
      <c r="J28" s="1182"/>
      <c r="K28" s="1054"/>
    </row>
    <row r="29" spans="1:11" s="479" customFormat="1" ht="15">
      <c r="B29" s="1183"/>
      <c r="C29" s="480"/>
      <c r="D29" s="481"/>
      <c r="E29" s="481"/>
      <c r="F29" s="481"/>
      <c r="G29" s="481"/>
      <c r="H29" s="481"/>
      <c r="I29" s="481"/>
      <c r="J29" s="480"/>
      <c r="K29" s="482"/>
    </row>
    <row r="30" spans="1:11" s="479" customFormat="1" ht="15.75">
      <c r="A30" s="483"/>
      <c r="B30" s="1184" t="s">
        <v>4827</v>
      </c>
      <c r="C30" s="1055"/>
      <c r="D30" s="1055"/>
      <c r="E30" s="1055" t="str">
        <f>decTeamName</f>
        <v>Entrevard</v>
      </c>
      <c r="F30" s="1055" t="str">
        <f>decTeamName</f>
        <v>Entrevard</v>
      </c>
      <c r="G30" s="1055" t="str">
        <f>decTeamName</f>
        <v>Entrevard</v>
      </c>
      <c r="H30" s="1055" t="str">
        <f>decTeamName</f>
        <v>Entrevard</v>
      </c>
      <c r="I30" s="1055" t="str">
        <f>decTeamName</f>
        <v>Entrevard</v>
      </c>
      <c r="J30" s="1055"/>
      <c r="K30" s="1056" t="s">
        <v>697</v>
      </c>
    </row>
    <row r="31" spans="1:11" s="479" customFormat="1" ht="3" customHeight="1">
      <c r="B31" s="1183"/>
      <c r="C31" s="480"/>
      <c r="D31" s="480"/>
      <c r="E31" s="480"/>
      <c r="F31" s="480"/>
      <c r="G31" s="480"/>
      <c r="H31" s="480"/>
      <c r="I31" s="480"/>
      <c r="J31" s="480"/>
      <c r="K31" s="490"/>
    </row>
    <row r="32" spans="1:11" s="479" customFormat="1" ht="15.75">
      <c r="B32" s="1188" t="s">
        <v>3407</v>
      </c>
      <c r="C32" s="480"/>
      <c r="D32" s="480"/>
      <c r="E32" s="480"/>
      <c r="F32" s="480"/>
      <c r="G32" s="480"/>
      <c r="H32" s="480"/>
      <c r="I32" s="480"/>
      <c r="J32" s="480"/>
      <c r="K32" s="490"/>
    </row>
    <row r="33" spans="2:11" s="479" customFormat="1" ht="15">
      <c r="B33" s="1183"/>
      <c r="C33" s="495" t="s">
        <v>1010</v>
      </c>
      <c r="D33" s="480"/>
      <c r="E33" s="480"/>
      <c r="F33" s="480"/>
      <c r="G33" s="480"/>
      <c r="H33" s="480"/>
      <c r="I33" s="480"/>
      <c r="J33" s="480"/>
      <c r="K33" s="490"/>
    </row>
    <row r="34" spans="2:11" s="479" customFormat="1" ht="15">
      <c r="B34" s="1183"/>
      <c r="C34" s="480"/>
      <c r="D34" s="480" t="s">
        <v>4699</v>
      </c>
      <c r="E34" s="491">
        <f>finPNLProd1V1Rev</f>
        <v>115165477.39585172</v>
      </c>
      <c r="F34" s="491">
        <f>finPNLProd1V1Rev</f>
        <v>115165477.39585172</v>
      </c>
      <c r="G34" s="491">
        <f>finPNLProd1V1Rev</f>
        <v>115165477.39585172</v>
      </c>
      <c r="H34" s="491">
        <f>finPNLProd1V1Rev</f>
        <v>115165477.39585172</v>
      </c>
      <c r="I34" s="491">
        <f>finPNLProd1V1Rev</f>
        <v>115165477.39585172</v>
      </c>
      <c r="J34" s="480"/>
      <c r="K34" s="492">
        <f>AVERAGE(E34:I34)</f>
        <v>115165477.3958517</v>
      </c>
    </row>
    <row r="35" spans="2:11" s="479" customFormat="1" ht="15">
      <c r="B35" s="1183"/>
      <c r="C35" s="480"/>
      <c r="D35" s="480" t="s">
        <v>4700</v>
      </c>
      <c r="E35" s="491">
        <f>finPNLProd1V2Rev</f>
        <v>62659656.377267309</v>
      </c>
      <c r="F35" s="491">
        <f>finPNLProd1V2Rev</f>
        <v>62659656.377267309</v>
      </c>
      <c r="G35" s="491">
        <f>finPNLProd1V2Rev</f>
        <v>62659656.377267309</v>
      </c>
      <c r="H35" s="491">
        <f>finPNLProd1V2Rev</f>
        <v>62659656.377267309</v>
      </c>
      <c r="I35" s="491">
        <f>finPNLProd1V2Rev</f>
        <v>62659656.377267309</v>
      </c>
      <c r="J35" s="480"/>
      <c r="K35" s="492">
        <f>AVERAGE(E35:I35)</f>
        <v>62659656.377267316</v>
      </c>
    </row>
    <row r="36" spans="2:11" s="479" customFormat="1" ht="15">
      <c r="B36" s="1183"/>
      <c r="C36" s="480"/>
      <c r="D36" s="480" t="s">
        <v>5157</v>
      </c>
      <c r="E36" s="491">
        <f>finPNLProd1V3Rev</f>
        <v>22687371.279670905</v>
      </c>
      <c r="F36" s="491">
        <f>finPNLProd1V3Rev</f>
        <v>22687371.279670905</v>
      </c>
      <c r="G36" s="491">
        <f>finPNLProd1V3Rev</f>
        <v>22687371.279670905</v>
      </c>
      <c r="H36" s="491">
        <f>finPNLProd1V3Rev</f>
        <v>22687371.279670905</v>
      </c>
      <c r="I36" s="491">
        <f>finPNLProd1V3Rev</f>
        <v>22687371.279670905</v>
      </c>
      <c r="J36" s="480"/>
      <c r="K36" s="492">
        <f>AVERAGE(E36:I36)</f>
        <v>22687371.279670905</v>
      </c>
    </row>
    <row r="37" spans="2:11" s="479" customFormat="1" ht="15">
      <c r="B37" s="1183"/>
      <c r="C37" s="480"/>
      <c r="D37" s="480" t="s">
        <v>1340</v>
      </c>
      <c r="E37" s="496">
        <f>SUM(E34:E36)</f>
        <v>200512505.05278993</v>
      </c>
      <c r="F37" s="496">
        <f>SUM(F34:F36)</f>
        <v>200512505.05278993</v>
      </c>
      <c r="G37" s="496">
        <f>SUM(G34:G36)</f>
        <v>200512505.05278993</v>
      </c>
      <c r="H37" s="496">
        <f>SUM(H34:H36)</f>
        <v>200512505.05278993</v>
      </c>
      <c r="I37" s="496">
        <f>SUM(I34:I36)</f>
        <v>200512505.05278993</v>
      </c>
      <c r="J37" s="480"/>
      <c r="K37" s="497">
        <f>AVERAGE(E37:I37)</f>
        <v>200512505.05278993</v>
      </c>
    </row>
    <row r="38" spans="2:11" s="479" customFormat="1" ht="15.75">
      <c r="B38" s="1188" t="s">
        <v>1011</v>
      </c>
      <c r="C38" s="480"/>
      <c r="D38" s="480"/>
      <c r="E38" s="480"/>
      <c r="F38" s="480"/>
      <c r="G38" s="480"/>
      <c r="H38" s="480"/>
      <c r="I38" s="480"/>
      <c r="J38" s="480"/>
      <c r="K38" s="490"/>
    </row>
    <row r="39" spans="2:11" s="479" customFormat="1" ht="6" customHeight="1">
      <c r="B39" s="1188"/>
      <c r="C39" s="480"/>
      <c r="D39" s="480"/>
      <c r="E39" s="480"/>
      <c r="F39" s="480"/>
      <c r="G39" s="480"/>
      <c r="H39" s="480"/>
      <c r="I39" s="480"/>
      <c r="J39" s="480"/>
      <c r="K39" s="490"/>
    </row>
    <row r="40" spans="2:11" s="479" customFormat="1" ht="15">
      <c r="B40" s="1183"/>
      <c r="C40" s="495" t="s">
        <v>4699</v>
      </c>
      <c r="D40" s="480"/>
      <c r="E40" s="496"/>
      <c r="F40" s="496"/>
      <c r="G40" s="496"/>
      <c r="H40" s="496"/>
      <c r="I40" s="496"/>
      <c r="J40" s="480"/>
      <c r="K40" s="490"/>
    </row>
    <row r="41" spans="2:11" s="479" customFormat="1" ht="15">
      <c r="B41" s="1183"/>
      <c r="C41" s="480"/>
      <c r="D41" s="480" t="s">
        <v>4873</v>
      </c>
      <c r="E41" s="498">
        <f>decProd1Price</f>
        <v>255</v>
      </c>
      <c r="F41" s="498">
        <f>decProd1Price</f>
        <v>255</v>
      </c>
      <c r="G41" s="498">
        <f>decProd1Price</f>
        <v>255</v>
      </c>
      <c r="H41" s="498">
        <f>decProd1Price</f>
        <v>255</v>
      </c>
      <c r="I41" s="498">
        <f>decProd1Price</f>
        <v>255</v>
      </c>
      <c r="J41" s="480"/>
      <c r="K41" s="499">
        <f>AVERAGE(E41:I41)</f>
        <v>255</v>
      </c>
    </row>
    <row r="42" spans="2:11" s="479" customFormat="1" ht="15">
      <c r="B42" s="1183"/>
      <c r="C42" s="480"/>
      <c r="D42" s="480" t="s">
        <v>699</v>
      </c>
      <c r="E42" s="500">
        <f>cbalBusAV1HrsSold</f>
        <v>852248.16297476855</v>
      </c>
      <c r="F42" s="500">
        <f>cbalBusAV1HrsSold</f>
        <v>852248.16297476855</v>
      </c>
      <c r="G42" s="500">
        <f>cbalBusAV1HrsSold</f>
        <v>852248.16297476855</v>
      </c>
      <c r="H42" s="500">
        <f>cbalBusAV1HrsSold</f>
        <v>852248.16297476855</v>
      </c>
      <c r="I42" s="500">
        <f>cbalBusAV1HrsSold</f>
        <v>852248.16297476855</v>
      </c>
      <c r="J42" s="480"/>
      <c r="K42" s="501">
        <f>AVERAGE(E42:I42)</f>
        <v>852248.16297476855</v>
      </c>
    </row>
    <row r="43" spans="2:11" s="479" customFormat="1" ht="15">
      <c r="B43" s="1183"/>
      <c r="C43" s="480"/>
      <c r="D43" s="480" t="s">
        <v>698</v>
      </c>
      <c r="E43" s="502">
        <f>cbalBusAV1MktShr</f>
        <v>0.2</v>
      </c>
      <c r="F43" s="502">
        <f>cbalBusAV1MktShr</f>
        <v>0.2</v>
      </c>
      <c r="G43" s="502">
        <f>cbalBusAV1MktShr</f>
        <v>0.2</v>
      </c>
      <c r="H43" s="502">
        <f>cbalBusAV1MktShr</f>
        <v>0.2</v>
      </c>
      <c r="I43" s="502">
        <f>cbalBusAV1MktShr</f>
        <v>0.2</v>
      </c>
      <c r="J43" s="480"/>
      <c r="K43" s="503">
        <f>AVERAGE(E43:I43)</f>
        <v>0.2</v>
      </c>
    </row>
    <row r="44" spans="2:11" s="479" customFormat="1" ht="15">
      <c r="B44" s="1183"/>
      <c r="C44" s="480"/>
      <c r="D44" s="480" t="s">
        <v>983</v>
      </c>
      <c r="E44" s="496">
        <f>cbalBusAV1HrsSold*cbalBusAV1PricePerHr</f>
        <v>217323281.55856597</v>
      </c>
      <c r="F44" s="496">
        <f>cbalBusAV1HrsSold*cbalBusAV1PricePerHr</f>
        <v>217323281.55856597</v>
      </c>
      <c r="G44" s="496">
        <f>cbalBusAV1HrsSold*cbalBusAV1PricePerHr</f>
        <v>217323281.55856597</v>
      </c>
      <c r="H44" s="496">
        <f>cbalBusAV1HrsSold*cbalBusAV1PricePerHr</f>
        <v>217323281.55856597</v>
      </c>
      <c r="I44" s="496">
        <f>cbalBusAV1HrsSold*cbalBusAV1PricePerHr</f>
        <v>217323281.55856597</v>
      </c>
      <c r="J44" s="480"/>
      <c r="K44" s="497">
        <f>AVERAGE(E44:I44)</f>
        <v>217323281.558566</v>
      </c>
    </row>
    <row r="45" spans="2:11" s="479" customFormat="1" ht="6" customHeight="1">
      <c r="B45" s="1183"/>
      <c r="C45" s="480"/>
      <c r="D45" s="480"/>
      <c r="E45" s="496"/>
      <c r="F45" s="496"/>
      <c r="G45" s="496"/>
      <c r="H45" s="496"/>
      <c r="I45" s="496"/>
      <c r="J45" s="480"/>
      <c r="K45" s="497"/>
    </row>
    <row r="46" spans="2:11" s="479" customFormat="1" ht="15">
      <c r="B46" s="1183"/>
      <c r="C46" s="495" t="s">
        <v>4700</v>
      </c>
      <c r="D46" s="480"/>
      <c r="E46" s="480"/>
      <c r="F46" s="480"/>
      <c r="G46" s="480"/>
      <c r="H46" s="480"/>
      <c r="I46" s="480"/>
      <c r="J46" s="480"/>
      <c r="K46" s="490"/>
    </row>
    <row r="47" spans="2:11" s="479" customFormat="1" ht="15">
      <c r="B47" s="1183"/>
      <c r="C47" s="480"/>
      <c r="D47" s="480" t="s">
        <v>4873</v>
      </c>
      <c r="E47" s="498">
        <f>decProd1V2Price</f>
        <v>275</v>
      </c>
      <c r="F47" s="498">
        <f>decProd1V2Price</f>
        <v>275</v>
      </c>
      <c r="G47" s="498">
        <f>decProd1V2Price</f>
        <v>275</v>
      </c>
      <c r="H47" s="498">
        <f>decProd1V2Price</f>
        <v>275</v>
      </c>
      <c r="I47" s="498">
        <f>decProd1V2Price</f>
        <v>275</v>
      </c>
      <c r="J47" s="480"/>
      <c r="K47" s="499">
        <f>AVERAGE(E47:I47)</f>
        <v>275</v>
      </c>
    </row>
    <row r="48" spans="2:11" s="479" customFormat="1" ht="15">
      <c r="B48" s="1183"/>
      <c r="C48" s="480"/>
      <c r="D48" s="480" t="s">
        <v>699</v>
      </c>
      <c r="E48" s="500">
        <f>cbalBusAV2HrsSold</f>
        <v>539313.29063247086</v>
      </c>
      <c r="F48" s="500">
        <f>cbalBusAV2HrsSold</f>
        <v>539313.29063247086</v>
      </c>
      <c r="G48" s="500">
        <f>cbalBusAV2HrsSold</f>
        <v>539313.29063247086</v>
      </c>
      <c r="H48" s="500">
        <f>cbalBusAV2HrsSold</f>
        <v>539313.29063247086</v>
      </c>
      <c r="I48" s="500">
        <f>cbalBusAV2HrsSold</f>
        <v>539313.29063247086</v>
      </c>
      <c r="J48" s="480"/>
      <c r="K48" s="501">
        <f>AVERAGE(E48:I48)</f>
        <v>539313.29063247086</v>
      </c>
    </row>
    <row r="49" spans="2:11" s="479" customFormat="1" ht="15">
      <c r="B49" s="1183"/>
      <c r="C49" s="480"/>
      <c r="D49" s="480" t="s">
        <v>698</v>
      </c>
      <c r="E49" s="502">
        <f>cbalBusAV2MktShr</f>
        <v>0.2</v>
      </c>
      <c r="F49" s="502">
        <f>cbalBusAV2MktShr</f>
        <v>0.2</v>
      </c>
      <c r="G49" s="502">
        <f>cbalBusAV2MktShr</f>
        <v>0.2</v>
      </c>
      <c r="H49" s="502">
        <f>cbalBusAV2MktShr</f>
        <v>0.2</v>
      </c>
      <c r="I49" s="502">
        <f>cbalBusAV2MktShr</f>
        <v>0.2</v>
      </c>
      <c r="J49" s="480"/>
      <c r="K49" s="503">
        <f>AVERAGE(E49:I49)</f>
        <v>0.2</v>
      </c>
    </row>
    <row r="50" spans="2:11" s="479" customFormat="1" ht="15">
      <c r="B50" s="1183"/>
      <c r="C50" s="480"/>
      <c r="D50" s="480" t="s">
        <v>983</v>
      </c>
      <c r="E50" s="496">
        <f>cbalBusAV2HrsSold*cbalBusAV2PricePerHr</f>
        <v>148311154.92392948</v>
      </c>
      <c r="F50" s="496">
        <f>cbalBusAV2HrsSold*cbalBusAV2PricePerHr</f>
        <v>148311154.92392948</v>
      </c>
      <c r="G50" s="496">
        <f>cbalBusAV2HrsSold*cbalBusAV2PricePerHr</f>
        <v>148311154.92392948</v>
      </c>
      <c r="H50" s="496">
        <f>cbalBusAV2HrsSold*cbalBusAV2PricePerHr</f>
        <v>148311154.92392948</v>
      </c>
      <c r="I50" s="496">
        <f>cbalBusAV2HrsSold*cbalBusAV2PricePerHr</f>
        <v>148311154.92392948</v>
      </c>
      <c r="J50" s="480"/>
      <c r="K50" s="497">
        <f>AVERAGE(E50:I50)</f>
        <v>148311154.92392948</v>
      </c>
    </row>
    <row r="51" spans="2:11" s="479" customFormat="1" ht="6" customHeight="1">
      <c r="B51" s="1183"/>
      <c r="C51" s="480"/>
      <c r="D51" s="480"/>
      <c r="E51" s="496"/>
      <c r="F51" s="496"/>
      <c r="G51" s="496"/>
      <c r="H51" s="496"/>
      <c r="I51" s="496"/>
      <c r="J51" s="480"/>
      <c r="K51" s="497"/>
    </row>
    <row r="52" spans="2:11" s="479" customFormat="1" ht="15">
      <c r="B52" s="1183"/>
      <c r="C52" s="495" t="s">
        <v>5157</v>
      </c>
      <c r="D52" s="480"/>
      <c r="E52" s="480"/>
      <c r="F52" s="480"/>
      <c r="G52" s="480"/>
      <c r="H52" s="480"/>
      <c r="I52" s="480"/>
      <c r="J52" s="480"/>
      <c r="K52" s="490"/>
    </row>
    <row r="53" spans="2:11" s="479" customFormat="1" ht="15">
      <c r="B53" s="1183"/>
      <c r="C53" s="480"/>
      <c r="D53" s="480" t="s">
        <v>4873</v>
      </c>
      <c r="E53" s="498">
        <f>decProd1V3Price</f>
        <v>295</v>
      </c>
      <c r="F53" s="498">
        <f>decProd1V3Price</f>
        <v>295</v>
      </c>
      <c r="G53" s="498">
        <f>decProd1V3Price</f>
        <v>295</v>
      </c>
      <c r="H53" s="498">
        <f>decProd1V3Price</f>
        <v>295</v>
      </c>
      <c r="I53" s="498">
        <f>decProd1V3Price</f>
        <v>295</v>
      </c>
      <c r="J53" s="480"/>
      <c r="K53" s="499">
        <f>AVERAGE(E53:I53)</f>
        <v>295</v>
      </c>
    </row>
    <row r="54" spans="2:11" s="479" customFormat="1" ht="15">
      <c r="B54" s="1183"/>
      <c r="C54" s="480"/>
      <c r="D54" s="480" t="s">
        <v>699</v>
      </c>
      <c r="E54" s="500">
        <f>cbalBusAV3HrsSold</f>
        <v>251616.12430683646</v>
      </c>
      <c r="F54" s="500">
        <f>cbalBusAV3HrsSold</f>
        <v>251616.12430683646</v>
      </c>
      <c r="G54" s="500">
        <f>cbalBusAV3HrsSold</f>
        <v>251616.12430683646</v>
      </c>
      <c r="H54" s="500">
        <f>cbalBusAV3HrsSold</f>
        <v>251616.12430683646</v>
      </c>
      <c r="I54" s="500">
        <f>cbalBusAV3HrsSold</f>
        <v>251616.12430683646</v>
      </c>
      <c r="J54" s="480"/>
      <c r="K54" s="501">
        <f>AVERAGE(E54:I54)</f>
        <v>251616.12430683646</v>
      </c>
    </row>
    <row r="55" spans="2:11" s="479" customFormat="1" ht="15">
      <c r="B55" s="1183"/>
      <c r="C55" s="480"/>
      <c r="D55" s="480" t="s">
        <v>698</v>
      </c>
      <c r="E55" s="502">
        <f>cbalBusAV3MktShr</f>
        <v>0.2</v>
      </c>
      <c r="F55" s="502">
        <f>cbalBusAV3MktShr</f>
        <v>0.2</v>
      </c>
      <c r="G55" s="502">
        <f>cbalBusAV3MktShr</f>
        <v>0.2</v>
      </c>
      <c r="H55" s="502">
        <f>cbalBusAV3MktShr</f>
        <v>0.2</v>
      </c>
      <c r="I55" s="502">
        <f>cbalBusAV3MktShr</f>
        <v>0.2</v>
      </c>
      <c r="J55" s="480"/>
      <c r="K55" s="503">
        <f>AVERAGE(E55:I55)</f>
        <v>0.2</v>
      </c>
    </row>
    <row r="56" spans="2:11" s="479" customFormat="1" ht="15">
      <c r="B56" s="1183"/>
      <c r="C56" s="480"/>
      <c r="D56" s="480" t="s">
        <v>983</v>
      </c>
      <c r="E56" s="496">
        <f>cbalBusAV3HrsSold*cbalBusAV3PricePerHr</f>
        <v>74226756.670516759</v>
      </c>
      <c r="F56" s="496">
        <f>cbalBusAV3HrsSold*cbalBusAV3PricePerHr</f>
        <v>74226756.670516759</v>
      </c>
      <c r="G56" s="496">
        <f>cbalBusAV3HrsSold*cbalBusAV3PricePerHr</f>
        <v>74226756.670516759</v>
      </c>
      <c r="H56" s="496">
        <f>cbalBusAV3HrsSold*cbalBusAV3PricePerHr</f>
        <v>74226756.670516759</v>
      </c>
      <c r="I56" s="496">
        <f>cbalBusAV3HrsSold*cbalBusAV3PricePerHr</f>
        <v>74226756.670516759</v>
      </c>
      <c r="J56" s="480"/>
      <c r="K56" s="497">
        <f>AVERAGE(E56:I56)</f>
        <v>74226756.670516759</v>
      </c>
    </row>
    <row r="57" spans="2:11" s="479" customFormat="1" ht="15">
      <c r="B57" s="1183"/>
      <c r="C57" s="480"/>
      <c r="D57" s="728"/>
      <c r="E57" s="729"/>
      <c r="F57" s="729"/>
      <c r="G57" s="729"/>
      <c r="H57" s="729"/>
      <c r="I57" s="729"/>
      <c r="J57" s="480"/>
      <c r="K57" s="497"/>
    </row>
    <row r="58" spans="2:11" s="479" customFormat="1" ht="15.75">
      <c r="B58" s="1188" t="s">
        <v>4825</v>
      </c>
      <c r="C58" s="480"/>
      <c r="D58" s="480"/>
      <c r="E58" s="480"/>
      <c r="F58" s="480"/>
      <c r="G58" s="480"/>
      <c r="H58" s="480"/>
      <c r="I58" s="480"/>
      <c r="J58" s="480"/>
      <c r="K58" s="490"/>
    </row>
    <row r="59" spans="2:11" s="479" customFormat="1" ht="6" customHeight="1">
      <c r="B59" s="1188"/>
      <c r="C59" s="480"/>
      <c r="D59" s="480"/>
      <c r="E59" s="480"/>
      <c r="F59" s="480"/>
      <c r="G59" s="480"/>
      <c r="H59" s="480"/>
      <c r="I59" s="480"/>
      <c r="J59" s="480"/>
      <c r="K59" s="490"/>
    </row>
    <row r="60" spans="2:11" s="479" customFormat="1" ht="15">
      <c r="B60" s="1183"/>
      <c r="C60" s="495" t="s">
        <v>4699</v>
      </c>
      <c r="D60" s="480"/>
      <c r="E60" s="480"/>
      <c r="F60" s="480"/>
      <c r="G60" s="480"/>
      <c r="H60" s="480"/>
      <c r="I60" s="480"/>
      <c r="J60" s="480"/>
      <c r="K60" s="490"/>
    </row>
    <row r="61" spans="2:11" s="479" customFormat="1" ht="15">
      <c r="B61" s="1183"/>
      <c r="C61" s="495"/>
      <c r="D61" s="480" t="str">
        <f>DataNameEmp4</f>
        <v>Director / EM</v>
      </c>
      <c r="E61" s="502">
        <f>capBusACurrProjV1Emp4Output/capBusACurrProjV1HrsReq</f>
        <v>6.0223821654648846E-2</v>
      </c>
      <c r="F61" s="502">
        <f>capBusACurrProjV1Emp4Output/capBusACurrProjV1HrsReq</f>
        <v>6.0223821654648846E-2</v>
      </c>
      <c r="G61" s="502">
        <f>capBusACurrProjV1Emp4Output/capBusACurrProjV1HrsReq</f>
        <v>6.0223821654648846E-2</v>
      </c>
      <c r="H61" s="502">
        <f>capBusACurrProjV1Emp4Output/capBusACurrProjV1HrsReq</f>
        <v>6.0223821654648846E-2</v>
      </c>
      <c r="I61" s="502">
        <f>capBusACurrProjV1Emp4Output/capBusACurrProjV1HrsReq</f>
        <v>6.0223821654648846E-2</v>
      </c>
      <c r="J61" s="480"/>
      <c r="K61" s="503">
        <f t="shared" ref="K61:K66" si="1">AVERAGE(E61:I61)</f>
        <v>6.0223821654648846E-2</v>
      </c>
    </row>
    <row r="62" spans="2:11" s="479" customFormat="1" ht="15">
      <c r="B62" s="1183"/>
      <c r="C62" s="480"/>
      <c r="D62" s="480" t="str">
        <f>DataNameEmp3</f>
        <v>PM / Analyst</v>
      </c>
      <c r="E62" s="502">
        <f>capBusACurrProjV1Emp3Output/capBusACurrProjV1HrsReq</f>
        <v>0.12866040727696945</v>
      </c>
      <c r="F62" s="502">
        <f>capBusACurrProjV1Emp3Output/capBusACurrProjV1HrsReq</f>
        <v>0.12866040727696945</v>
      </c>
      <c r="G62" s="502">
        <f>capBusACurrProjV1Emp3Output/capBusACurrProjV1HrsReq</f>
        <v>0.12866040727696945</v>
      </c>
      <c r="H62" s="502">
        <f>capBusACurrProjV1Emp3Output/capBusACurrProjV1HrsReq</f>
        <v>0.12866040727696945</v>
      </c>
      <c r="I62" s="502">
        <f>capBusACurrProjV1Emp3Output/capBusACurrProjV1HrsReq</f>
        <v>0.12866040727696945</v>
      </c>
      <c r="J62" s="480"/>
      <c r="K62" s="503">
        <f t="shared" si="1"/>
        <v>0.12866040727696945</v>
      </c>
    </row>
    <row r="63" spans="2:11" s="479" customFormat="1" ht="15">
      <c r="B63" s="1183"/>
      <c r="C63" s="480"/>
      <c r="D63" s="480" t="str">
        <f>DataNameEmp2</f>
        <v>Technical</v>
      </c>
      <c r="E63" s="502">
        <f>capBusACurrProjV1Emp2Output/capBusACurrProjV1HrsReq</f>
        <v>0.1448898591855296</v>
      </c>
      <c r="F63" s="502">
        <f>capBusACurrProjV1Emp2Output/capBusACurrProjV1HrsReq</f>
        <v>0.1448898591855296</v>
      </c>
      <c r="G63" s="502">
        <f>capBusACurrProjV1Emp2Output/capBusACurrProjV1HrsReq</f>
        <v>0.1448898591855296</v>
      </c>
      <c r="H63" s="502">
        <f>capBusACurrProjV1Emp2Output/capBusACurrProjV1HrsReq</f>
        <v>0.1448898591855296</v>
      </c>
      <c r="I63" s="502">
        <f>capBusACurrProjV1Emp2Output/capBusACurrProjV1HrsReq</f>
        <v>0.1448898591855296</v>
      </c>
      <c r="J63" s="480"/>
      <c r="K63" s="503">
        <f t="shared" si="1"/>
        <v>0.1448898591855296</v>
      </c>
    </row>
    <row r="64" spans="2:11" s="479" customFormat="1" ht="15">
      <c r="B64" s="1183"/>
      <c r="C64" s="480"/>
      <c r="D64" s="480" t="str">
        <f>DataNameEmp9</f>
        <v>Global Delivery Centers</v>
      </c>
      <c r="E64" s="502">
        <f>capBusACurrProjV1Emp9Output/capBusACurrProjV1HrsReq</f>
        <v>0.24717501438965478</v>
      </c>
      <c r="F64" s="502">
        <f>capBusACurrProjV1Emp9Output/capBusACurrProjV1HrsReq</f>
        <v>0.24717501438965478</v>
      </c>
      <c r="G64" s="502">
        <f>capBusACurrProjV1Emp9Output/capBusACurrProjV1HrsReq</f>
        <v>0.24717501438965478</v>
      </c>
      <c r="H64" s="502">
        <f>capBusACurrProjV1Emp9Output/capBusACurrProjV1HrsReq</f>
        <v>0.24717501438965478</v>
      </c>
      <c r="I64" s="502">
        <f>capBusACurrProjV1Emp9Output/capBusACurrProjV1HrsReq</f>
        <v>0.24717501438965478</v>
      </c>
      <c r="J64" s="480"/>
      <c r="K64" s="503">
        <f t="shared" si="1"/>
        <v>0.24717501438965478</v>
      </c>
    </row>
    <row r="65" spans="2:11" s="479" customFormat="1" ht="15">
      <c r="B65" s="1183"/>
      <c r="C65" s="480"/>
      <c r="D65" s="480" t="str">
        <f>DataNameEmp1</f>
        <v>Offshore</v>
      </c>
      <c r="E65" s="502">
        <f>capBusACurrProjV1Emp1Output/capBusACurrProjV1HrsReq</f>
        <v>4.9737250268451799E-2</v>
      </c>
      <c r="F65" s="502">
        <f>capBusACurrProjV1Emp1Output/capBusACurrProjV1HrsReq</f>
        <v>4.9737250268451799E-2</v>
      </c>
      <c r="G65" s="502">
        <f>capBusACurrProjV1Emp1Output/capBusACurrProjV1HrsReq</f>
        <v>4.9737250268451799E-2</v>
      </c>
      <c r="H65" s="502">
        <f>capBusACurrProjV1Emp1Output/capBusACurrProjV1HrsReq</f>
        <v>4.9737250268451799E-2</v>
      </c>
      <c r="I65" s="502">
        <f>capBusACurrProjV1Emp1Output/capBusACurrProjV1HrsReq</f>
        <v>4.9737250268451799E-2</v>
      </c>
      <c r="J65" s="480"/>
      <c r="K65" s="503">
        <f t="shared" si="1"/>
        <v>4.9737250268451799E-2</v>
      </c>
    </row>
    <row r="66" spans="2:11" s="479" customFormat="1" ht="15" hidden="1">
      <c r="B66" s="1183"/>
      <c r="C66" s="480"/>
      <c r="D66" s="480" t="s">
        <v>1108</v>
      </c>
      <c r="E66" s="502">
        <f>decBusAV1HrsBorrowed/(decBusAEmp4HrsCurrProj+decBusAEmp3HrsCurrProj+decBusAEmp2HrsCurrProj+capBusAEmp1HrsCurrProj+decBusAV1HrsBorrowed)</f>
        <v>0</v>
      </c>
      <c r="F66" s="502">
        <f>decBusAV1HrsBorrowed/(decBusAEmp4HrsCurrProj+decBusAEmp3HrsCurrProj+decBusAEmp2HrsCurrProj+capBusAEmp1HrsCurrProj+decBusAV1HrsBorrowed)</f>
        <v>0</v>
      </c>
      <c r="G66" s="502">
        <f>decBusAV1HrsBorrowed/(decBusAEmp4HrsCurrProj+decBusAEmp3HrsCurrProj+decBusAEmp2HrsCurrProj+capBusAEmp1HrsCurrProj+decBusAV1HrsBorrowed)</f>
        <v>0</v>
      </c>
      <c r="H66" s="502">
        <f>decBusAV1HrsBorrowed/(decBusAEmp4HrsCurrProj+decBusAEmp3HrsCurrProj+decBusAEmp2HrsCurrProj+capBusAEmp1HrsCurrProj+decBusAV1HrsBorrowed)</f>
        <v>0</v>
      </c>
      <c r="I66" s="502">
        <f>decBusAV1HrsBorrowed/(decBusAEmp4HrsCurrProj+decBusAEmp3HrsCurrProj+decBusAEmp2HrsCurrProj+capBusAEmp1HrsCurrProj+decBusAV1HrsBorrowed)</f>
        <v>0</v>
      </c>
      <c r="J66" s="480"/>
      <c r="K66" s="503">
        <f t="shared" si="1"/>
        <v>0</v>
      </c>
    </row>
    <row r="67" spans="2:11" s="479" customFormat="1" ht="6" customHeight="1">
      <c r="B67" s="1183"/>
      <c r="C67" s="480"/>
      <c r="D67" s="480"/>
      <c r="E67" s="502"/>
      <c r="F67" s="502"/>
      <c r="G67" s="502"/>
      <c r="H67" s="502"/>
      <c r="I67" s="502"/>
      <c r="J67" s="480"/>
      <c r="K67" s="503"/>
    </row>
    <row r="68" spans="2:11" s="479" customFormat="1" ht="15">
      <c r="B68" s="1183"/>
      <c r="C68" s="495" t="s">
        <v>4700</v>
      </c>
      <c r="D68" s="480"/>
      <c r="E68" s="480"/>
      <c r="F68" s="480"/>
      <c r="G68" s="480"/>
      <c r="H68" s="480"/>
      <c r="I68" s="480"/>
      <c r="J68" s="480"/>
      <c r="K68" s="490"/>
    </row>
    <row r="69" spans="2:11" s="479" customFormat="1" ht="15">
      <c r="B69" s="1183"/>
      <c r="C69" s="495"/>
      <c r="D69" s="480" t="str">
        <f>DataNameEmp4</f>
        <v>Director / EM</v>
      </c>
      <c r="E69" s="502">
        <f>capBusACurrProjV2Emp4Output/capBusACurrProjV2HrsReq</f>
        <v>6.7432353742995318E-2</v>
      </c>
      <c r="F69" s="502">
        <f>capBusACurrProjV2Emp4Output/capBusACurrProjV2HrsReq</f>
        <v>6.7432353742995318E-2</v>
      </c>
      <c r="G69" s="502">
        <f>capBusACurrProjV2Emp4Output/capBusACurrProjV2HrsReq</f>
        <v>6.7432353742995318E-2</v>
      </c>
      <c r="H69" s="502">
        <f>capBusACurrProjV2Emp4Output/capBusACurrProjV2HrsReq</f>
        <v>6.7432353742995318E-2</v>
      </c>
      <c r="I69" s="502">
        <f>capBusACurrProjV2Emp4Output/capBusACurrProjV2HrsReq</f>
        <v>6.7432353742995318E-2</v>
      </c>
      <c r="J69" s="480"/>
      <c r="K69" s="503">
        <f t="shared" ref="K69:K74" si="2">AVERAGE(E69:I69)</f>
        <v>6.7432353742995318E-2</v>
      </c>
    </row>
    <row r="70" spans="2:11" s="479" customFormat="1" ht="15">
      <c r="B70" s="1183"/>
      <c r="C70" s="480"/>
      <c r="D70" s="480" t="str">
        <f>DataNameEmp3</f>
        <v>PM / Analyst</v>
      </c>
      <c r="E70" s="502">
        <f>capBusACurrProjV2Emp3Output/capBusACurrProjV2HrsReq</f>
        <v>0.17811116849648997</v>
      </c>
      <c r="F70" s="502">
        <f>capBusACurrProjV2Emp3Output/capBusACurrProjV2HrsReq</f>
        <v>0.17811116849648997</v>
      </c>
      <c r="G70" s="502">
        <f>capBusACurrProjV2Emp3Output/capBusACurrProjV2HrsReq</f>
        <v>0.17811116849648997</v>
      </c>
      <c r="H70" s="502">
        <f>capBusACurrProjV2Emp3Output/capBusACurrProjV2HrsReq</f>
        <v>0.17811116849648997</v>
      </c>
      <c r="I70" s="502">
        <f>capBusACurrProjV2Emp3Output/capBusACurrProjV2HrsReq</f>
        <v>0.17811116849648997</v>
      </c>
      <c r="J70" s="480"/>
      <c r="K70" s="503">
        <f t="shared" si="2"/>
        <v>0.17811116849648997</v>
      </c>
    </row>
    <row r="71" spans="2:11" s="479" customFormat="1" ht="15">
      <c r="B71" s="1183"/>
      <c r="C71" s="480"/>
      <c r="D71" s="480" t="str">
        <f>DataNameEmp2</f>
        <v>Technical</v>
      </c>
      <c r="E71" s="502">
        <f>capBusACurrProjV2Emp2Output/capBusACurrProjV2HrsReq</f>
        <v>0.24473939173308085</v>
      </c>
      <c r="F71" s="502">
        <f>capBusACurrProjV2Emp2Output/capBusACurrProjV2HrsReq</f>
        <v>0.24473939173308085</v>
      </c>
      <c r="G71" s="502">
        <f>capBusACurrProjV2Emp2Output/capBusACurrProjV2HrsReq</f>
        <v>0.24473939173308085</v>
      </c>
      <c r="H71" s="502">
        <f>capBusACurrProjV2Emp2Output/capBusACurrProjV2HrsReq</f>
        <v>0.24473939173308085</v>
      </c>
      <c r="I71" s="502">
        <f>capBusACurrProjV2Emp2Output/capBusACurrProjV2HrsReq</f>
        <v>0.24473939173308085</v>
      </c>
      <c r="J71" s="480"/>
      <c r="K71" s="503">
        <f t="shared" si="2"/>
        <v>0.24473939173308085</v>
      </c>
    </row>
    <row r="72" spans="2:11" s="479" customFormat="1" ht="15">
      <c r="B72" s="1183"/>
      <c r="C72" s="480"/>
      <c r="D72" s="480" t="str">
        <f>DataNameEmp9</f>
        <v>Global Delivery Centers</v>
      </c>
      <c r="E72" s="502">
        <f>capBusACurrProjV2Emp9Output/capBusACurrProjV2HrsReq</f>
        <v>3.0021510412210347E-2</v>
      </c>
      <c r="F72" s="502">
        <f>capBusACurrProjV2Emp9Output/capBusACurrProjV2HrsReq</f>
        <v>3.0021510412210347E-2</v>
      </c>
      <c r="G72" s="502">
        <f>capBusACurrProjV2Emp9Output/capBusACurrProjV2HrsReq</f>
        <v>3.0021510412210347E-2</v>
      </c>
      <c r="H72" s="502">
        <f>capBusACurrProjV2Emp9Output/capBusACurrProjV2HrsReq</f>
        <v>3.0021510412210347E-2</v>
      </c>
      <c r="I72" s="502">
        <f>capBusACurrProjV2Emp9Output/capBusACurrProjV2HrsReq</f>
        <v>3.0021510412210347E-2</v>
      </c>
      <c r="J72" s="480"/>
      <c r="K72" s="503">
        <f t="shared" si="2"/>
        <v>3.0021510412210343E-2</v>
      </c>
    </row>
    <row r="73" spans="2:11" s="479" customFormat="1" ht="15">
      <c r="B73" s="1183"/>
      <c r="C73" s="480"/>
      <c r="D73" s="480" t="str">
        <f>DataNameEmp1</f>
        <v>Offshore</v>
      </c>
      <c r="E73" s="502">
        <f>capBusACurrProjV2Emp1Output/capBusACurrProjV2HrsReq</f>
        <v>4.9737250268451792E-2</v>
      </c>
      <c r="F73" s="502">
        <f>capBusACurrProjV2Emp1Output/capBusACurrProjV2HrsReq</f>
        <v>4.9737250268451792E-2</v>
      </c>
      <c r="G73" s="502">
        <f>capBusACurrProjV2Emp1Output/capBusACurrProjV2HrsReq</f>
        <v>4.9737250268451792E-2</v>
      </c>
      <c r="H73" s="502">
        <f>capBusACurrProjV2Emp1Output/capBusACurrProjV2HrsReq</f>
        <v>4.9737250268451792E-2</v>
      </c>
      <c r="I73" s="502">
        <f>capBusACurrProjV2Emp1Output/capBusACurrProjV2HrsReq</f>
        <v>4.9737250268451792E-2</v>
      </c>
      <c r="J73" s="480"/>
      <c r="K73" s="503">
        <f t="shared" si="2"/>
        <v>4.9737250268451792E-2</v>
      </c>
    </row>
    <row r="74" spans="2:11" s="479" customFormat="1" ht="15" hidden="1">
      <c r="B74" s="1183"/>
      <c r="C74" s="480"/>
      <c r="D74" s="480" t="s">
        <v>1108</v>
      </c>
      <c r="E74" s="502">
        <f>decBusAV2HrsBorrowed/(decBusAEmp4HrsCurrProjV2+decBusAEmp3HrsCurrProjV2+decBusAEmp2HrsCurrProjV2+capBusAEmp1HrsCurrProjV2+decBusAV2HrsBorrowed)</f>
        <v>0</v>
      </c>
      <c r="F74" s="502">
        <f>decBusAV2HrsBorrowed/(decBusAEmp4HrsCurrProjV2+decBusAEmp3HrsCurrProjV2+decBusAEmp2HrsCurrProjV2+capBusAEmp1HrsCurrProjV2+decBusAV2HrsBorrowed)</f>
        <v>0</v>
      </c>
      <c r="G74" s="502">
        <f>decBusAV2HrsBorrowed/(decBusAEmp4HrsCurrProjV2+decBusAEmp3HrsCurrProjV2+decBusAEmp2HrsCurrProjV2+capBusAEmp1HrsCurrProjV2+decBusAV2HrsBorrowed)</f>
        <v>0</v>
      </c>
      <c r="H74" s="502">
        <f>decBusAV2HrsBorrowed/(decBusAEmp4HrsCurrProjV2+decBusAEmp3HrsCurrProjV2+decBusAEmp2HrsCurrProjV2+capBusAEmp1HrsCurrProjV2+decBusAV2HrsBorrowed)</f>
        <v>0</v>
      </c>
      <c r="I74" s="502">
        <f>decBusAV2HrsBorrowed/(decBusAEmp4HrsCurrProjV2+decBusAEmp3HrsCurrProjV2+decBusAEmp2HrsCurrProjV2+capBusAEmp1HrsCurrProjV2+decBusAV2HrsBorrowed)</f>
        <v>0</v>
      </c>
      <c r="J74" s="480"/>
      <c r="K74" s="503">
        <f t="shared" si="2"/>
        <v>0</v>
      </c>
    </row>
    <row r="75" spans="2:11" s="479" customFormat="1" ht="6" customHeight="1">
      <c r="B75" s="1183"/>
      <c r="C75" s="480"/>
      <c r="D75" s="480"/>
      <c r="E75" s="502"/>
      <c r="F75" s="502"/>
      <c r="G75" s="502"/>
      <c r="H75" s="502"/>
      <c r="I75" s="502"/>
      <c r="J75" s="480"/>
      <c r="K75" s="503"/>
    </row>
    <row r="76" spans="2:11" s="479" customFormat="1" ht="15">
      <c r="B76" s="1183"/>
      <c r="C76" s="495" t="s">
        <v>5157</v>
      </c>
      <c r="D76" s="480"/>
      <c r="E76" s="480"/>
      <c r="F76" s="480"/>
      <c r="G76" s="480"/>
      <c r="H76" s="480"/>
      <c r="I76" s="480"/>
      <c r="J76" s="480"/>
      <c r="K76" s="490"/>
    </row>
    <row r="77" spans="2:11" s="479" customFormat="1" ht="15">
      <c r="B77" s="1183"/>
      <c r="C77" s="495"/>
      <c r="D77" s="480" t="str">
        <f>DataNameEmp4</f>
        <v>Director / EM</v>
      </c>
      <c r="E77" s="502">
        <f>capBusACurrProjV3Emp4Output/capBusACurrProjV3HrsReq</f>
        <v>4.0965016542806709E-2</v>
      </c>
      <c r="F77" s="502">
        <f>capBusACurrProjV3Emp4Output/capBusACurrProjV3HrsReq</f>
        <v>4.0965016542806709E-2</v>
      </c>
      <c r="G77" s="502">
        <f>capBusACurrProjV3Emp4Output/capBusACurrProjV3HrsReq</f>
        <v>4.0965016542806709E-2</v>
      </c>
      <c r="H77" s="502">
        <f>capBusACurrProjV3Emp4Output/capBusACurrProjV3HrsReq</f>
        <v>4.0965016542806709E-2</v>
      </c>
      <c r="I77" s="502">
        <f>capBusACurrProjV3Emp4Output/capBusACurrProjV3HrsReq</f>
        <v>4.0965016542806709E-2</v>
      </c>
      <c r="J77" s="480"/>
      <c r="K77" s="503">
        <f t="shared" ref="K77:K82" si="3">AVERAGE(E77:I77)</f>
        <v>4.0965016542806709E-2</v>
      </c>
    </row>
    <row r="78" spans="2:11" s="479" customFormat="1" ht="15">
      <c r="B78" s="1183"/>
      <c r="C78" s="480"/>
      <c r="D78" s="480" t="str">
        <f>DataNameEmp3</f>
        <v>PM / Analyst</v>
      </c>
      <c r="E78" s="502">
        <f>capBusACurrProjV3Emp3Output/capBusACurrProjV3HrsReq</f>
        <v>0.13260069781550876</v>
      </c>
      <c r="F78" s="502">
        <f>capBusACurrProjV3Emp3Output/capBusACurrProjV3HrsReq</f>
        <v>0.13260069781550876</v>
      </c>
      <c r="G78" s="502">
        <f>capBusACurrProjV3Emp3Output/capBusACurrProjV3HrsReq</f>
        <v>0.13260069781550876</v>
      </c>
      <c r="H78" s="502">
        <f>capBusACurrProjV3Emp3Output/capBusACurrProjV3HrsReq</f>
        <v>0.13260069781550876</v>
      </c>
      <c r="I78" s="502">
        <f>capBusACurrProjV3Emp3Output/capBusACurrProjV3HrsReq</f>
        <v>0.13260069781550876</v>
      </c>
      <c r="J78" s="480"/>
      <c r="K78" s="503">
        <f t="shared" si="3"/>
        <v>0.13260069781550876</v>
      </c>
    </row>
    <row r="79" spans="2:11" s="479" customFormat="1" ht="15">
      <c r="B79" s="1183"/>
      <c r="C79" s="480"/>
      <c r="D79" s="480" t="str">
        <f>DataNameEmp2</f>
        <v>Technical</v>
      </c>
      <c r="E79" s="502">
        <f>capBusACurrProjV3Emp2Output/capBusACurrProjV3HrsReq</f>
        <v>0.18772560394888452</v>
      </c>
      <c r="F79" s="502">
        <f>capBusACurrProjV3Emp2Output/capBusACurrProjV3HrsReq</f>
        <v>0.18772560394888452</v>
      </c>
      <c r="G79" s="502">
        <f>capBusACurrProjV3Emp2Output/capBusACurrProjV3HrsReq</f>
        <v>0.18772560394888452</v>
      </c>
      <c r="H79" s="502">
        <f>capBusACurrProjV3Emp2Output/capBusACurrProjV3HrsReq</f>
        <v>0.18772560394888452</v>
      </c>
      <c r="I79" s="502">
        <f>capBusACurrProjV3Emp2Output/capBusACurrProjV3HrsReq</f>
        <v>0.18772560394888452</v>
      </c>
      <c r="J79" s="480"/>
      <c r="K79" s="503">
        <f t="shared" si="3"/>
        <v>0.18772560394888452</v>
      </c>
    </row>
    <row r="80" spans="2:11" s="479" customFormat="1" ht="15">
      <c r="B80" s="1183"/>
      <c r="C80" s="480"/>
      <c r="D80" s="480" t="str">
        <f>DataNameEmp9</f>
        <v>Global Delivery Centers</v>
      </c>
      <c r="E80" s="502">
        <f>capBusACurrProjV3Emp9Output/capBusACurrProjV3HrsReq</f>
        <v>7.5991691575054462E-2</v>
      </c>
      <c r="F80" s="502">
        <f>capBusACurrProjV3Emp9Output/capBusACurrProjV3HrsReq</f>
        <v>7.5991691575054462E-2</v>
      </c>
      <c r="G80" s="502">
        <f>capBusACurrProjV3Emp9Output/capBusACurrProjV3HrsReq</f>
        <v>7.5991691575054462E-2</v>
      </c>
      <c r="H80" s="502">
        <f>capBusACurrProjV3Emp9Output/capBusACurrProjV3HrsReq</f>
        <v>7.5991691575054462E-2</v>
      </c>
      <c r="I80" s="502">
        <f>capBusACurrProjV3Emp9Output/capBusACurrProjV3HrsReq</f>
        <v>7.5991691575054462E-2</v>
      </c>
      <c r="J80" s="480"/>
      <c r="K80" s="503">
        <f t="shared" si="3"/>
        <v>7.5991691575054462E-2</v>
      </c>
    </row>
    <row r="81" spans="1:11" s="479" customFormat="1" ht="15">
      <c r="B81" s="1183"/>
      <c r="C81" s="480"/>
      <c r="D81" s="480" t="str">
        <f>DataNameEmp1</f>
        <v>Offshore</v>
      </c>
      <c r="E81" s="502">
        <f>capBusACurrProjV3Emp1Output/capBusACurrProjV3HrsReq</f>
        <v>4.9737250268451792E-2</v>
      </c>
      <c r="F81" s="502">
        <f>capBusACurrProjV3Emp1Output/capBusACurrProjV3HrsReq</f>
        <v>4.9737250268451792E-2</v>
      </c>
      <c r="G81" s="502">
        <f>capBusACurrProjV3Emp1Output/capBusACurrProjV3HrsReq</f>
        <v>4.9737250268451792E-2</v>
      </c>
      <c r="H81" s="502">
        <f>capBusACurrProjV3Emp1Output/capBusACurrProjV3HrsReq</f>
        <v>4.9737250268451792E-2</v>
      </c>
      <c r="I81" s="502">
        <f>capBusACurrProjV3Emp1Output/capBusACurrProjV3HrsReq</f>
        <v>4.9737250268451792E-2</v>
      </c>
      <c r="J81" s="480"/>
      <c r="K81" s="503">
        <f t="shared" si="3"/>
        <v>4.9737250268451792E-2</v>
      </c>
    </row>
    <row r="82" spans="1:11" s="479" customFormat="1" ht="15" hidden="1">
      <c r="B82" s="1183"/>
      <c r="C82" s="480"/>
      <c r="D82" s="480" t="s">
        <v>1108</v>
      </c>
      <c r="E82" s="502">
        <f>decBusAV3HrsBorrowed/(decBusAEmp4HrsCurrProjV3+decBusAEmp3HrsCurrProjV3+decBusAEmp2HrsCurrProjV3+capBusAEmp1HrsCurrProjV3+decBusAV3HrsBorrowed)</f>
        <v>0</v>
      </c>
      <c r="F82" s="502">
        <f>decBusAV3HrsBorrowed/(decBusAEmp4HrsCurrProjV3+decBusAEmp3HrsCurrProjV3+decBusAEmp2HrsCurrProjV3+capBusAEmp1HrsCurrProjV3+decBusAV3HrsBorrowed)</f>
        <v>0</v>
      </c>
      <c r="G82" s="502">
        <f>decBusAV3HrsBorrowed/(decBusAEmp4HrsCurrProjV3+decBusAEmp3HrsCurrProjV3+decBusAEmp2HrsCurrProjV3+capBusAEmp1HrsCurrProjV3+decBusAV3HrsBorrowed)</f>
        <v>0</v>
      </c>
      <c r="H82" s="502">
        <f>decBusAV3HrsBorrowed/(decBusAEmp4HrsCurrProjV3+decBusAEmp3HrsCurrProjV3+decBusAEmp2HrsCurrProjV3+capBusAEmp1HrsCurrProjV3+decBusAV3HrsBorrowed)</f>
        <v>0</v>
      </c>
      <c r="I82" s="502">
        <f>decBusAV3HrsBorrowed/(decBusAEmp4HrsCurrProjV3+decBusAEmp3HrsCurrProjV3+decBusAEmp2HrsCurrProjV3+capBusAEmp1HrsCurrProjV3+decBusAV3HrsBorrowed)</f>
        <v>0</v>
      </c>
      <c r="J82" s="480"/>
      <c r="K82" s="503">
        <f t="shared" si="3"/>
        <v>0</v>
      </c>
    </row>
    <row r="83" spans="1:11" s="479" customFormat="1" ht="15">
      <c r="B83" s="1183"/>
      <c r="C83" s="480"/>
      <c r="D83" s="480"/>
      <c r="E83" s="502"/>
      <c r="F83" s="502"/>
      <c r="G83" s="502"/>
      <c r="H83" s="502"/>
      <c r="I83" s="502"/>
      <c r="J83" s="480"/>
      <c r="K83" s="503"/>
    </row>
    <row r="84" spans="1:11" s="479" customFormat="1" ht="15.75">
      <c r="B84" s="1188" t="s">
        <v>3972</v>
      </c>
      <c r="C84" s="480"/>
      <c r="D84" s="480"/>
      <c r="E84" s="480"/>
      <c r="F84" s="480"/>
      <c r="G84" s="480"/>
      <c r="H84" s="480"/>
      <c r="I84" s="480"/>
      <c r="J84" s="480"/>
      <c r="K84" s="490"/>
    </row>
    <row r="85" spans="1:11" s="479" customFormat="1" ht="15">
      <c r="B85" s="1183"/>
      <c r="C85" s="480"/>
      <c r="D85" s="480" t="s">
        <v>4699</v>
      </c>
      <c r="E85" s="480">
        <f>cbalBusACompDevV1</f>
        <v>3</v>
      </c>
      <c r="F85" s="480">
        <f>cbalBusACompDevV1</f>
        <v>3</v>
      </c>
      <c r="G85" s="480">
        <f>cbalBusACompDevV1</f>
        <v>3</v>
      </c>
      <c r="H85" s="480">
        <f>cbalBusACompDevV1</f>
        <v>3</v>
      </c>
      <c r="I85" s="480">
        <f>cbalBusACompDevV1</f>
        <v>3</v>
      </c>
      <c r="J85" s="480"/>
      <c r="K85" s="490">
        <f>AVERAGE(E85:I85)</f>
        <v>3</v>
      </c>
    </row>
    <row r="86" spans="1:11" s="479" customFormat="1" ht="15">
      <c r="B86" s="1183"/>
      <c r="C86" s="480"/>
      <c r="D86" s="480" t="s">
        <v>4700</v>
      </c>
      <c r="E86" s="480">
        <f>cbalBusACompDevV2</f>
        <v>5</v>
      </c>
      <c r="F86" s="480">
        <f>cbalBusACompDevV2</f>
        <v>5</v>
      </c>
      <c r="G86" s="480">
        <f>cbalBusACompDevV2</f>
        <v>5</v>
      </c>
      <c r="H86" s="480">
        <f>cbalBusACompDevV2</f>
        <v>5</v>
      </c>
      <c r="I86" s="480">
        <f>cbalBusACompDevV2</f>
        <v>5</v>
      </c>
      <c r="J86" s="480"/>
      <c r="K86" s="490">
        <f>AVERAGE(E86:I86)</f>
        <v>5</v>
      </c>
    </row>
    <row r="87" spans="1:11" s="479" customFormat="1" ht="15">
      <c r="B87" s="1183"/>
      <c r="C87" s="480"/>
      <c r="D87" s="480" t="s">
        <v>5157</v>
      </c>
      <c r="E87" s="480">
        <f>cbalBusACompDevV3</f>
        <v>1</v>
      </c>
      <c r="F87" s="480">
        <f>cbalBusACompDevV3</f>
        <v>1</v>
      </c>
      <c r="G87" s="480">
        <f>cbalBusACompDevV3</f>
        <v>1</v>
      </c>
      <c r="H87" s="480">
        <f>cbalBusACompDevV3</f>
        <v>1</v>
      </c>
      <c r="I87" s="480">
        <f>cbalBusACompDevV3</f>
        <v>1</v>
      </c>
      <c r="J87" s="480"/>
      <c r="K87" s="490">
        <f>AVERAGE(E87:I87)</f>
        <v>1</v>
      </c>
    </row>
    <row r="88" spans="1:11" s="479" customFormat="1" ht="15">
      <c r="B88" s="1183"/>
      <c r="C88" s="480"/>
      <c r="D88" s="480"/>
      <c r="E88" s="502"/>
      <c r="F88" s="502"/>
      <c r="G88" s="502"/>
      <c r="H88" s="502"/>
      <c r="I88" s="502"/>
      <c r="J88" s="480"/>
      <c r="K88" s="503"/>
    </row>
    <row r="89" spans="1:11" s="479" customFormat="1" ht="15.75">
      <c r="B89" s="1188" t="s">
        <v>4708</v>
      </c>
      <c r="C89" s="480"/>
      <c r="D89" s="480"/>
      <c r="E89" s="480"/>
      <c r="F89" s="480"/>
      <c r="G89" s="480"/>
      <c r="H89" s="480"/>
      <c r="I89" s="480"/>
      <c r="J89" s="480"/>
      <c r="K89" s="490"/>
    </row>
    <row r="90" spans="1:11" s="479" customFormat="1" ht="15">
      <c r="B90" s="1183"/>
      <c r="C90" s="480"/>
      <c r="D90" s="480" t="s">
        <v>4699</v>
      </c>
      <c r="E90" s="500">
        <f>decEntSvcsSalesSupportLevelPrac1</f>
        <v>90000</v>
      </c>
      <c r="F90" s="500">
        <f>decEntSvcsSalesSupportLevelPrac1</f>
        <v>90000</v>
      </c>
      <c r="G90" s="500">
        <f>decEntSvcsSalesSupportLevelPrac1</f>
        <v>90000</v>
      </c>
      <c r="H90" s="500">
        <f>decEntSvcsSalesSupportLevelPrac1</f>
        <v>90000</v>
      </c>
      <c r="I90" s="500">
        <f>decEntSvcsSalesSupportLevelPrac1</f>
        <v>90000</v>
      </c>
      <c r="J90" s="480"/>
      <c r="K90" s="501">
        <f>AVERAGE(E90:I90)</f>
        <v>90000</v>
      </c>
    </row>
    <row r="91" spans="1:11" s="479" customFormat="1" ht="15">
      <c r="B91" s="1183"/>
      <c r="C91" s="480"/>
      <c r="D91" s="480" t="s">
        <v>4700</v>
      </c>
      <c r="E91" s="500">
        <f>decEntSvcsSalesSupportLevelPrac2</f>
        <v>40000</v>
      </c>
      <c r="F91" s="500">
        <f>decEntSvcsSalesSupportLevelPrac2</f>
        <v>40000</v>
      </c>
      <c r="G91" s="500">
        <f>decEntSvcsSalesSupportLevelPrac2</f>
        <v>40000</v>
      </c>
      <c r="H91" s="500">
        <f>decEntSvcsSalesSupportLevelPrac2</f>
        <v>40000</v>
      </c>
      <c r="I91" s="500">
        <f>decEntSvcsSalesSupportLevelPrac2</f>
        <v>40000</v>
      </c>
      <c r="J91" s="480"/>
      <c r="K91" s="501">
        <f>AVERAGE(E91:I91)</f>
        <v>40000</v>
      </c>
    </row>
    <row r="92" spans="1:11" s="479" customFormat="1" ht="15">
      <c r="B92" s="1183"/>
      <c r="C92" s="480"/>
      <c r="D92" s="480" t="s">
        <v>5157</v>
      </c>
      <c r="E92" s="500">
        <f>decEntSvcsSalesSupportLevelPrac3</f>
        <v>15000</v>
      </c>
      <c r="F92" s="500">
        <f>decEntSvcsSalesSupportLevelPrac3</f>
        <v>15000</v>
      </c>
      <c r="G92" s="500">
        <f>decEntSvcsSalesSupportLevelPrac3</f>
        <v>15000</v>
      </c>
      <c r="H92" s="500">
        <f>decEntSvcsSalesSupportLevelPrac3</f>
        <v>15000</v>
      </c>
      <c r="I92" s="500">
        <f>decEntSvcsSalesSupportLevelPrac3</f>
        <v>15000</v>
      </c>
      <c r="J92" s="480"/>
      <c r="K92" s="501">
        <f>AVERAGE(E92:I92)</f>
        <v>15000</v>
      </c>
    </row>
    <row r="93" spans="1:11" s="479" customFormat="1" ht="15">
      <c r="B93" s="1183"/>
      <c r="C93" s="480"/>
      <c r="D93" s="480"/>
      <c r="E93" s="502"/>
      <c r="F93" s="502"/>
      <c r="G93" s="502"/>
      <c r="H93" s="502"/>
      <c r="I93" s="502"/>
      <c r="J93" s="480"/>
      <c r="K93" s="503"/>
    </row>
    <row r="94" spans="1:11" s="479" customFormat="1" ht="15.75">
      <c r="B94" s="1188" t="s">
        <v>4829</v>
      </c>
      <c r="C94" s="480"/>
      <c r="D94" s="480"/>
      <c r="E94" s="491">
        <f>capProd1Adv</f>
        <v>7500000</v>
      </c>
      <c r="F94" s="491">
        <f>capProd1Adv</f>
        <v>7500000</v>
      </c>
      <c r="G94" s="491">
        <f>capProd1Adv</f>
        <v>7500000</v>
      </c>
      <c r="H94" s="491">
        <f>capProd1Adv</f>
        <v>7500000</v>
      </c>
      <c r="I94" s="491">
        <f>capProd1Adv</f>
        <v>7500000</v>
      </c>
      <c r="J94" s="480"/>
      <c r="K94" s="492">
        <f>AVERAGE(E94:I94)</f>
        <v>7500000</v>
      </c>
    </row>
    <row r="95" spans="1:11" s="479" customFormat="1" ht="15.75" thickBot="1">
      <c r="B95" s="493"/>
      <c r="C95" s="1185"/>
      <c r="D95" s="1185"/>
      <c r="E95" s="1185"/>
      <c r="F95" s="1185"/>
      <c r="G95" s="1185"/>
      <c r="H95" s="1185"/>
      <c r="I95" s="1185"/>
      <c r="J95" s="1185"/>
      <c r="K95" s="494"/>
    </row>
    <row r="96" spans="1:11" s="507" customFormat="1" ht="23.25">
      <c r="A96" s="506"/>
      <c r="B96" s="1053" t="str">
        <f>"Competitor Report - "&amp;"Year "&amp;xxYear</f>
        <v>Competitor Report - Year 1</v>
      </c>
      <c r="C96" s="1182"/>
      <c r="D96" s="1182"/>
      <c r="E96" s="1182"/>
      <c r="F96" s="1182"/>
      <c r="G96" s="1182"/>
      <c r="H96" s="1182"/>
      <c r="I96" s="1182"/>
      <c r="J96" s="1182"/>
      <c r="K96" s="1054"/>
    </row>
    <row r="97" spans="1:11" s="479" customFormat="1" ht="15">
      <c r="B97" s="1183"/>
      <c r="C97" s="480"/>
      <c r="D97" s="481"/>
      <c r="E97" s="481"/>
      <c r="F97" s="481"/>
      <c r="G97" s="481"/>
      <c r="H97" s="481"/>
      <c r="I97" s="481"/>
      <c r="J97" s="480"/>
      <c r="K97" s="482"/>
    </row>
    <row r="98" spans="1:11" s="479" customFormat="1" ht="15.75">
      <c r="A98" s="483"/>
      <c r="B98" s="1184" t="s">
        <v>4777</v>
      </c>
      <c r="C98" s="1055"/>
      <c r="D98" s="1055"/>
      <c r="E98" s="1055" t="str">
        <f>decTeamName</f>
        <v>Entrevard</v>
      </c>
      <c r="F98" s="1055" t="str">
        <f>decTeamName</f>
        <v>Entrevard</v>
      </c>
      <c r="G98" s="1055" t="str">
        <f>decTeamName</f>
        <v>Entrevard</v>
      </c>
      <c r="H98" s="1055" t="str">
        <f>decTeamName</f>
        <v>Entrevard</v>
      </c>
      <c r="I98" s="1055" t="str">
        <f>decTeamName</f>
        <v>Entrevard</v>
      </c>
      <c r="J98" s="1055"/>
      <c r="K98" s="1056" t="s">
        <v>697</v>
      </c>
    </row>
    <row r="99" spans="1:11" s="479" customFormat="1" ht="15">
      <c r="B99" s="1183"/>
      <c r="C99" s="480"/>
      <c r="D99" s="480"/>
      <c r="E99" s="481"/>
      <c r="F99" s="481"/>
      <c r="G99" s="481"/>
      <c r="H99" s="481"/>
      <c r="I99" s="481"/>
      <c r="J99" s="480"/>
      <c r="K99" s="482"/>
    </row>
    <row r="100" spans="1:11" s="479" customFormat="1" ht="15">
      <c r="B100" s="1183" t="s">
        <v>4228</v>
      </c>
      <c r="C100" s="480"/>
      <c r="D100" s="480"/>
      <c r="E100" s="480"/>
      <c r="F100" s="480"/>
      <c r="G100" s="480"/>
      <c r="H100" s="480"/>
      <c r="I100" s="480"/>
      <c r="J100" s="480"/>
      <c r="K100" s="490"/>
    </row>
    <row r="101" spans="1:11" s="479" customFormat="1" ht="6" customHeight="1">
      <c r="B101" s="1183"/>
      <c r="C101" s="480"/>
      <c r="D101" s="480"/>
      <c r="E101" s="480"/>
      <c r="F101" s="480"/>
      <c r="G101" s="480"/>
      <c r="H101" s="480"/>
      <c r="I101" s="480"/>
      <c r="J101" s="480"/>
      <c r="K101" s="490"/>
    </row>
    <row r="102" spans="1:11" s="479" customFormat="1" ht="15">
      <c r="B102" s="1183"/>
      <c r="C102" s="495" t="s">
        <v>3293</v>
      </c>
      <c r="D102" s="480"/>
      <c r="E102" s="480"/>
      <c r="F102" s="480"/>
      <c r="G102" s="480"/>
      <c r="H102" s="480"/>
      <c r="I102" s="480"/>
      <c r="J102" s="480"/>
      <c r="K102" s="490"/>
    </row>
    <row r="103" spans="1:11" s="479" customFormat="1" ht="15">
      <c r="B103" s="1183"/>
      <c r="C103" s="495"/>
      <c r="D103" s="480" t="str">
        <f>DataNameEmp4</f>
        <v>Director / EM</v>
      </c>
      <c r="E103" s="502">
        <f>capBusAEmp4Utiliz</f>
        <v>0.46076923076923076</v>
      </c>
      <c r="F103" s="502">
        <f>capBusAEmp4Utiliz</f>
        <v>0.46076923076923076</v>
      </c>
      <c r="G103" s="502">
        <f>capBusAEmp4Utiliz</f>
        <v>0.46076923076923076</v>
      </c>
      <c r="H103" s="502">
        <f>capBusAEmp4Utiliz</f>
        <v>0.46076923076923076</v>
      </c>
      <c r="I103" s="502">
        <f>capBusAEmp4Utiliz</f>
        <v>0.46076923076923076</v>
      </c>
      <c r="J103" s="480"/>
      <c r="K103" s="503">
        <f>AVERAGE(E103:I103)</f>
        <v>0.46076923076923071</v>
      </c>
    </row>
    <row r="104" spans="1:11" s="479" customFormat="1" ht="15">
      <c r="B104" s="1183"/>
      <c r="C104" s="495"/>
      <c r="D104" s="480" t="str">
        <f>DataNameEmp3</f>
        <v>PM / Analyst</v>
      </c>
      <c r="E104" s="502">
        <f>capBusAEmp3Utiliz</f>
        <v>0.54145901639344263</v>
      </c>
      <c r="F104" s="502">
        <f>capBusAEmp3Utiliz</f>
        <v>0.54145901639344263</v>
      </c>
      <c r="G104" s="502">
        <f>capBusAEmp3Utiliz</f>
        <v>0.54145901639344263</v>
      </c>
      <c r="H104" s="502">
        <f>capBusAEmp3Utiliz</f>
        <v>0.54145901639344263</v>
      </c>
      <c r="I104" s="502">
        <f>capBusAEmp3Utiliz</f>
        <v>0.54145901639344263</v>
      </c>
      <c r="J104" s="480"/>
      <c r="K104" s="503">
        <f>AVERAGE(E104:I104)</f>
        <v>0.54145901639344263</v>
      </c>
    </row>
    <row r="105" spans="1:11" s="479" customFormat="1" ht="15">
      <c r="B105" s="1183"/>
      <c r="C105" s="495"/>
      <c r="D105" s="480" t="str">
        <f>DataNameEmp2</f>
        <v>Technical</v>
      </c>
      <c r="E105" s="502">
        <f>capBusAEmp2Utiliz</f>
        <v>0.53424657534246578</v>
      </c>
      <c r="F105" s="502">
        <f>capBusAEmp2Utiliz</f>
        <v>0.53424657534246578</v>
      </c>
      <c r="G105" s="502">
        <f>capBusAEmp2Utiliz</f>
        <v>0.53424657534246578</v>
      </c>
      <c r="H105" s="502">
        <f>capBusAEmp2Utiliz</f>
        <v>0.53424657534246578</v>
      </c>
      <c r="I105" s="502">
        <f>capBusAEmp2Utiliz</f>
        <v>0.53424657534246578</v>
      </c>
      <c r="J105" s="480"/>
      <c r="K105" s="503">
        <f>AVERAGE(E105:I105)</f>
        <v>0.53424657534246578</v>
      </c>
    </row>
    <row r="106" spans="1:11" s="479" customFormat="1" ht="15">
      <c r="B106" s="1183"/>
      <c r="C106" s="495"/>
      <c r="D106" s="480" t="str">
        <f>DataNameEmp9</f>
        <v>Global Delivery Centers</v>
      </c>
      <c r="E106" s="502">
        <f>capBusAEmp9Utiliz</f>
        <v>0.57926829268292679</v>
      </c>
      <c r="F106" s="502">
        <f>capBusAEmp9Utiliz</f>
        <v>0.57926829268292679</v>
      </c>
      <c r="G106" s="502">
        <f>capBusAEmp9Utiliz</f>
        <v>0.57926829268292679</v>
      </c>
      <c r="H106" s="502">
        <f>capBusAEmp9Utiliz</f>
        <v>0.57926829268292679</v>
      </c>
      <c r="I106" s="502">
        <f>capBusAEmp9Utiliz</f>
        <v>0.57926829268292679</v>
      </c>
      <c r="J106" s="480"/>
      <c r="K106" s="503">
        <f>AVERAGE(E106:I106)</f>
        <v>0.57926829268292679</v>
      </c>
    </row>
    <row r="107" spans="1:11" s="479" customFormat="1" ht="6" customHeight="1">
      <c r="B107" s="1183"/>
      <c r="C107" s="495"/>
      <c r="D107" s="480"/>
      <c r="E107" s="502"/>
      <c r="F107" s="502"/>
      <c r="G107" s="502"/>
      <c r="H107" s="502"/>
      <c r="I107" s="502"/>
      <c r="J107" s="480"/>
      <c r="K107" s="503"/>
    </row>
    <row r="108" spans="1:11" s="479" customFormat="1" ht="15">
      <c r="B108" s="1183"/>
      <c r="C108" s="495" t="str">
        <f>DataNameEmp6</f>
        <v>Sales</v>
      </c>
      <c r="D108" s="480"/>
      <c r="E108" s="502">
        <f>capEmp6Utiliz</f>
        <v>0.50244539232091079</v>
      </c>
      <c r="F108" s="502">
        <f>capEmp6Utiliz</f>
        <v>0.50244539232091079</v>
      </c>
      <c r="G108" s="502">
        <f>capEmp6Utiliz</f>
        <v>0.50244539232091079</v>
      </c>
      <c r="H108" s="502">
        <f>capEmp6Utiliz</f>
        <v>0.50244539232091079</v>
      </c>
      <c r="I108" s="502">
        <f>capEmp6Utiliz</f>
        <v>0.50244539232091079</v>
      </c>
      <c r="J108" s="480"/>
      <c r="K108" s="503">
        <f>AVERAGE(E108:I108)</f>
        <v>0.50244539232091079</v>
      </c>
    </row>
    <row r="109" spans="1:11" s="479" customFormat="1" ht="15">
      <c r="B109" s="1183"/>
      <c r="C109" s="480"/>
      <c r="D109" s="480"/>
      <c r="E109" s="481"/>
      <c r="F109" s="481"/>
      <c r="G109" s="481"/>
      <c r="H109" s="481"/>
      <c r="I109" s="481"/>
      <c r="J109" s="480"/>
      <c r="K109" s="482"/>
    </row>
    <row r="110" spans="1:11" s="479" customFormat="1" ht="15">
      <c r="B110" s="1183" t="s">
        <v>4835</v>
      </c>
      <c r="C110" s="480"/>
      <c r="D110" s="480"/>
      <c r="E110" s="480"/>
      <c r="F110" s="480"/>
      <c r="G110" s="480"/>
      <c r="H110" s="480"/>
      <c r="I110" s="480"/>
      <c r="J110" s="480"/>
      <c r="K110" s="490"/>
    </row>
    <row r="111" spans="1:11" s="479" customFormat="1" ht="6" customHeight="1">
      <c r="B111" s="1183"/>
      <c r="C111" s="480"/>
      <c r="D111" s="480"/>
      <c r="E111" s="480"/>
      <c r="F111" s="480"/>
      <c r="G111" s="480"/>
      <c r="H111" s="480"/>
      <c r="I111" s="480"/>
      <c r="J111" s="480"/>
      <c r="K111" s="490"/>
    </row>
    <row r="112" spans="1:11" s="479" customFormat="1" ht="15">
      <c r="B112" s="1183"/>
      <c r="C112" s="495" t="s">
        <v>3293</v>
      </c>
      <c r="D112" s="480"/>
      <c r="E112" s="480"/>
      <c r="F112" s="480"/>
      <c r="G112" s="480"/>
      <c r="H112" s="480"/>
      <c r="I112" s="480"/>
      <c r="J112" s="480"/>
      <c r="K112" s="490"/>
    </row>
    <row r="113" spans="2:11" s="479" customFormat="1" ht="15">
      <c r="B113" s="1183"/>
      <c r="C113" s="495"/>
      <c r="D113" s="480" t="str">
        <f>DataNameEmp4</f>
        <v>Director / EM</v>
      </c>
      <c r="E113" s="1057">
        <f>decEmp4BusAHire</f>
        <v>20</v>
      </c>
      <c r="F113" s="1057">
        <f>decEmp4BusAHire</f>
        <v>20</v>
      </c>
      <c r="G113" s="1057">
        <f>decEmp4BusAHire</f>
        <v>20</v>
      </c>
      <c r="H113" s="1057">
        <f>decEmp4BusAHire</f>
        <v>20</v>
      </c>
      <c r="I113" s="1057">
        <f>decEmp4BusAHire</f>
        <v>20</v>
      </c>
      <c r="J113" s="1057"/>
      <c r="K113" s="1189">
        <f>AVERAGE(E113:I113)</f>
        <v>20</v>
      </c>
    </row>
    <row r="114" spans="2:11" s="479" customFormat="1" ht="15">
      <c r="B114" s="1183"/>
      <c r="C114" s="495"/>
      <c r="D114" s="480" t="str">
        <f>DataNameEmp3</f>
        <v>PM / Analyst</v>
      </c>
      <c r="E114" s="1057">
        <f>decEmp3BusAHire</f>
        <v>136</v>
      </c>
      <c r="F114" s="1057">
        <f>decEmp3BusAHire</f>
        <v>136</v>
      </c>
      <c r="G114" s="1057">
        <f>decEmp3BusAHire</f>
        <v>136</v>
      </c>
      <c r="H114" s="1057">
        <f>decEmp3BusAHire</f>
        <v>136</v>
      </c>
      <c r="I114" s="1057">
        <f>decEmp3BusAHire</f>
        <v>136</v>
      </c>
      <c r="J114" s="1057"/>
      <c r="K114" s="1189">
        <f>AVERAGE(E114:I114)</f>
        <v>136</v>
      </c>
    </row>
    <row r="115" spans="2:11" s="479" customFormat="1" ht="15">
      <c r="B115" s="1183"/>
      <c r="C115" s="495"/>
      <c r="D115" s="480" t="str">
        <f>DataNameEmp2</f>
        <v>Technical</v>
      </c>
      <c r="E115" s="1057">
        <f>decEmp2BusAHire</f>
        <v>204</v>
      </c>
      <c r="F115" s="1057">
        <f>decEmp2BusAHire</f>
        <v>204</v>
      </c>
      <c r="G115" s="1057">
        <f>decEmp2BusAHire</f>
        <v>204</v>
      </c>
      <c r="H115" s="1057">
        <f>decEmp2BusAHire</f>
        <v>204</v>
      </c>
      <c r="I115" s="1057">
        <f>decEmp2BusAHire</f>
        <v>204</v>
      </c>
      <c r="J115" s="1057"/>
      <c r="K115" s="1189">
        <f>AVERAGE(E115:I115)</f>
        <v>204</v>
      </c>
    </row>
    <row r="116" spans="2:11" s="479" customFormat="1" ht="15">
      <c r="B116" s="1183"/>
      <c r="C116" s="495"/>
      <c r="D116" s="480" t="str">
        <f>DataNameEmp9</f>
        <v>Global Delivery Centers</v>
      </c>
      <c r="E116" s="1057">
        <f>decEmp9BusAHire</f>
        <v>26</v>
      </c>
      <c r="F116" s="1057">
        <f>decEmp9BusAHire</f>
        <v>26</v>
      </c>
      <c r="G116" s="1057">
        <f>decEmp9BusAHire</f>
        <v>26</v>
      </c>
      <c r="H116" s="1057">
        <f>decEmp9BusAHire</f>
        <v>26</v>
      </c>
      <c r="I116" s="1057">
        <f>decEmp9BusAHire</f>
        <v>26</v>
      </c>
      <c r="J116" s="1057"/>
      <c r="K116" s="1189">
        <f>AVERAGE(E116:I116)</f>
        <v>26</v>
      </c>
    </row>
    <row r="117" spans="2:11" s="479" customFormat="1" ht="6" customHeight="1">
      <c r="B117" s="1183"/>
      <c r="C117" s="495"/>
      <c r="D117" s="480"/>
      <c r="E117" s="1057"/>
      <c r="F117" s="1057"/>
      <c r="G117" s="1057"/>
      <c r="H117" s="1057"/>
      <c r="I117" s="1057"/>
      <c r="J117" s="1057"/>
      <c r="K117" s="1189"/>
    </row>
    <row r="118" spans="2:11" s="479" customFormat="1" ht="15">
      <c r="B118" s="1183"/>
      <c r="C118" s="495" t="str">
        <f>DataNameEmp6</f>
        <v>Sales</v>
      </c>
      <c r="D118" s="480"/>
      <c r="E118" s="1057">
        <f>decEntWFHire</f>
        <v>194</v>
      </c>
      <c r="F118" s="1057">
        <f>decEntWFHire</f>
        <v>194</v>
      </c>
      <c r="G118" s="1057">
        <f>decEntWFHire</f>
        <v>194</v>
      </c>
      <c r="H118" s="1057">
        <f>decEntWFHire</f>
        <v>194</v>
      </c>
      <c r="I118" s="1057">
        <f>decEntWFHire</f>
        <v>194</v>
      </c>
      <c r="J118" s="1057"/>
      <c r="K118" s="1189">
        <f>AVERAGE(E118:I118)</f>
        <v>194</v>
      </c>
    </row>
    <row r="119" spans="2:11" s="479" customFormat="1" ht="15">
      <c r="B119" s="1183"/>
      <c r="C119" s="480"/>
      <c r="D119" s="480"/>
      <c r="E119" s="481"/>
      <c r="F119" s="481"/>
      <c r="G119" s="481"/>
      <c r="H119" s="481"/>
      <c r="I119" s="481"/>
      <c r="J119" s="480"/>
      <c r="K119" s="482"/>
    </row>
    <row r="120" spans="2:11" s="479" customFormat="1" ht="15">
      <c r="B120" s="1183" t="s">
        <v>2272</v>
      </c>
      <c r="C120" s="480"/>
      <c r="D120" s="480"/>
      <c r="E120" s="480"/>
      <c r="F120" s="480"/>
      <c r="G120" s="480"/>
      <c r="H120" s="480"/>
      <c r="I120" s="480"/>
      <c r="J120" s="480"/>
      <c r="K120" s="490"/>
    </row>
    <row r="121" spans="2:11" s="479" customFormat="1" ht="6" customHeight="1">
      <c r="B121" s="1183"/>
      <c r="C121" s="480"/>
      <c r="D121" s="480"/>
      <c r="E121" s="480"/>
      <c r="F121" s="480"/>
      <c r="G121" s="480"/>
      <c r="H121" s="480"/>
      <c r="I121" s="480"/>
      <c r="J121" s="480"/>
      <c r="K121" s="490"/>
    </row>
    <row r="122" spans="2:11" s="479" customFormat="1" ht="15">
      <c r="B122" s="1183"/>
      <c r="C122" s="495" t="s">
        <v>3293</v>
      </c>
      <c r="D122" s="480"/>
      <c r="E122" s="480"/>
      <c r="F122" s="480"/>
      <c r="G122" s="480"/>
      <c r="H122" s="480"/>
      <c r="I122" s="480"/>
      <c r="J122" s="480"/>
      <c r="K122" s="490"/>
    </row>
    <row r="123" spans="2:11" s="479" customFormat="1" ht="15">
      <c r="B123" s="1183"/>
      <c r="C123" s="495"/>
      <c r="D123" s="480" t="str">
        <f>DataNameEmp4</f>
        <v>Director / EM</v>
      </c>
      <c r="E123" s="1057" t="str">
        <f>decEmp4BusADismiss</f>
        <v>Average</v>
      </c>
      <c r="F123" s="1057" t="str">
        <f>decEmp4BusADismiss</f>
        <v>Average</v>
      </c>
      <c r="G123" s="1057" t="str">
        <f>decEmp4BusADismiss</f>
        <v>Average</v>
      </c>
      <c r="H123" s="1057" t="str">
        <f>decEmp4BusADismiss</f>
        <v>Average</v>
      </c>
      <c r="I123" s="1057" t="str">
        <f>decEmp4BusADismiss</f>
        <v>Average</v>
      </c>
      <c r="J123" s="1057"/>
      <c r="K123" s="1189"/>
    </row>
    <row r="124" spans="2:11" s="479" customFormat="1" ht="15">
      <c r="B124" s="1183"/>
      <c r="C124" s="495"/>
      <c r="D124" s="480" t="str">
        <f>DataNameEmp3</f>
        <v>PM / Analyst</v>
      </c>
      <c r="E124" s="1057" t="str">
        <f>decEmp3BusADismiss</f>
        <v>Average</v>
      </c>
      <c r="F124" s="1057" t="str">
        <f>decEmp3BusADismiss</f>
        <v>Average</v>
      </c>
      <c r="G124" s="1057" t="str">
        <f>decEmp3BusADismiss</f>
        <v>Average</v>
      </c>
      <c r="H124" s="1057" t="str">
        <f>decEmp3BusADismiss</f>
        <v>Average</v>
      </c>
      <c r="I124" s="1057" t="str">
        <f>decEmp3BusADismiss</f>
        <v>Average</v>
      </c>
      <c r="J124" s="1057"/>
      <c r="K124" s="1189"/>
    </row>
    <row r="125" spans="2:11" s="479" customFormat="1" ht="15">
      <c r="B125" s="1183"/>
      <c r="C125" s="495"/>
      <c r="D125" s="480" t="str">
        <f>DataNameEmp2</f>
        <v>Technical</v>
      </c>
      <c r="E125" s="1057" t="str">
        <f>decEmp2BusADismiss</f>
        <v>Average</v>
      </c>
      <c r="F125" s="1057" t="str">
        <f>decEmp2BusADismiss</f>
        <v>Average</v>
      </c>
      <c r="G125" s="1057" t="str">
        <f>decEmp2BusADismiss</f>
        <v>Average</v>
      </c>
      <c r="H125" s="1057" t="str">
        <f>decEmp2BusADismiss</f>
        <v>Average</v>
      </c>
      <c r="I125" s="1057" t="str">
        <f>decEmp2BusADismiss</f>
        <v>Average</v>
      </c>
      <c r="J125" s="1057"/>
      <c r="K125" s="1189"/>
    </row>
    <row r="126" spans="2:11" s="479" customFormat="1" ht="15">
      <c r="B126" s="1183"/>
      <c r="C126" s="495"/>
      <c r="D126" s="480" t="str">
        <f>DataNameEmp9</f>
        <v>Global Delivery Centers</v>
      </c>
      <c r="E126" s="1057" t="str">
        <f>decEmp9BusADismiss</f>
        <v>Average</v>
      </c>
      <c r="F126" s="1057" t="str">
        <f>decEmp9BusADismiss</f>
        <v>Average</v>
      </c>
      <c r="G126" s="1057" t="str">
        <f>decEmp9BusADismiss</f>
        <v>Average</v>
      </c>
      <c r="H126" s="1057" t="str">
        <f>decEmp9BusADismiss</f>
        <v>Average</v>
      </c>
      <c r="I126" s="1057" t="str">
        <f>decEmp9BusADismiss</f>
        <v>Average</v>
      </c>
      <c r="J126" s="1057"/>
      <c r="K126" s="1189"/>
    </row>
    <row r="127" spans="2:11" s="479" customFormat="1" ht="6" customHeight="1">
      <c r="B127" s="1183"/>
      <c r="C127" s="495"/>
      <c r="D127" s="480"/>
      <c r="E127" s="1057"/>
      <c r="F127" s="1057"/>
      <c r="G127" s="1057"/>
      <c r="H127" s="1057"/>
      <c r="I127" s="1057"/>
      <c r="J127" s="1057"/>
      <c r="K127" s="1189"/>
    </row>
    <row r="128" spans="2:11" s="479" customFormat="1" ht="15">
      <c r="B128" s="1183"/>
      <c r="C128" s="495" t="str">
        <f>DataNameEmp6</f>
        <v>Sales</v>
      </c>
      <c r="D128" s="480"/>
      <c r="E128" s="1057" t="str">
        <f>decEntWFDismiss</f>
        <v>Average</v>
      </c>
      <c r="F128" s="1057" t="str">
        <f>decEntWFDismiss</f>
        <v>Average</v>
      </c>
      <c r="G128" s="1057" t="str">
        <f>decEntWFDismiss</f>
        <v>Average</v>
      </c>
      <c r="H128" s="1057" t="str">
        <f>decEntWFDismiss</f>
        <v>Average</v>
      </c>
      <c r="I128" s="1057" t="str">
        <f>decEntWFDismiss</f>
        <v>Average</v>
      </c>
      <c r="J128" s="1057"/>
      <c r="K128" s="1189"/>
    </row>
    <row r="129" spans="2:11" s="479" customFormat="1" ht="15">
      <c r="B129" s="1183"/>
      <c r="C129" s="495"/>
      <c r="D129" s="480"/>
      <c r="E129" s="480"/>
      <c r="F129" s="480"/>
      <c r="G129" s="480"/>
      <c r="H129" s="480"/>
      <c r="I129" s="480"/>
      <c r="J129" s="480"/>
      <c r="K129" s="490"/>
    </row>
    <row r="130" spans="2:11" s="479" customFormat="1" ht="15">
      <c r="B130" s="1183" t="s">
        <v>402</v>
      </c>
      <c r="C130" s="495"/>
      <c r="D130" s="480"/>
      <c r="E130" s="480"/>
      <c r="F130" s="480"/>
      <c r="G130" s="480"/>
      <c r="H130" s="480"/>
      <c r="I130" s="480"/>
      <c r="J130" s="480"/>
      <c r="K130" s="490"/>
    </row>
    <row r="131" spans="2:11" s="479" customFormat="1" ht="6" customHeight="1">
      <c r="B131" s="1183"/>
      <c r="C131" s="495"/>
      <c r="D131" s="480"/>
      <c r="E131" s="480"/>
      <c r="F131" s="480"/>
      <c r="G131" s="480"/>
      <c r="H131" s="480"/>
      <c r="I131" s="480"/>
      <c r="J131" s="480"/>
      <c r="K131" s="490"/>
    </row>
    <row r="132" spans="2:11" s="479" customFormat="1" ht="15">
      <c r="B132" s="1183"/>
      <c r="C132" s="495" t="str">
        <f>DataNameEmp4</f>
        <v>Director / EM</v>
      </c>
      <c r="D132" s="480"/>
      <c r="E132" s="480"/>
      <c r="F132" s="480"/>
      <c r="G132" s="480"/>
      <c r="H132" s="480"/>
      <c r="I132" s="480"/>
      <c r="J132" s="480"/>
      <c r="K132" s="490"/>
    </row>
    <row r="133" spans="2:11" s="479" customFormat="1" ht="15">
      <c r="B133" s="1183"/>
      <c r="C133" s="495"/>
      <c r="D133" s="480" t="s">
        <v>4257</v>
      </c>
      <c r="E133" s="480">
        <f>INDEX(DataPageTrainingTargetEmp4,xxYear+3)</f>
        <v>80</v>
      </c>
      <c r="F133" s="480">
        <f>INDEX(DataPageTrainingTargetEmp4,xxYear+3)</f>
        <v>80</v>
      </c>
      <c r="G133" s="480">
        <f>INDEX(DataPageTrainingTargetEmp4,xxYear+3)</f>
        <v>80</v>
      </c>
      <c r="H133" s="480">
        <f>INDEX(DataPageTrainingTargetEmp4,xxYear+3)</f>
        <v>80</v>
      </c>
      <c r="I133" s="480">
        <f>INDEX(DataPageTrainingTargetEmp4,xxYear+3)</f>
        <v>80</v>
      </c>
      <c r="J133" s="480"/>
      <c r="K133" s="490">
        <f>AVERAGE(E133:I133)</f>
        <v>80</v>
      </c>
    </row>
    <row r="134" spans="2:11" s="479" customFormat="1" ht="15">
      <c r="B134" s="1183"/>
      <c r="C134" s="495"/>
      <c r="D134" s="480" t="s">
        <v>768</v>
      </c>
      <c r="E134" s="480">
        <f>decEmp4Training</f>
        <v>80</v>
      </c>
      <c r="F134" s="480">
        <f>decEmp4Training</f>
        <v>80</v>
      </c>
      <c r="G134" s="480">
        <f>decEmp4Training</f>
        <v>80</v>
      </c>
      <c r="H134" s="480">
        <f>decEmp4Training</f>
        <v>80</v>
      </c>
      <c r="I134" s="480">
        <f>decEmp4Training</f>
        <v>80</v>
      </c>
      <c r="J134" s="480"/>
      <c r="K134" s="490">
        <f>AVERAGE(E134:I134)</f>
        <v>80</v>
      </c>
    </row>
    <row r="135" spans="2:11" s="479" customFormat="1" ht="6" customHeight="1">
      <c r="B135" s="1183"/>
      <c r="C135" s="495"/>
      <c r="D135" s="480"/>
      <c r="E135" s="480"/>
      <c r="F135" s="480"/>
      <c r="G135" s="480"/>
      <c r="H135" s="480"/>
      <c r="I135" s="480"/>
      <c r="J135" s="480"/>
      <c r="K135" s="490"/>
    </row>
    <row r="136" spans="2:11" s="479" customFormat="1" ht="15">
      <c r="B136" s="1183"/>
      <c r="C136" s="495" t="str">
        <f>DataNameEmp3</f>
        <v>PM / Analyst</v>
      </c>
      <c r="D136" s="480"/>
      <c r="E136" s="480"/>
      <c r="F136" s="480"/>
      <c r="G136" s="480"/>
      <c r="H136" s="480"/>
      <c r="I136" s="480"/>
      <c r="J136" s="480"/>
      <c r="K136" s="490"/>
    </row>
    <row r="137" spans="2:11" s="479" customFormat="1" ht="15">
      <c r="B137" s="1183"/>
      <c r="C137" s="495"/>
      <c r="D137" s="480" t="s">
        <v>4257</v>
      </c>
      <c r="E137" s="480">
        <f>INDEX(DataPageTrainingTargetEmp3,xxYear+3)</f>
        <v>120</v>
      </c>
      <c r="F137" s="480">
        <f>INDEX(DataPageTrainingTargetEmp3,xxYear+3)</f>
        <v>120</v>
      </c>
      <c r="G137" s="480">
        <f>INDEX(DataPageTrainingTargetEmp3,xxYear+3)</f>
        <v>120</v>
      </c>
      <c r="H137" s="480">
        <f>INDEX(DataPageTrainingTargetEmp3,xxYear+3)</f>
        <v>120</v>
      </c>
      <c r="I137" s="480">
        <f>INDEX(DataPageTrainingTargetEmp3,xxYear+3)</f>
        <v>120</v>
      </c>
      <c r="J137" s="480"/>
      <c r="K137" s="490">
        <f>AVERAGE(E137:I137)</f>
        <v>120</v>
      </c>
    </row>
    <row r="138" spans="2:11" s="479" customFormat="1" ht="15">
      <c r="B138" s="1183"/>
      <c r="C138" s="495"/>
      <c r="D138" s="480" t="s">
        <v>768</v>
      </c>
      <c r="E138" s="480">
        <f>decEmp3Training</f>
        <v>120</v>
      </c>
      <c r="F138" s="480">
        <f>decEmp3Training</f>
        <v>120</v>
      </c>
      <c r="G138" s="480">
        <f>decEmp3Training</f>
        <v>120</v>
      </c>
      <c r="H138" s="480">
        <f>decEmp3Training</f>
        <v>120</v>
      </c>
      <c r="I138" s="480">
        <f>decEmp3Training</f>
        <v>120</v>
      </c>
      <c r="J138" s="480"/>
      <c r="K138" s="490">
        <f>AVERAGE(E138:I138)</f>
        <v>120</v>
      </c>
    </row>
    <row r="139" spans="2:11" s="479" customFormat="1" ht="6" customHeight="1">
      <c r="B139" s="1183"/>
      <c r="C139" s="495"/>
      <c r="D139" s="480"/>
      <c r="E139" s="480"/>
      <c r="F139" s="480"/>
      <c r="G139" s="480"/>
      <c r="H139" s="480"/>
      <c r="I139" s="480"/>
      <c r="J139" s="480"/>
      <c r="K139" s="490"/>
    </row>
    <row r="140" spans="2:11" s="479" customFormat="1" ht="15">
      <c r="B140" s="1183"/>
      <c r="C140" s="495" t="str">
        <f>DataNameEmp2</f>
        <v>Technical</v>
      </c>
      <c r="D140" s="480"/>
      <c r="E140" s="480"/>
      <c r="F140" s="480"/>
      <c r="G140" s="480"/>
      <c r="H140" s="480"/>
      <c r="I140" s="480"/>
      <c r="J140" s="480"/>
      <c r="K140" s="490"/>
    </row>
    <row r="141" spans="2:11" s="479" customFormat="1" ht="15">
      <c r="B141" s="1183"/>
      <c r="C141" s="495"/>
      <c r="D141" s="480" t="s">
        <v>4257</v>
      </c>
      <c r="E141" s="480">
        <f>INDEX(DataPageTrainingTargetEmp2,xxYear+3)</f>
        <v>120</v>
      </c>
      <c r="F141" s="480">
        <f>INDEX(DataPageTrainingTargetEmp2,xxYear+3)</f>
        <v>120</v>
      </c>
      <c r="G141" s="480">
        <f>INDEX(DataPageTrainingTargetEmp2,xxYear+3)</f>
        <v>120</v>
      </c>
      <c r="H141" s="480">
        <f>INDEX(DataPageTrainingTargetEmp2,xxYear+3)</f>
        <v>120</v>
      </c>
      <c r="I141" s="480">
        <f>INDEX(DataPageTrainingTargetEmp2,xxYear+3)</f>
        <v>120</v>
      </c>
      <c r="J141" s="480"/>
      <c r="K141" s="490">
        <f>AVERAGE(E141:I141)</f>
        <v>120</v>
      </c>
    </row>
    <row r="142" spans="2:11" s="479" customFormat="1" ht="15">
      <c r="B142" s="1183"/>
      <c r="C142" s="495"/>
      <c r="D142" s="480" t="s">
        <v>768</v>
      </c>
      <c r="E142" s="480">
        <f>decEmp2Training</f>
        <v>120</v>
      </c>
      <c r="F142" s="480">
        <f>decEmp2Training</f>
        <v>120</v>
      </c>
      <c r="G142" s="480">
        <f>decEmp2Training</f>
        <v>120</v>
      </c>
      <c r="H142" s="480">
        <f>decEmp2Training</f>
        <v>120</v>
      </c>
      <c r="I142" s="480">
        <f>decEmp2Training</f>
        <v>120</v>
      </c>
      <c r="J142" s="480"/>
      <c r="K142" s="490">
        <f>AVERAGE(E142:I142)</f>
        <v>120</v>
      </c>
    </row>
    <row r="143" spans="2:11" s="479" customFormat="1" ht="6" customHeight="1">
      <c r="B143" s="1183"/>
      <c r="C143" s="495"/>
      <c r="D143" s="480"/>
      <c r="E143" s="480"/>
      <c r="F143" s="480"/>
      <c r="G143" s="480"/>
      <c r="H143" s="480"/>
      <c r="I143" s="480"/>
      <c r="J143" s="480"/>
      <c r="K143" s="490"/>
    </row>
    <row r="144" spans="2:11" s="479" customFormat="1" ht="15">
      <c r="B144" s="1183"/>
      <c r="C144" s="495" t="str">
        <f>DataNameEmp6</f>
        <v>Sales</v>
      </c>
      <c r="D144" s="480"/>
      <c r="E144" s="480"/>
      <c r="F144" s="480"/>
      <c r="G144" s="480"/>
      <c r="H144" s="480"/>
      <c r="I144" s="480"/>
      <c r="J144" s="480"/>
      <c r="K144" s="490"/>
    </row>
    <row r="145" spans="2:11" s="479" customFormat="1" ht="15">
      <c r="B145" s="1183"/>
      <c r="C145" s="495"/>
      <c r="D145" s="480" t="s">
        <v>4257</v>
      </c>
      <c r="E145" s="480">
        <f>INDEX(DataPageTrainingTargetEmp6,xxYear+3)</f>
        <v>120</v>
      </c>
      <c r="F145" s="480">
        <f>INDEX(DataPageTrainingTargetEmp6,xxYear+3)</f>
        <v>120</v>
      </c>
      <c r="G145" s="480">
        <f>INDEX(DataPageTrainingTargetEmp6,xxYear+3)</f>
        <v>120</v>
      </c>
      <c r="H145" s="480">
        <f>INDEX(DataPageTrainingTargetEmp6,xxYear+3)</f>
        <v>120</v>
      </c>
      <c r="I145" s="480">
        <f>INDEX(DataPageTrainingTargetEmp6,xxYear+3)</f>
        <v>120</v>
      </c>
      <c r="J145" s="480"/>
      <c r="K145" s="490">
        <f>AVERAGE(E145:I145)</f>
        <v>120</v>
      </c>
    </row>
    <row r="146" spans="2:11" s="479" customFormat="1" ht="15">
      <c r="B146" s="1183"/>
      <c r="C146" s="495"/>
      <c r="D146" s="480" t="s">
        <v>768</v>
      </c>
      <c r="E146" s="480">
        <f>decEntWFTraining</f>
        <v>120</v>
      </c>
      <c r="F146" s="480">
        <f>decEntWFTraining</f>
        <v>120</v>
      </c>
      <c r="G146" s="480">
        <f>decEntWFTraining</f>
        <v>120</v>
      </c>
      <c r="H146" s="480">
        <f>decEntWFTraining</f>
        <v>120</v>
      </c>
      <c r="I146" s="480">
        <f>decEntWFTraining</f>
        <v>120</v>
      </c>
      <c r="J146" s="480"/>
      <c r="K146" s="490">
        <f>AVERAGE(E146:I146)</f>
        <v>120</v>
      </c>
    </row>
    <row r="147" spans="2:11" s="479" customFormat="1" ht="15">
      <c r="B147" s="1183"/>
      <c r="C147" s="480"/>
      <c r="D147" s="480"/>
      <c r="E147" s="480"/>
      <c r="F147" s="480"/>
      <c r="G147" s="480"/>
      <c r="H147" s="480"/>
      <c r="I147" s="480"/>
      <c r="J147" s="480"/>
      <c r="K147" s="490"/>
    </row>
    <row r="148" spans="2:11" s="479" customFormat="1" ht="15">
      <c r="B148" s="1183" t="s">
        <v>4559</v>
      </c>
      <c r="C148" s="480"/>
      <c r="D148" s="480"/>
      <c r="E148" s="480"/>
      <c r="F148" s="480"/>
      <c r="G148" s="480"/>
      <c r="H148" s="480"/>
      <c r="I148" s="480"/>
      <c r="J148" s="480"/>
      <c r="K148" s="490"/>
    </row>
    <row r="149" spans="2:11" s="479" customFormat="1" ht="15">
      <c r="B149" s="1183"/>
      <c r="C149" s="480"/>
      <c r="D149" s="480" t="str">
        <f>DataNameEmp4</f>
        <v>Director / EM</v>
      </c>
      <c r="E149" s="491" t="str">
        <f>decEmp4SalaryLvl</f>
        <v>At Market</v>
      </c>
      <c r="F149" s="491" t="str">
        <f>decEmp4SalaryLvl</f>
        <v>At Market</v>
      </c>
      <c r="G149" s="491" t="str">
        <f>decEmp4SalaryLvl</f>
        <v>At Market</v>
      </c>
      <c r="H149" s="491" t="str">
        <f>decEmp4SalaryLvl</f>
        <v>At Market</v>
      </c>
      <c r="I149" s="491" t="str">
        <f>decEmp4SalaryLvl</f>
        <v>At Market</v>
      </c>
      <c r="J149" s="480"/>
      <c r="K149" s="492"/>
    </row>
    <row r="150" spans="2:11" s="479" customFormat="1" ht="15">
      <c r="B150" s="1183"/>
      <c r="C150" s="480"/>
      <c r="D150" s="480" t="str">
        <f>DataNameEmp3</f>
        <v>PM / Analyst</v>
      </c>
      <c r="E150" s="491" t="str">
        <f>decEmp3SalaryLvl</f>
        <v>At Market</v>
      </c>
      <c r="F150" s="491" t="str">
        <f>decEmp3SalaryLvl</f>
        <v>At Market</v>
      </c>
      <c r="G150" s="491" t="str">
        <f>decEmp3SalaryLvl</f>
        <v>At Market</v>
      </c>
      <c r="H150" s="491" t="str">
        <f>decEmp3SalaryLvl</f>
        <v>At Market</v>
      </c>
      <c r="I150" s="491" t="str">
        <f>decEmp3SalaryLvl</f>
        <v>At Market</v>
      </c>
      <c r="J150" s="480"/>
      <c r="K150" s="492"/>
    </row>
    <row r="151" spans="2:11" s="479" customFormat="1" ht="15">
      <c r="B151" s="1183"/>
      <c r="C151" s="480"/>
      <c r="D151" s="480" t="str">
        <f>DataNameEmp2</f>
        <v>Technical</v>
      </c>
      <c r="E151" s="491" t="str">
        <f>decEmp2SalaryLvl</f>
        <v>At Market</v>
      </c>
      <c r="F151" s="491" t="str">
        <f>decEmp2SalaryLvl</f>
        <v>At Market</v>
      </c>
      <c r="G151" s="491" t="str">
        <f>decEmp2SalaryLvl</f>
        <v>At Market</v>
      </c>
      <c r="H151" s="491" t="str">
        <f>decEmp2SalaryLvl</f>
        <v>At Market</v>
      </c>
      <c r="I151" s="491" t="str">
        <f>decEmp2SalaryLvl</f>
        <v>At Market</v>
      </c>
      <c r="J151" s="480"/>
      <c r="K151" s="492"/>
    </row>
    <row r="152" spans="2:11" s="479" customFormat="1" ht="15">
      <c r="B152" s="1183"/>
      <c r="C152" s="480"/>
      <c r="D152" s="480"/>
      <c r="E152" s="480"/>
      <c r="F152" s="480"/>
      <c r="G152" s="480"/>
      <c r="H152" s="480"/>
      <c r="I152" s="480"/>
      <c r="J152" s="480"/>
      <c r="K152" s="492"/>
    </row>
    <row r="153" spans="2:11" s="479" customFormat="1" ht="15">
      <c r="B153" s="1183" t="s">
        <v>3973</v>
      </c>
      <c r="C153" s="480"/>
      <c r="D153" s="480"/>
      <c r="E153" s="480"/>
      <c r="F153" s="480"/>
      <c r="G153" s="480"/>
      <c r="H153" s="480"/>
      <c r="I153" s="480"/>
      <c r="J153" s="480"/>
      <c r="K153" s="492"/>
    </row>
    <row r="154" spans="2:11" s="479" customFormat="1" ht="15">
      <c r="B154" s="1183"/>
      <c r="C154" s="480"/>
      <c r="D154" s="480" t="str">
        <f>DataNameEmp4</f>
        <v>Director / EM</v>
      </c>
      <c r="E154" s="491">
        <f>decEmp4TrainingBudget</f>
        <v>4250</v>
      </c>
      <c r="F154" s="491">
        <f>decEmp4TrainingBudget</f>
        <v>4250</v>
      </c>
      <c r="G154" s="491">
        <f>decEmp4TrainingBudget</f>
        <v>4250</v>
      </c>
      <c r="H154" s="491">
        <f>decEmp4TrainingBudget</f>
        <v>4250</v>
      </c>
      <c r="I154" s="491">
        <f>decEmp4TrainingBudget</f>
        <v>4250</v>
      </c>
      <c r="J154" s="480"/>
      <c r="K154" s="492">
        <f>AVERAGE(E154:I154)</f>
        <v>4250</v>
      </c>
    </row>
    <row r="155" spans="2:11" s="479" customFormat="1" ht="15">
      <c r="B155" s="1183"/>
      <c r="C155" s="480"/>
      <c r="D155" s="480" t="str">
        <f>DataNameEmp3</f>
        <v>PM / Analyst</v>
      </c>
      <c r="E155" s="491">
        <f>decEmp3TrainingBudget</f>
        <v>4250</v>
      </c>
      <c r="F155" s="491">
        <f>decEmp3TrainingBudget</f>
        <v>4250</v>
      </c>
      <c r="G155" s="491">
        <f>decEmp3TrainingBudget</f>
        <v>4250</v>
      </c>
      <c r="H155" s="491">
        <f>decEmp3TrainingBudget</f>
        <v>4250</v>
      </c>
      <c r="I155" s="491">
        <f>decEmp3TrainingBudget</f>
        <v>4250</v>
      </c>
      <c r="J155" s="480"/>
      <c r="K155" s="492">
        <f>AVERAGE(E155:I155)</f>
        <v>4250</v>
      </c>
    </row>
    <row r="156" spans="2:11" s="479" customFormat="1" ht="15">
      <c r="B156" s="1183"/>
      <c r="C156" s="480"/>
      <c r="D156" s="480" t="str">
        <f>DataNameEmp2</f>
        <v>Technical</v>
      </c>
      <c r="E156" s="491">
        <f>decEmp2TrainingBudget</f>
        <v>4250</v>
      </c>
      <c r="F156" s="491">
        <f>decEmp2TrainingBudget</f>
        <v>4250</v>
      </c>
      <c r="G156" s="491">
        <f>decEmp2TrainingBudget</f>
        <v>4250</v>
      </c>
      <c r="H156" s="491">
        <f>decEmp2TrainingBudget</f>
        <v>4250</v>
      </c>
      <c r="I156" s="491">
        <f>decEmp2TrainingBudget</f>
        <v>4250</v>
      </c>
      <c r="J156" s="480"/>
      <c r="K156" s="492">
        <f>AVERAGE(E156:I156)</f>
        <v>4250</v>
      </c>
    </row>
    <row r="157" spans="2:11" s="479" customFormat="1" ht="15">
      <c r="B157" s="1183"/>
      <c r="C157" s="480"/>
      <c r="D157" s="480" t="str">
        <f>DataNameEmp6</f>
        <v>Sales</v>
      </c>
      <c r="E157" s="491">
        <f>decEntWFTrainingBudget</f>
        <v>1500</v>
      </c>
      <c r="F157" s="491">
        <f>decEntWFTrainingBudget</f>
        <v>1500</v>
      </c>
      <c r="G157" s="491">
        <f>decEntWFTrainingBudget</f>
        <v>1500</v>
      </c>
      <c r="H157" s="491">
        <f>decEntWFTrainingBudget</f>
        <v>1500</v>
      </c>
      <c r="I157" s="491">
        <f>decEntWFTrainingBudget</f>
        <v>1500</v>
      </c>
      <c r="J157" s="480"/>
      <c r="K157" s="492">
        <f>AVERAGE(E157:I157)</f>
        <v>1500</v>
      </c>
    </row>
    <row r="158" spans="2:11" s="479" customFormat="1" ht="15">
      <c r="B158" s="1183"/>
      <c r="C158" s="480"/>
      <c r="D158" s="480"/>
      <c r="E158" s="480"/>
      <c r="F158" s="480"/>
      <c r="G158" s="480"/>
      <c r="H158" s="480"/>
      <c r="I158" s="480"/>
      <c r="J158" s="480"/>
      <c r="K158" s="492"/>
    </row>
    <row r="159" spans="2:11" s="479" customFormat="1" ht="15">
      <c r="B159" s="1183" t="s">
        <v>4836</v>
      </c>
      <c r="C159" s="480"/>
      <c r="D159" s="480"/>
      <c r="E159" s="480"/>
      <c r="F159" s="480"/>
      <c r="G159" s="480"/>
      <c r="H159" s="480"/>
      <c r="I159" s="480"/>
      <c r="J159" s="480"/>
      <c r="K159" s="492"/>
    </row>
    <row r="160" spans="2:11" s="479" customFormat="1" ht="15">
      <c r="B160" s="1183"/>
      <c r="C160" s="480"/>
      <c r="D160" s="480" t="s">
        <v>4927</v>
      </c>
      <c r="E160" s="1058">
        <f>decIndustryEminence</f>
        <v>3</v>
      </c>
      <c r="F160" s="1058">
        <f>decIndustryEminence</f>
        <v>3</v>
      </c>
      <c r="G160" s="1058">
        <f>decIndustryEminence</f>
        <v>3</v>
      </c>
      <c r="H160" s="1058">
        <f>decIndustryEminence</f>
        <v>3</v>
      </c>
      <c r="I160" s="1058">
        <f>decIndustryEminence</f>
        <v>3</v>
      </c>
      <c r="J160" s="1059"/>
      <c r="K160" s="1060">
        <f>AVERAGE(E160:I160)</f>
        <v>3</v>
      </c>
    </row>
    <row r="161" spans="2:11" s="479" customFormat="1" ht="15.75" thickBot="1">
      <c r="B161" s="493"/>
      <c r="C161" s="1185"/>
      <c r="D161" s="1185" t="s">
        <v>4774</v>
      </c>
      <c r="E161" s="1190">
        <f>decInternalAssets</f>
        <v>3</v>
      </c>
      <c r="F161" s="1190">
        <f>decInternalAssets</f>
        <v>3</v>
      </c>
      <c r="G161" s="1190">
        <f>decInternalAssets</f>
        <v>3</v>
      </c>
      <c r="H161" s="1190">
        <f>decInternalAssets</f>
        <v>3</v>
      </c>
      <c r="I161" s="1190">
        <f>decInternalAssets</f>
        <v>3</v>
      </c>
      <c r="J161" s="1191"/>
      <c r="K161" s="1192">
        <f>AVERAGE(E161:I161)</f>
        <v>3</v>
      </c>
    </row>
  </sheetData>
  <phoneticPr fontId="0" type="noConversion"/>
  <printOptions horizontalCentered="1"/>
  <pageMargins left="0.75" right="0.75" top="1" bottom="1" header="0.5" footer="0.5"/>
  <pageSetup scale="62" orientation="portrait" r:id="rId1"/>
  <headerFooter alignWithMargins="0">
    <oddFooter>&amp;CPage &amp;P of &amp;N</oddFooter>
  </headerFooter>
  <rowBreaks count="2" manualBreakCount="2">
    <brk id="27" min="1" max="10" man="1"/>
    <brk id="95" min="1" max="10" man="1"/>
  </rowBreak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PNL">
    <tabColor rgb="FF000099"/>
    <pageSetUpPr fitToPage="1"/>
  </sheetPr>
  <dimension ref="A1:S39"/>
  <sheetViews>
    <sheetView zoomScaleNormal="100" workbookViewId="0">
      <selection activeCell="P12" sqref="P12"/>
    </sheetView>
  </sheetViews>
  <sheetFormatPr defaultColWidth="18.83203125" defaultRowHeight="12.95" customHeight="1"/>
  <cols>
    <col min="1" max="1" width="1.83203125" style="1266" customWidth="1"/>
    <col min="2" max="2" width="8.83203125" style="1266" customWidth="1"/>
    <col min="3" max="3" width="13.83203125" style="1272" customWidth="1"/>
    <col min="4" max="5" width="1.83203125" style="1272" customWidth="1"/>
    <col min="6" max="6" width="23.1640625" style="1272" customWidth="1"/>
    <col min="7" max="7" width="1.83203125" style="1272" customWidth="1"/>
    <col min="8" max="8" width="14.33203125" style="1272" customWidth="1"/>
    <col min="9" max="9" width="1.83203125" style="1272" customWidth="1"/>
    <col min="10" max="10" width="22.33203125" style="1272" bestFit="1" customWidth="1"/>
    <col min="11" max="11" width="1.83203125" style="1272" customWidth="1"/>
    <col min="12" max="12" width="22.33203125" style="1272" bestFit="1" customWidth="1"/>
    <col min="13" max="13" width="1.83203125" style="1272" customWidth="1"/>
    <col min="14" max="14" width="22.33203125" style="1272" bestFit="1" customWidth="1"/>
    <col min="15" max="15" width="1.83203125" style="1272" customWidth="1"/>
    <col min="16" max="16" width="16.33203125" style="1272" customWidth="1"/>
    <col min="17" max="17" width="1.83203125" style="1272" customWidth="1"/>
    <col min="18" max="18" width="13.83203125" style="1272" customWidth="1"/>
    <col min="19" max="19" width="1.83203125" style="1272" customWidth="1"/>
    <col min="20" max="16384" width="18.83203125" style="1272"/>
  </cols>
  <sheetData>
    <row r="1" spans="2:19" s="1266" customFormat="1" ht="12.75">
      <c r="B1" s="1266" t="s">
        <v>2733</v>
      </c>
    </row>
    <row r="2" spans="2:19" s="1266" customFormat="1" ht="12.75"/>
    <row r="3" spans="2:19" s="1266" customFormat="1" ht="13.5" thickBot="1"/>
    <row r="4" spans="2:19" ht="14.25">
      <c r="C4" s="1267" t="s">
        <v>4714</v>
      </c>
      <c r="D4" s="1268"/>
      <c r="E4" s="1269"/>
      <c r="F4" s="1269"/>
      <c r="G4" s="1269"/>
      <c r="H4" s="1269"/>
      <c r="I4" s="1269"/>
      <c r="J4" s="1269"/>
      <c r="K4" s="1269"/>
      <c r="L4" s="1269"/>
      <c r="M4" s="1269"/>
      <c r="N4" s="1269"/>
      <c r="O4" s="1270"/>
      <c r="P4" s="1269"/>
      <c r="Q4" s="1269"/>
      <c r="R4" s="1269"/>
      <c r="S4" s="1271" t="s">
        <v>5304</v>
      </c>
    </row>
    <row r="5" spans="2:19" ht="12.75">
      <c r="C5" s="1273"/>
      <c r="D5" s="1274"/>
      <c r="E5" s="1274"/>
      <c r="F5" s="1274"/>
      <c r="G5" s="1274"/>
      <c r="H5" s="1274"/>
      <c r="I5" s="1274"/>
      <c r="J5" s="1274"/>
      <c r="K5" s="1274"/>
      <c r="L5" s="1274"/>
      <c r="M5" s="1274"/>
      <c r="N5" s="1274"/>
      <c r="O5" s="1274"/>
      <c r="P5" s="1274"/>
      <c r="Q5" s="1274"/>
      <c r="R5" s="1274"/>
      <c r="S5" s="1275"/>
    </row>
    <row r="6" spans="2:19" ht="12.75">
      <c r="C6" s="1273"/>
      <c r="D6" s="1274"/>
      <c r="E6" s="1274"/>
      <c r="F6" s="1274"/>
      <c r="G6" s="1274"/>
      <c r="H6" s="1274"/>
      <c r="I6" s="1274"/>
      <c r="J6" s="1274"/>
      <c r="K6" s="1274"/>
      <c r="L6" s="1274"/>
      <c r="M6" s="1274"/>
      <c r="N6" s="1274"/>
      <c r="O6" s="1274"/>
      <c r="P6" s="1274"/>
      <c r="Q6" s="1274"/>
      <c r="R6" s="1274"/>
      <c r="S6" s="1275"/>
    </row>
    <row r="7" spans="2:19" ht="16.5" customHeight="1">
      <c r="C7" s="1273"/>
      <c r="D7" s="1274"/>
      <c r="E7" s="1274"/>
      <c r="F7" s="1274"/>
      <c r="G7" s="1274"/>
      <c r="H7" s="1276"/>
      <c r="I7" s="1276"/>
      <c r="J7" s="1277" t="s">
        <v>3293</v>
      </c>
      <c r="K7" s="1278"/>
      <c r="L7" s="1277" t="s">
        <v>635</v>
      </c>
      <c r="M7" s="1276"/>
      <c r="N7" s="1279" t="s">
        <v>2311</v>
      </c>
      <c r="O7" s="1274"/>
      <c r="P7" s="1280"/>
      <c r="Q7" s="1276"/>
      <c r="R7" s="1274"/>
      <c r="S7" s="1275"/>
    </row>
    <row r="8" spans="2:19" ht="12.75">
      <c r="C8" s="1273"/>
      <c r="D8" s="1274"/>
      <c r="E8" s="1274"/>
      <c r="F8" s="1274"/>
      <c r="G8" s="1274"/>
      <c r="H8" s="1276"/>
      <c r="I8" s="1276"/>
      <c r="J8" s="1281"/>
      <c r="K8" s="1282"/>
      <c r="L8" s="1282"/>
      <c r="M8" s="1282"/>
      <c r="N8" s="1283"/>
      <c r="O8" s="1280"/>
      <c r="P8" s="1280"/>
      <c r="Q8" s="1276"/>
      <c r="R8" s="1274"/>
      <c r="S8" s="1275"/>
    </row>
    <row r="9" spans="2:19" ht="14.25">
      <c r="C9" s="1273"/>
      <c r="D9" s="1284" t="s">
        <v>2707</v>
      </c>
      <c r="E9" s="1285"/>
      <c r="F9" s="1285"/>
      <c r="G9" s="1285"/>
      <c r="H9" s="1276"/>
      <c r="I9" s="1276"/>
      <c r="J9" s="1286">
        <v>200528387.90016761</v>
      </c>
      <c r="K9" s="1287"/>
      <c r="L9" s="1288">
        <v>117600000</v>
      </c>
      <c r="M9" s="1276"/>
      <c r="N9" s="1289">
        <v>200528387.90016761</v>
      </c>
      <c r="O9" s="1290"/>
      <c r="P9" s="1280"/>
      <c r="Q9" s="1276"/>
      <c r="R9" s="1290"/>
      <c r="S9" s="1275"/>
    </row>
    <row r="10" spans="2:19" ht="6.75" customHeight="1">
      <c r="C10" s="1273"/>
      <c r="D10" s="1291"/>
      <c r="E10" s="1287"/>
      <c r="F10" s="1287"/>
      <c r="G10" s="1287"/>
      <c r="H10" s="1276"/>
      <c r="I10" s="1276"/>
      <c r="J10" s="1292"/>
      <c r="K10" s="1287"/>
      <c r="L10" s="1285"/>
      <c r="M10" s="1276"/>
      <c r="N10" s="1293"/>
      <c r="O10" s="1290"/>
      <c r="P10" s="1280"/>
      <c r="Q10" s="1276"/>
      <c r="R10" s="1290"/>
      <c r="S10" s="1275"/>
    </row>
    <row r="11" spans="2:19" ht="15">
      <c r="C11" s="1273"/>
      <c r="D11" s="1291"/>
      <c r="E11" s="1287"/>
      <c r="F11" s="1287" t="s">
        <v>2490</v>
      </c>
      <c r="G11" s="1287"/>
      <c r="H11" s="1276"/>
      <c r="I11" s="1276"/>
      <c r="J11" s="1294">
        <v>94031388.325443923</v>
      </c>
      <c r="K11" s="1287"/>
      <c r="L11" s="1295">
        <v>92245738.888888896</v>
      </c>
      <c r="M11" s="1276"/>
      <c r="N11" s="1296">
        <v>87721178.187212497</v>
      </c>
      <c r="O11" s="1290"/>
      <c r="P11" s="1280"/>
      <c r="Q11" s="1276"/>
      <c r="R11" s="1290"/>
      <c r="S11" s="1275"/>
    </row>
    <row r="12" spans="2:19" ht="15">
      <c r="C12" s="1273"/>
      <c r="D12" s="1291"/>
      <c r="E12" s="1287"/>
      <c r="F12" s="1287" t="s">
        <v>3049</v>
      </c>
      <c r="G12" s="1287"/>
      <c r="H12" s="1276"/>
      <c r="I12" s="1276"/>
      <c r="J12" s="1294"/>
      <c r="K12" s="1287"/>
      <c r="L12" s="1295"/>
      <c r="M12" s="1276"/>
      <c r="N12" s="1296"/>
      <c r="O12" s="1290"/>
      <c r="P12" s="1280"/>
      <c r="Q12" s="1276"/>
      <c r="R12" s="1290"/>
      <c r="S12" s="1275"/>
    </row>
    <row r="13" spans="2:19" ht="15">
      <c r="C13" s="1273"/>
      <c r="D13" s="1291"/>
      <c r="E13" s="1287"/>
      <c r="F13" s="1287" t="s">
        <v>977</v>
      </c>
      <c r="G13" s="1287"/>
      <c r="H13" s="1276"/>
      <c r="I13" s="1276"/>
      <c r="J13" s="1294"/>
      <c r="K13" s="1287"/>
      <c r="L13" s="1295"/>
      <c r="M13" s="1276"/>
      <c r="N13" s="1296"/>
      <c r="O13" s="1290"/>
      <c r="P13" s="1280"/>
      <c r="Q13" s="1276"/>
      <c r="R13" s="1290"/>
      <c r="S13" s="1275"/>
    </row>
    <row r="14" spans="2:19" ht="15">
      <c r="C14" s="1273"/>
      <c r="D14" s="1291"/>
      <c r="E14" s="1287"/>
      <c r="F14" s="1297" t="s">
        <v>3050</v>
      </c>
      <c r="G14" s="1287"/>
      <c r="H14" s="1276"/>
      <c r="I14" s="1276"/>
      <c r="J14" s="1294">
        <v>10899714.12480974</v>
      </c>
      <c r="K14" s="1287"/>
      <c r="L14" s="1295">
        <v>438948.88888888888</v>
      </c>
      <c r="M14" s="1276"/>
      <c r="N14" s="1296">
        <v>10899714.12480974</v>
      </c>
      <c r="O14" s="1290"/>
      <c r="P14" s="1280"/>
      <c r="Q14" s="1276"/>
      <c r="R14" s="1290"/>
      <c r="S14" s="1275"/>
    </row>
    <row r="15" spans="2:19" ht="15">
      <c r="C15" s="1273"/>
      <c r="D15" s="1291"/>
      <c r="E15" s="1287"/>
      <c r="F15" s="1297" t="s">
        <v>3472</v>
      </c>
      <c r="G15" s="1287"/>
      <c r="H15" s="1276"/>
      <c r="I15" s="1276"/>
      <c r="J15" s="1294">
        <v>1087680</v>
      </c>
      <c r="K15" s="1287"/>
      <c r="L15" s="1295">
        <v>0</v>
      </c>
      <c r="M15" s="1276"/>
      <c r="N15" s="1296" t="e">
        <v>#NAME?</v>
      </c>
      <c r="O15" s="1290"/>
      <c r="P15" s="1280"/>
      <c r="Q15" s="1276"/>
      <c r="R15" s="1290"/>
      <c r="S15" s="1275"/>
    </row>
    <row r="16" spans="2:19" ht="15">
      <c r="C16" s="1273"/>
      <c r="D16" s="1291"/>
      <c r="E16" s="1287"/>
      <c r="F16" s="1287" t="s">
        <v>3403</v>
      </c>
      <c r="G16" s="1287"/>
      <c r="H16" s="1276"/>
      <c r="I16" s="1276"/>
      <c r="J16" s="1294">
        <v>11987394.12480974</v>
      </c>
      <c r="K16" s="1287"/>
      <c r="L16" s="1295">
        <v>438948.88888888888</v>
      </c>
      <c r="M16" s="1276"/>
      <c r="N16" s="1296" t="e">
        <v>#NAME?</v>
      </c>
      <c r="O16" s="1290"/>
      <c r="P16" s="1280"/>
      <c r="Q16" s="1276"/>
      <c r="R16" s="1290"/>
      <c r="S16" s="1275"/>
    </row>
    <row r="17" spans="3:19" ht="15">
      <c r="C17" s="1273"/>
      <c r="D17" s="1291"/>
      <c r="E17" s="1287"/>
      <c r="F17" s="1287" t="s">
        <v>3404</v>
      </c>
      <c r="G17" s="1287"/>
      <c r="H17" s="1276"/>
      <c r="I17" s="1276"/>
      <c r="J17" s="1294">
        <v>33310200</v>
      </c>
      <c r="K17" s="1287"/>
      <c r="L17" s="1295">
        <v>0</v>
      </c>
      <c r="M17" s="1276"/>
      <c r="N17" s="1296">
        <v>33310200</v>
      </c>
      <c r="O17" s="1290"/>
      <c r="P17" s="1280"/>
      <c r="Q17" s="1276"/>
      <c r="R17" s="1290"/>
      <c r="S17" s="1275"/>
    </row>
    <row r="18" spans="3:19" ht="15">
      <c r="C18" s="1273"/>
      <c r="D18" s="1291"/>
      <c r="E18" s="1276"/>
      <c r="F18" s="1287" t="s">
        <v>3405</v>
      </c>
      <c r="G18" s="1287"/>
      <c r="H18" s="1276"/>
      <c r="I18" s="1276"/>
      <c r="J18" s="1294">
        <v>8619543.9298323598</v>
      </c>
      <c r="K18" s="1287"/>
      <c r="L18" s="1295">
        <v>0</v>
      </c>
      <c r="M18" s="1276"/>
      <c r="N18" s="1296">
        <v>8619543.9298323598</v>
      </c>
      <c r="O18" s="1290"/>
      <c r="P18" s="1280"/>
      <c r="Q18" s="1276"/>
      <c r="R18" s="1290"/>
      <c r="S18" s="1275"/>
    </row>
    <row r="19" spans="3:19" ht="15">
      <c r="C19" s="1273"/>
      <c r="D19" s="1291"/>
      <c r="E19" s="1276"/>
      <c r="F19" s="1287" t="s">
        <v>986</v>
      </c>
      <c r="G19" s="1287"/>
      <c r="H19" s="1276"/>
      <c r="I19" s="1276"/>
      <c r="J19" s="1294">
        <v>53917138.054642104</v>
      </c>
      <c r="K19" s="1287"/>
      <c r="L19" s="1295">
        <v>438948.88888888888</v>
      </c>
      <c r="M19" s="1276"/>
      <c r="N19" s="1296" t="e">
        <v>#NAME?</v>
      </c>
      <c r="O19" s="1290"/>
      <c r="P19" s="1280"/>
      <c r="Q19" s="1276"/>
      <c r="R19" s="1290"/>
      <c r="S19" s="1275"/>
    </row>
    <row r="20" spans="3:19" ht="15">
      <c r="C20" s="1273"/>
      <c r="D20" s="1291"/>
      <c r="E20" s="1287"/>
      <c r="F20" s="1287" t="s">
        <v>3369</v>
      </c>
      <c r="G20" s="1287"/>
      <c r="H20" s="1276"/>
      <c r="I20" s="1276"/>
      <c r="J20" s="1294">
        <v>1489624.1144603153</v>
      </c>
      <c r="K20" s="1287"/>
      <c r="L20" s="1295">
        <v>12728729.926293261</v>
      </c>
      <c r="M20" s="1276"/>
      <c r="N20" s="1296">
        <v>1489624.1144603153</v>
      </c>
      <c r="O20" s="1290"/>
      <c r="P20" s="1280"/>
      <c r="Q20" s="1276"/>
      <c r="R20" s="1290"/>
      <c r="S20" s="1275"/>
    </row>
    <row r="21" spans="3:19" ht="6" customHeight="1">
      <c r="C21" s="1273"/>
      <c r="D21" s="1291"/>
      <c r="E21" s="1287"/>
      <c r="F21" s="1287"/>
      <c r="G21" s="1287"/>
      <c r="H21" s="1276"/>
      <c r="I21" s="1276"/>
      <c r="J21" s="1294"/>
      <c r="K21" s="1287"/>
      <c r="L21" s="1298"/>
      <c r="M21" s="1276"/>
      <c r="N21" s="1296"/>
      <c r="O21" s="1290"/>
      <c r="P21" s="1280"/>
      <c r="Q21" s="1276"/>
      <c r="R21" s="1290"/>
      <c r="S21" s="1275"/>
    </row>
    <row r="22" spans="3:19" ht="12.75">
      <c r="C22" s="1273"/>
      <c r="D22" s="1299" t="s">
        <v>3546</v>
      </c>
      <c r="E22" s="1300"/>
      <c r="F22" s="1301"/>
      <c r="G22" s="1301"/>
      <c r="H22" s="1300"/>
      <c r="I22" s="1300"/>
      <c r="J22" s="1302">
        <v>69825900.557551324</v>
      </c>
      <c r="K22" s="1301"/>
      <c r="L22" s="1303">
        <v>12186582.295928963</v>
      </c>
      <c r="M22" s="1300"/>
      <c r="N22" s="1304">
        <v>69825900.557551339</v>
      </c>
      <c r="O22" s="1290"/>
      <c r="P22" s="1280"/>
      <c r="Q22" s="1276"/>
      <c r="R22" s="1290"/>
      <c r="S22" s="1275"/>
    </row>
    <row r="23" spans="3:19" ht="15">
      <c r="C23" s="1273"/>
      <c r="D23" s="1291"/>
      <c r="E23" s="1287"/>
      <c r="F23" s="1274" t="s">
        <v>3547</v>
      </c>
      <c r="G23" s="1274"/>
      <c r="H23" s="1305"/>
      <c r="I23" s="1305"/>
      <c r="J23" s="1306">
        <v>0.34820955421191496</v>
      </c>
      <c r="K23" s="1274"/>
      <c r="L23" s="1307">
        <v>0.10362740047558641</v>
      </c>
      <c r="M23" s="1305"/>
      <c r="N23" s="1308">
        <v>0.34820955421191502</v>
      </c>
      <c r="O23" s="1290"/>
      <c r="P23" s="1280"/>
      <c r="Q23" s="1276"/>
      <c r="R23" s="1290"/>
      <c r="S23" s="1275"/>
    </row>
    <row r="24" spans="3:19" ht="15">
      <c r="C24" s="1273"/>
      <c r="D24" s="1291"/>
      <c r="E24" s="1287" t="s">
        <v>1171</v>
      </c>
      <c r="F24" s="1287"/>
      <c r="G24" s="1287"/>
      <c r="H24" s="1276"/>
      <c r="I24" s="1276"/>
      <c r="J24" s="1294">
        <v>78752020.729075253</v>
      </c>
      <c r="K24" s="1287"/>
      <c r="L24" s="1295">
        <v>5602562.2222222229</v>
      </c>
      <c r="M24" s="1276"/>
      <c r="N24" s="1296">
        <v>78752020.729075253</v>
      </c>
      <c r="O24" s="1290"/>
      <c r="P24" s="1280"/>
      <c r="Q24" s="1276"/>
      <c r="R24" s="1290"/>
      <c r="S24" s="1275"/>
    </row>
    <row r="25" spans="3:19" ht="15">
      <c r="C25" s="1273"/>
      <c r="D25" s="1291"/>
      <c r="E25" s="1287" t="s">
        <v>1608</v>
      </c>
      <c r="F25" s="1287"/>
      <c r="G25" s="1287"/>
      <c r="H25" s="1276"/>
      <c r="I25" s="1276"/>
      <c r="J25" s="1292"/>
      <c r="K25" s="1287"/>
      <c r="L25" s="1285"/>
      <c r="M25" s="1276"/>
      <c r="N25" s="1293"/>
      <c r="O25" s="1290"/>
      <c r="P25" s="1280"/>
      <c r="Q25" s="1276"/>
      <c r="R25" s="1290"/>
      <c r="S25" s="1275"/>
    </row>
    <row r="26" spans="3:19" ht="15">
      <c r="C26" s="1273"/>
      <c r="D26" s="1291"/>
      <c r="E26" s="1287"/>
      <c r="F26" s="1287" t="s">
        <v>2354</v>
      </c>
      <c r="G26" s="1287"/>
      <c r="H26" s="1276"/>
      <c r="I26" s="1276"/>
      <c r="J26" s="1294">
        <v>96942055.57734701</v>
      </c>
      <c r="K26" s="1287"/>
      <c r="L26" s="1295" t="e">
        <v>#NAME?</v>
      </c>
      <c r="M26" s="1276"/>
      <c r="N26" s="1296">
        <v>96942055.57734701</v>
      </c>
      <c r="O26" s="1290"/>
      <c r="P26" s="1280"/>
      <c r="Q26" s="1276"/>
      <c r="R26" s="1290"/>
      <c r="S26" s="1275"/>
    </row>
    <row r="27" spans="3:19" ht="15">
      <c r="C27" s="1273"/>
      <c r="D27" s="1291"/>
      <c r="E27" s="1287"/>
      <c r="F27" s="1287" t="s">
        <v>390</v>
      </c>
      <c r="G27" s="1287"/>
      <c r="H27" s="1276"/>
      <c r="I27" s="1276"/>
      <c r="J27" s="1294">
        <v>7500000</v>
      </c>
      <c r="K27" s="1287"/>
      <c r="L27" s="1295">
        <v>0</v>
      </c>
      <c r="M27" s="1276"/>
      <c r="N27" s="1296">
        <v>7500000</v>
      </c>
      <c r="O27" s="1290"/>
      <c r="P27" s="1280"/>
      <c r="Q27" s="1276"/>
      <c r="R27" s="1290"/>
      <c r="S27" s="1275"/>
    </row>
    <row r="28" spans="3:19" ht="15">
      <c r="C28" s="1273"/>
      <c r="D28" s="1291"/>
      <c r="E28" s="1287" t="s">
        <v>283</v>
      </c>
      <c r="F28" s="1287"/>
      <c r="G28" s="1287"/>
      <c r="H28" s="1276"/>
      <c r="I28" s="1276"/>
      <c r="J28" s="1309"/>
      <c r="K28" s="1287"/>
      <c r="L28" s="1310"/>
      <c r="M28" s="1276"/>
      <c r="N28" s="1311"/>
      <c r="O28" s="1290"/>
      <c r="P28" s="1280"/>
      <c r="Q28" s="1276"/>
      <c r="R28" s="1290"/>
      <c r="S28" s="1275"/>
    </row>
    <row r="29" spans="3:19" ht="15">
      <c r="C29" s="1273"/>
      <c r="D29" s="1291"/>
      <c r="E29" s="1276"/>
      <c r="F29" s="1287" t="s">
        <v>2759</v>
      </c>
      <c r="G29" s="1287"/>
      <c r="H29" s="1276"/>
      <c r="I29" s="1276"/>
      <c r="J29" s="1294">
        <v>4250000</v>
      </c>
      <c r="K29" s="1287"/>
      <c r="L29" s="1295">
        <v>157250</v>
      </c>
      <c r="M29" s="1276"/>
      <c r="N29" s="1296">
        <v>4250000</v>
      </c>
      <c r="O29" s="1290"/>
      <c r="P29" s="1280"/>
      <c r="Q29" s="1276"/>
      <c r="R29" s="1290"/>
      <c r="S29" s="1275"/>
    </row>
    <row r="30" spans="3:19" ht="15">
      <c r="C30" s="1273"/>
      <c r="D30" s="1291"/>
      <c r="E30" s="1276"/>
      <c r="F30" s="1287" t="s">
        <v>2758</v>
      </c>
      <c r="G30" s="1287"/>
      <c r="H30" s="1276"/>
      <c r="I30" s="1276"/>
      <c r="J30" s="1294">
        <v>8275944.1780821914</v>
      </c>
      <c r="K30" s="1287"/>
      <c r="L30" s="1295">
        <v>2405400</v>
      </c>
      <c r="M30" s="1276"/>
      <c r="N30" s="1296">
        <v>8275944.1780821914</v>
      </c>
      <c r="O30" s="1290"/>
      <c r="P30" s="1280"/>
      <c r="Q30" s="1276"/>
      <c r="R30" s="1290"/>
      <c r="S30" s="1275"/>
    </row>
    <row r="31" spans="3:19" ht="12.75">
      <c r="C31" s="1273"/>
      <c r="D31" s="1287" t="s">
        <v>2811</v>
      </c>
      <c r="E31" s="1285"/>
      <c r="F31" s="1285"/>
      <c r="G31" s="1285"/>
      <c r="H31" s="1276"/>
      <c r="I31" s="1276"/>
      <c r="J31" s="1294">
        <v>345158170.97905076</v>
      </c>
      <c r="K31" s="1287"/>
      <c r="L31" s="1295" t="e">
        <v>#NAME?</v>
      </c>
      <c r="M31" s="1276"/>
      <c r="N31" s="1296" t="e">
        <v>#NAME?</v>
      </c>
      <c r="O31" s="1290"/>
      <c r="P31" s="1280"/>
      <c r="Q31" s="1276"/>
      <c r="R31" s="1290"/>
      <c r="S31" s="1275"/>
    </row>
    <row r="32" spans="3:19" ht="6" customHeight="1">
      <c r="C32" s="1273"/>
      <c r="D32" s="1287"/>
      <c r="E32" s="1287"/>
      <c r="F32" s="1287"/>
      <c r="G32" s="1287"/>
      <c r="H32" s="1276"/>
      <c r="I32" s="1276"/>
      <c r="J32" s="1312"/>
      <c r="K32" s="1287"/>
      <c r="L32" s="1313"/>
      <c r="M32" s="1276"/>
      <c r="N32" s="1314"/>
      <c r="O32" s="1290"/>
      <c r="P32" s="1280"/>
      <c r="Q32" s="1276"/>
      <c r="R32" s="1315"/>
      <c r="S32" s="1275"/>
    </row>
    <row r="33" spans="3:19" ht="12.75">
      <c r="C33" s="1273"/>
      <c r="D33" s="1316" t="s">
        <v>4435</v>
      </c>
      <c r="E33" s="1301"/>
      <c r="F33" s="1301"/>
      <c r="G33" s="1301"/>
      <c r="H33" s="1300"/>
      <c r="I33" s="1300"/>
      <c r="J33" s="1302">
        <v>-146817286.35176289</v>
      </c>
      <c r="K33" s="1301"/>
      <c r="L33" s="1303" t="e">
        <v>#NAME?</v>
      </c>
      <c r="M33" s="1300"/>
      <c r="N33" s="1304">
        <v>-146817286.35176289</v>
      </c>
      <c r="O33" s="1290"/>
      <c r="P33" s="1280"/>
      <c r="Q33" s="1276"/>
      <c r="R33" s="1274"/>
      <c r="S33" s="1275"/>
    </row>
    <row r="34" spans="3:19" ht="12.75">
      <c r="C34" s="1273"/>
      <c r="D34" s="1287"/>
      <c r="E34" s="1287" t="s">
        <v>3547</v>
      </c>
      <c r="F34" s="1274"/>
      <c r="G34" s="1274"/>
      <c r="H34" s="1305"/>
      <c r="I34" s="1305"/>
      <c r="J34" s="1306">
        <v>-0.73215213012561287</v>
      </c>
      <c r="K34" s="1274"/>
      <c r="L34" s="1307" t="e">
        <v>#NAME?</v>
      </c>
      <c r="M34" s="1305"/>
      <c r="N34" s="1308">
        <v>-0.73215213012561287</v>
      </c>
      <c r="O34" s="1290"/>
      <c r="P34" s="1280"/>
      <c r="Q34" s="1276"/>
      <c r="R34" s="1274"/>
      <c r="S34" s="1275"/>
    </row>
    <row r="35" spans="3:19" ht="3" customHeight="1">
      <c r="C35" s="1273"/>
      <c r="D35" s="1287"/>
      <c r="E35" s="1287"/>
      <c r="F35" s="1287"/>
      <c r="G35" s="1287"/>
      <c r="H35" s="1276"/>
      <c r="I35" s="1276"/>
      <c r="J35" s="1317"/>
      <c r="K35" s="1287"/>
      <c r="L35" s="1318"/>
      <c r="M35" s="1276"/>
      <c r="N35" s="1319"/>
      <c r="O35" s="1290"/>
      <c r="P35" s="1280"/>
      <c r="Q35" s="1276"/>
      <c r="R35" s="1274"/>
      <c r="S35" s="1275"/>
    </row>
    <row r="36" spans="3:19" ht="15.75" customHeight="1">
      <c r="C36" s="1273"/>
      <c r="D36" s="1287"/>
      <c r="E36" s="1287" t="s">
        <v>701</v>
      </c>
      <c r="F36" s="1287"/>
      <c r="G36" s="1287"/>
      <c r="H36" s="1276"/>
      <c r="I36" s="1276"/>
      <c r="J36" s="1294"/>
      <c r="K36" s="1276"/>
      <c r="L36" s="1276"/>
      <c r="M36" s="1276"/>
      <c r="N36" s="1296">
        <v>2169648.2482047891</v>
      </c>
      <c r="O36" s="1276"/>
      <c r="P36" s="1280"/>
      <c r="Q36" s="1276"/>
      <c r="R36" s="1274"/>
      <c r="S36" s="1275"/>
    </row>
    <row r="37" spans="3:19" ht="15.75" customHeight="1">
      <c r="C37" s="1273"/>
      <c r="D37" s="1287"/>
      <c r="E37" s="1287" t="s">
        <v>2158</v>
      </c>
      <c r="F37" s="1285"/>
      <c r="G37" s="1285"/>
      <c r="H37" s="1276"/>
      <c r="I37" s="1276"/>
      <c r="J37" s="1320"/>
      <c r="K37" s="1276"/>
      <c r="L37" s="1276"/>
      <c r="M37" s="1276"/>
      <c r="N37" s="1296">
        <v>-59594773.839987077</v>
      </c>
      <c r="O37" s="1276"/>
      <c r="P37" s="1280"/>
      <c r="Q37" s="1276"/>
      <c r="R37" s="1274"/>
      <c r="S37" s="1275"/>
    </row>
    <row r="38" spans="3:19" ht="6" customHeight="1">
      <c r="C38" s="1273"/>
      <c r="D38" s="1287"/>
      <c r="E38" s="1287"/>
      <c r="F38" s="1285"/>
      <c r="G38" s="1285"/>
      <c r="H38" s="1276"/>
      <c r="I38" s="1276"/>
      <c r="J38" s="1320"/>
      <c r="K38" s="1276"/>
      <c r="L38" s="1276"/>
      <c r="M38" s="1276"/>
      <c r="N38" s="1296"/>
      <c r="O38" s="1276"/>
      <c r="P38" s="1280"/>
      <c r="Q38" s="1276"/>
      <c r="R38" s="1274"/>
      <c r="S38" s="1275"/>
    </row>
    <row r="39" spans="3:19" ht="14.25">
      <c r="C39" s="1273"/>
      <c r="D39" s="1321" t="s">
        <v>284</v>
      </c>
      <c r="E39" s="1322"/>
      <c r="F39" s="1322"/>
      <c r="G39" s="1322"/>
      <c r="H39" s="1323"/>
      <c r="I39" s="1323"/>
      <c r="J39" s="1324"/>
      <c r="K39" s="1322"/>
      <c r="L39" s="1325"/>
      <c r="M39" s="1323"/>
      <c r="N39" s="1326">
        <v>-89392160.759980619</v>
      </c>
      <c r="O39" s="1290"/>
      <c r="P39" s="1280"/>
      <c r="Q39" s="1276"/>
      <c r="R39" s="1274"/>
      <c r="S39" s="1275"/>
    </row>
  </sheetData>
  <phoneticPr fontId="0" type="noConversion"/>
  <printOptions horizontalCentered="1"/>
  <pageMargins left="0.5" right="0.5" top="0.5" bottom="0.5" header="0.5" footer="0.5"/>
  <pageSetup scale="74" orientation="portrait" blackAndWhite="1" r:id="rId1"/>
  <headerFooter alignWithMargins="0">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Drop Down 1">
              <controlPr defaultSize="0" autoLine="0" autoPict="0" macro="[0]!menuDecSelect">
                <anchor moveWithCells="1">
                  <from>
                    <xdr:col>5</xdr:col>
                    <xdr:colOff>438150</xdr:colOff>
                    <xdr:row>1</xdr:row>
                    <xdr:rowOff>19050</xdr:rowOff>
                  </from>
                  <to>
                    <xdr:col>7</xdr:col>
                    <xdr:colOff>657225</xdr:colOff>
                    <xdr:row>2</xdr:row>
                    <xdr:rowOff>85725</xdr:rowOff>
                  </to>
                </anchor>
              </controlPr>
            </control>
          </mc:Choice>
        </mc:AlternateContent>
        <mc:AlternateContent xmlns:mc="http://schemas.openxmlformats.org/markup-compatibility/2006">
          <mc:Choice Requires="x14">
            <control shapeId="83970" r:id="rId5" name="Drop Down 2">
              <controlPr defaultSize="0" autoLine="0" autoPict="0" macro="[0]!menuFinancialSelect">
                <anchor moveWithCells="1">
                  <from>
                    <xdr:col>9</xdr:col>
                    <xdr:colOff>590550</xdr:colOff>
                    <xdr:row>1</xdr:row>
                    <xdr:rowOff>19050</xdr:rowOff>
                  </from>
                  <to>
                    <xdr:col>11</xdr:col>
                    <xdr:colOff>857250</xdr:colOff>
                    <xdr:row>2</xdr:row>
                    <xdr:rowOff>85725</xdr:rowOff>
                  </to>
                </anchor>
              </controlPr>
            </control>
          </mc:Choice>
        </mc:AlternateContent>
        <mc:AlternateContent xmlns:mc="http://schemas.openxmlformats.org/markup-compatibility/2006">
          <mc:Choice Requires="x14">
            <control shapeId="83971" r:id="rId6" name="Drop Down 3">
              <controlPr defaultSize="0" autoLine="0" autoPict="0" macro="[0]!menuActionSelect">
                <anchor moveWithCells="1">
                  <from>
                    <xdr:col>13</xdr:col>
                    <xdr:colOff>333375</xdr:colOff>
                    <xdr:row>1</xdr:row>
                    <xdr:rowOff>19050</xdr:rowOff>
                  </from>
                  <to>
                    <xdr:col>15</xdr:col>
                    <xdr:colOff>600075</xdr:colOff>
                    <xdr:row>2</xdr:row>
                    <xdr:rowOff>85725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BalSheet">
    <tabColor rgb="FF000099"/>
    <pageSetUpPr fitToPage="1"/>
  </sheetPr>
  <dimension ref="A1:V25"/>
  <sheetViews>
    <sheetView zoomScale="110" zoomScaleNormal="110" workbookViewId="0">
      <selection activeCell="H8" sqref="H8"/>
    </sheetView>
  </sheetViews>
  <sheetFormatPr defaultColWidth="18.83203125" defaultRowHeight="12.95" customHeight="1"/>
  <cols>
    <col min="1" max="1" width="1.83203125" style="874" customWidth="1"/>
    <col min="2" max="2" width="8.83203125" style="874" customWidth="1"/>
    <col min="3" max="5" width="1.83203125" style="26" customWidth="1"/>
    <col min="6" max="6" width="26.83203125" style="26" customWidth="1"/>
    <col min="7" max="7" width="1.83203125" style="26" customWidth="1"/>
    <col min="8" max="8" width="19" style="26" bestFit="1" customWidth="1"/>
    <col min="9" max="9" width="1.83203125" style="26" customWidth="1"/>
    <col min="10" max="10" width="19" style="26" bestFit="1" customWidth="1"/>
    <col min="11" max="11" width="1.83203125" style="26" customWidth="1"/>
    <col min="12" max="12" width="2.83203125" style="26" customWidth="1"/>
    <col min="13" max="16" width="1.83203125" style="26" customWidth="1"/>
    <col min="17" max="17" width="26.83203125" style="26" customWidth="1"/>
    <col min="18" max="18" width="1.83203125" style="26" customWidth="1"/>
    <col min="19" max="19" width="19" style="26" bestFit="1" customWidth="1"/>
    <col min="20" max="20" width="2.83203125" style="26" customWidth="1"/>
    <col min="21" max="21" width="19" style="26" bestFit="1" customWidth="1"/>
    <col min="22" max="22" width="1.83203125" style="26" customWidth="1"/>
    <col min="23" max="16384" width="18.83203125" style="26"/>
  </cols>
  <sheetData>
    <row r="1" spans="1:22" s="874" customFormat="1" ht="12.75"/>
    <row r="2" spans="1:22" s="874" customFormat="1" ht="27" customHeight="1" thickBot="1"/>
    <row r="3" spans="1:22" s="412" customFormat="1" ht="14.25">
      <c r="A3" s="874"/>
      <c r="B3" s="874"/>
      <c r="C3" s="936" t="str">
        <f xml:space="preserve"> "Balance Sheet - Year "&amp;xxYear</f>
        <v>Balance Sheet - Year 1</v>
      </c>
      <c r="D3" s="937"/>
      <c r="E3" s="938"/>
      <c r="F3" s="938"/>
      <c r="G3" s="938"/>
      <c r="H3" s="938"/>
      <c r="I3" s="938"/>
      <c r="J3" s="938"/>
      <c r="K3" s="938"/>
      <c r="L3" s="938"/>
      <c r="M3" s="938"/>
      <c r="N3" s="938"/>
      <c r="O3" s="939"/>
      <c r="P3" s="938"/>
      <c r="Q3" s="938"/>
      <c r="R3" s="938"/>
      <c r="S3" s="940"/>
      <c r="T3" s="936"/>
      <c r="U3" s="937"/>
      <c r="V3" s="940" t="str">
        <f>INDEX(decTeamName,xxIndexTeam)&amp;", Year "&amp;xxYear</f>
        <v>Entrevard, Year 1</v>
      </c>
    </row>
    <row r="4" spans="1:22" s="412" customFormat="1" ht="15" customHeight="1">
      <c r="A4" s="874"/>
      <c r="B4" s="874"/>
      <c r="C4" s="951"/>
      <c r="D4" s="934"/>
      <c r="E4" s="934"/>
      <c r="F4" s="934"/>
      <c r="G4" s="934"/>
      <c r="H4" s="934"/>
      <c r="I4" s="934"/>
      <c r="J4" s="934"/>
      <c r="K4" s="934"/>
      <c r="L4" s="934"/>
      <c r="M4" s="934"/>
      <c r="N4" s="934"/>
      <c r="O4" s="934"/>
      <c r="P4" s="934"/>
      <c r="Q4" s="934"/>
      <c r="R4" s="934"/>
      <c r="S4" s="934"/>
      <c r="T4" s="934"/>
      <c r="U4" s="934"/>
      <c r="V4" s="952"/>
    </row>
    <row r="5" spans="1:22" s="412" customFormat="1" ht="12.75">
      <c r="A5" s="874"/>
      <c r="B5" s="874"/>
      <c r="C5" s="951"/>
      <c r="D5" s="955" t="s">
        <v>2812</v>
      </c>
      <c r="E5" s="955"/>
      <c r="F5" s="955"/>
      <c r="G5" s="955"/>
      <c r="H5" s="956" t="str">
        <f>"Year  " &amp;xxYear</f>
        <v>Year  1</v>
      </c>
      <c r="I5" s="934"/>
      <c r="J5" s="956" t="str">
        <f>"Year  " &amp;xxYear-1</f>
        <v>Year  0</v>
      </c>
      <c r="K5" s="934"/>
      <c r="L5" s="934"/>
      <c r="M5" s="934"/>
      <c r="N5" s="955" t="s">
        <v>4223</v>
      </c>
      <c r="O5" s="955"/>
      <c r="P5" s="955"/>
      <c r="Q5" s="955"/>
      <c r="R5" s="955"/>
      <c r="S5" s="956" t="str">
        <f>"Year  " &amp;xxYear</f>
        <v>Year  1</v>
      </c>
      <c r="T5" s="934"/>
      <c r="U5" s="956" t="str">
        <f>"Year  " &amp;xxYear-1</f>
        <v>Year  0</v>
      </c>
      <c r="V5" s="952"/>
    </row>
    <row r="6" spans="1:22" s="412" customFormat="1" ht="12.75">
      <c r="A6" s="874"/>
      <c r="B6" s="874"/>
      <c r="C6" s="951"/>
      <c r="D6" s="934"/>
      <c r="E6" s="934"/>
      <c r="F6" s="934"/>
      <c r="G6" s="934"/>
      <c r="H6" s="934"/>
      <c r="I6" s="934"/>
      <c r="J6" s="934"/>
      <c r="K6" s="934"/>
      <c r="L6" s="934"/>
      <c r="M6" s="934"/>
      <c r="N6" s="934"/>
      <c r="O6" s="934"/>
      <c r="P6" s="934"/>
      <c r="Q6" s="934"/>
      <c r="R6" s="934"/>
      <c r="S6" s="934"/>
      <c r="T6" s="934"/>
      <c r="U6" s="934"/>
      <c r="V6" s="952"/>
    </row>
    <row r="7" spans="1:22" s="412" customFormat="1" ht="12.75">
      <c r="A7" s="874"/>
      <c r="B7" s="874"/>
      <c r="C7" s="951"/>
      <c r="D7" s="934"/>
      <c r="E7" s="934" t="s">
        <v>1778</v>
      </c>
      <c r="F7" s="934"/>
      <c r="G7" s="934"/>
      <c r="H7" s="934"/>
      <c r="I7" s="934"/>
      <c r="J7" s="934"/>
      <c r="K7" s="934"/>
      <c r="L7" s="934"/>
      <c r="M7" s="934"/>
      <c r="N7" s="934"/>
      <c r="O7" s="934" t="s">
        <v>2815</v>
      </c>
      <c r="P7" s="934"/>
      <c r="Q7" s="934"/>
      <c r="R7" s="934"/>
      <c r="S7" s="934"/>
      <c r="T7" s="934"/>
      <c r="U7" s="934"/>
      <c r="V7" s="952"/>
    </row>
    <row r="8" spans="1:22" s="412" customFormat="1" ht="12.75">
      <c r="A8" s="874"/>
      <c r="B8" s="874"/>
      <c r="C8" s="951"/>
      <c r="D8" s="934"/>
      <c r="E8" s="934"/>
      <c r="F8" s="934" t="s">
        <v>1776</v>
      </c>
      <c r="G8" s="934"/>
      <c r="H8" s="947">
        <f>INDEX(cbalCashValue,xxIndexTeam)</f>
        <v>36818826.176124021</v>
      </c>
      <c r="I8" s="946"/>
      <c r="J8" s="947">
        <f>INDEX(obalCashValue,xxIndexTeam)</f>
        <v>42504808.081901476</v>
      </c>
      <c r="K8" s="934"/>
      <c r="L8" s="934"/>
      <c r="M8" s="934"/>
      <c r="N8" s="934"/>
      <c r="O8" s="934"/>
      <c r="P8" s="934" t="s">
        <v>1781</v>
      </c>
      <c r="Q8" s="934"/>
      <c r="R8" s="934"/>
      <c r="S8" s="934"/>
      <c r="T8" s="934"/>
      <c r="U8" s="934"/>
      <c r="V8" s="952"/>
    </row>
    <row r="9" spans="1:22" s="412" customFormat="1" ht="12.75">
      <c r="A9" s="874"/>
      <c r="B9" s="874"/>
      <c r="C9" s="951"/>
      <c r="D9" s="934"/>
      <c r="E9" s="955"/>
      <c r="F9" s="955" t="s">
        <v>2813</v>
      </c>
      <c r="G9" s="934"/>
      <c r="H9" s="957">
        <f>INDEX(cbalARValue,xxIndexTeam)</f>
        <v>48600521.605287351</v>
      </c>
      <c r="I9" s="950"/>
      <c r="J9" s="957">
        <f>INDEX(obalARValue,xxIndexTeam)</f>
        <v>58046536.319444448</v>
      </c>
      <c r="K9" s="934"/>
      <c r="L9" s="934"/>
      <c r="M9" s="934"/>
      <c r="N9" s="934"/>
      <c r="O9" s="934"/>
      <c r="P9" s="934"/>
      <c r="Q9" s="934" t="s">
        <v>1782</v>
      </c>
      <c r="R9" s="934"/>
      <c r="S9" s="947">
        <f>INDEX(cbalAPValue,xxIndexTeam)</f>
        <v>29107878.943431728</v>
      </c>
      <c r="T9" s="946"/>
      <c r="U9" s="947">
        <f>INDEX(obalAPValue,xxIndexTeam)</f>
        <v>33850976.674897701</v>
      </c>
      <c r="V9" s="952"/>
    </row>
    <row r="10" spans="1:22" s="412" customFormat="1" ht="12.75">
      <c r="A10" s="874"/>
      <c r="B10" s="874"/>
      <c r="C10" s="951"/>
      <c r="D10" s="934"/>
      <c r="E10" s="934" t="s">
        <v>1777</v>
      </c>
      <c r="F10" s="934"/>
      <c r="G10" s="934"/>
      <c r="H10" s="935">
        <f>SUM(H8:H9)</f>
        <v>85419347.78141138</v>
      </c>
      <c r="I10" s="950"/>
      <c r="J10" s="935">
        <f>SUM(J8:J9)</f>
        <v>100551344.40134592</v>
      </c>
      <c r="K10" s="934"/>
      <c r="L10" s="934"/>
      <c r="M10" s="934"/>
      <c r="N10" s="934"/>
      <c r="O10" s="934"/>
      <c r="P10" s="934"/>
      <c r="Q10" s="934" t="s">
        <v>1783</v>
      </c>
      <c r="R10" s="934"/>
      <c r="S10" s="935">
        <f>INDEX(cbalOtherCurrLiabValue,xxIndexTeam)</f>
        <v>137651886.67518741</v>
      </c>
      <c r="T10" s="950"/>
      <c r="U10" s="935">
        <f>INDEX(obalOtherCurrLiabValue,xxIndexTeam)</f>
        <v>125138078.7956249</v>
      </c>
      <c r="V10" s="952"/>
    </row>
    <row r="11" spans="1:22" s="412" customFormat="1" ht="12.75">
      <c r="A11" s="874"/>
      <c r="B11" s="874"/>
      <c r="C11" s="951"/>
      <c r="D11" s="934"/>
      <c r="E11" s="934"/>
      <c r="F11" s="934"/>
      <c r="G11" s="934"/>
      <c r="H11" s="935"/>
      <c r="I11" s="950"/>
      <c r="J11" s="935"/>
      <c r="K11" s="934"/>
      <c r="L11" s="934"/>
      <c r="M11" s="934"/>
      <c r="N11" s="934"/>
      <c r="O11" s="934"/>
      <c r="P11" s="955"/>
      <c r="Q11" s="955" t="s">
        <v>1784</v>
      </c>
      <c r="R11" s="934"/>
      <c r="S11" s="957">
        <f>INDEX(cbalSpecLoansValue,xxIndexTeam)</f>
        <v>0</v>
      </c>
      <c r="T11" s="950"/>
      <c r="U11" s="957">
        <f>INDEX(obalSpecLoansValue,xxIndexTeam)</f>
        <v>0</v>
      </c>
      <c r="V11" s="952"/>
    </row>
    <row r="12" spans="1:22" s="412" customFormat="1" ht="12.75">
      <c r="A12" s="874"/>
      <c r="B12" s="874"/>
      <c r="C12" s="951"/>
      <c r="D12" s="934"/>
      <c r="E12" s="934" t="s">
        <v>3685</v>
      </c>
      <c r="F12" s="934"/>
      <c r="G12" s="934"/>
      <c r="H12" s="935"/>
      <c r="I12" s="950"/>
      <c r="J12" s="935"/>
      <c r="K12" s="934"/>
      <c r="L12" s="934"/>
      <c r="M12" s="934"/>
      <c r="N12" s="934"/>
      <c r="O12" s="934"/>
      <c r="P12" s="934" t="s">
        <v>1272</v>
      </c>
      <c r="Q12" s="934"/>
      <c r="R12" s="934"/>
      <c r="S12" s="935">
        <f>SUM(S9:S11)</f>
        <v>166759765.61861914</v>
      </c>
      <c r="T12" s="950"/>
      <c r="U12" s="935">
        <f>SUM(U9:U11)</f>
        <v>158989055.47052258</v>
      </c>
      <c r="V12" s="952"/>
    </row>
    <row r="13" spans="1:22" s="412" customFormat="1" ht="12.75">
      <c r="A13" s="874"/>
      <c r="B13" s="874"/>
      <c r="C13" s="951"/>
      <c r="D13" s="934"/>
      <c r="E13" s="934"/>
      <c r="F13" s="934" t="s">
        <v>3686</v>
      </c>
      <c r="G13" s="934"/>
      <c r="H13" s="935">
        <f>INDEX(cbalPlant1Value,xxIndexTeam)</f>
        <v>74272974.953778863</v>
      </c>
      <c r="I13" s="950"/>
      <c r="J13" s="935">
        <f>INDEX(obalPlant1Value,xxIndexTeam)</f>
        <v>74272974.953778863</v>
      </c>
      <c r="K13" s="934"/>
      <c r="L13" s="934"/>
      <c r="M13" s="934"/>
      <c r="N13" s="934"/>
      <c r="O13" s="934"/>
      <c r="P13" s="934"/>
      <c r="Q13" s="934"/>
      <c r="R13" s="934"/>
      <c r="S13" s="935"/>
      <c r="T13" s="950"/>
      <c r="U13" s="935"/>
      <c r="V13" s="952"/>
    </row>
    <row r="14" spans="1:22" s="412" customFormat="1" ht="12.75">
      <c r="A14" s="874"/>
      <c r="B14" s="874"/>
      <c r="C14" s="951"/>
      <c r="D14" s="934"/>
      <c r="E14" s="955"/>
      <c r="F14" s="955" t="s">
        <v>3687</v>
      </c>
      <c r="G14" s="934"/>
      <c r="H14" s="957">
        <f>INDEX(cbalOtherAsstesValue,xxIndexTeam)</f>
        <v>70575508.038221121</v>
      </c>
      <c r="I14" s="950"/>
      <c r="J14" s="957">
        <f>INDEX(obalOtherAsstesValue,xxIndexTeam)</f>
        <v>70575508.038221121</v>
      </c>
      <c r="K14" s="934"/>
      <c r="L14" s="934"/>
      <c r="M14" s="934"/>
      <c r="N14" s="934"/>
      <c r="O14" s="934"/>
      <c r="P14" s="934" t="s">
        <v>2816</v>
      </c>
      <c r="Q14" s="934"/>
      <c r="R14" s="934"/>
      <c r="S14" s="935">
        <f>INDEX(cbalLTDebtValue,xxIndexTeam)</f>
        <v>14464321.654698594</v>
      </c>
      <c r="T14" s="950"/>
      <c r="U14" s="935">
        <f>INDEX(obalLTDebtValue,xxIndexTeam)</f>
        <v>14464321.654698594</v>
      </c>
      <c r="V14" s="952"/>
    </row>
    <row r="15" spans="1:22" s="412" customFormat="1" ht="12.75">
      <c r="A15" s="874"/>
      <c r="B15" s="874"/>
      <c r="C15" s="951"/>
      <c r="D15" s="934"/>
      <c r="E15" s="934" t="s">
        <v>3688</v>
      </c>
      <c r="F15" s="934"/>
      <c r="G15" s="934"/>
      <c r="H15" s="935">
        <f>SUM(H13:H14)</f>
        <v>144848482.99199998</v>
      </c>
      <c r="I15" s="950"/>
      <c r="J15" s="935">
        <f>SUM(J13:J14)</f>
        <v>144848482.99199998</v>
      </c>
      <c r="K15" s="934"/>
      <c r="L15" s="934"/>
      <c r="M15" s="934"/>
      <c r="N15" s="934"/>
      <c r="O15" s="933"/>
      <c r="P15" s="934" t="s">
        <v>3689</v>
      </c>
      <c r="Q15" s="934"/>
      <c r="R15" s="934"/>
      <c r="S15" s="935">
        <f>INDEX(cbalOtherLTLiab,xxIndexTeam)</f>
        <v>28928643.309397183</v>
      </c>
      <c r="T15" s="950"/>
      <c r="U15" s="935">
        <f>INDEX(obalOtherLTLiab,xxIndexTeam)</f>
        <v>28928643.309397183</v>
      </c>
      <c r="V15" s="952"/>
    </row>
    <row r="16" spans="1:22" s="412" customFormat="1" ht="12.75">
      <c r="A16" s="874"/>
      <c r="B16" s="874"/>
      <c r="C16" s="951"/>
      <c r="D16" s="955"/>
      <c r="E16" s="955"/>
      <c r="F16" s="955"/>
      <c r="G16" s="934"/>
      <c r="H16" s="957"/>
      <c r="I16" s="950"/>
      <c r="J16" s="957"/>
      <c r="K16" s="934"/>
      <c r="L16" s="934"/>
      <c r="M16" s="934"/>
      <c r="N16" s="933"/>
      <c r="O16" s="955"/>
      <c r="P16" s="955"/>
      <c r="Q16" s="955"/>
      <c r="R16" s="934"/>
      <c r="S16" s="957"/>
      <c r="T16" s="950"/>
      <c r="U16" s="957"/>
      <c r="V16" s="952"/>
    </row>
    <row r="17" spans="1:22" s="412" customFormat="1" ht="12.75">
      <c r="A17" s="874"/>
      <c r="B17" s="874"/>
      <c r="C17" s="951"/>
      <c r="D17" s="934" t="s">
        <v>2814</v>
      </c>
      <c r="E17" s="934"/>
      <c r="F17" s="934"/>
      <c r="G17" s="934"/>
      <c r="H17" s="935">
        <f>INDEX(cbalAssetsValue,xxIndexTeam)</f>
        <v>230267830.77341136</v>
      </c>
      <c r="I17" s="950"/>
      <c r="J17" s="935">
        <f>INDEX(obalAssetsValue,xxIndexTeam)</f>
        <v>245399827.39334589</v>
      </c>
      <c r="K17" s="934"/>
      <c r="L17" s="934"/>
      <c r="M17" s="934"/>
      <c r="N17" s="934"/>
      <c r="O17" s="934" t="s">
        <v>3690</v>
      </c>
      <c r="P17" s="934"/>
      <c r="Q17" s="934"/>
      <c r="R17" s="934"/>
      <c r="S17" s="935">
        <f>S12+S14+S15</f>
        <v>210152730.58271492</v>
      </c>
      <c r="T17" s="950"/>
      <c r="U17" s="935">
        <f>U12+U14+U15</f>
        <v>202382020.43461835</v>
      </c>
      <c r="V17" s="952"/>
    </row>
    <row r="18" spans="1:22" s="412" customFormat="1" ht="12.75">
      <c r="A18" s="874"/>
      <c r="B18" s="874"/>
      <c r="C18" s="951"/>
      <c r="D18" s="933"/>
      <c r="E18" s="933"/>
      <c r="F18" s="933"/>
      <c r="G18" s="933"/>
      <c r="H18" s="933"/>
      <c r="I18" s="946"/>
      <c r="J18" s="933"/>
      <c r="K18" s="934"/>
      <c r="L18" s="934"/>
      <c r="M18" s="934"/>
      <c r="N18" s="933"/>
      <c r="O18" s="933"/>
      <c r="P18" s="933"/>
      <c r="Q18" s="933"/>
      <c r="R18" s="933"/>
      <c r="S18" s="935"/>
      <c r="T18" s="950"/>
      <c r="U18" s="935"/>
      <c r="V18" s="952"/>
    </row>
    <row r="19" spans="1:22" s="412" customFormat="1" ht="12.75">
      <c r="A19" s="874"/>
      <c r="B19" s="874"/>
      <c r="C19" s="951"/>
      <c r="D19" s="933"/>
      <c r="E19" s="933"/>
      <c r="F19" s="933"/>
      <c r="G19" s="933"/>
      <c r="H19" s="933"/>
      <c r="I19" s="933"/>
      <c r="J19" s="933"/>
      <c r="K19" s="934"/>
      <c r="L19" s="934"/>
      <c r="M19" s="934"/>
      <c r="N19" s="934"/>
      <c r="O19" s="934" t="s">
        <v>1275</v>
      </c>
      <c r="P19" s="934"/>
      <c r="Q19" s="934"/>
      <c r="R19" s="934"/>
      <c r="S19" s="935"/>
      <c r="T19" s="950"/>
      <c r="U19" s="935"/>
      <c r="V19" s="952"/>
    </row>
    <row r="20" spans="1:22" s="412" customFormat="1" ht="12.75">
      <c r="A20" s="874"/>
      <c r="B20" s="874"/>
      <c r="C20" s="951"/>
      <c r="D20" s="934"/>
      <c r="E20" s="934"/>
      <c r="F20" s="934"/>
      <c r="G20" s="934"/>
      <c r="H20" s="946"/>
      <c r="I20" s="946"/>
      <c r="J20" s="946"/>
      <c r="K20" s="934"/>
      <c r="L20" s="934"/>
      <c r="M20" s="934"/>
      <c r="N20" s="934"/>
      <c r="O20" s="934"/>
      <c r="P20" s="934" t="s">
        <v>3903</v>
      </c>
      <c r="Q20" s="934"/>
      <c r="R20" s="934"/>
      <c r="S20" s="935">
        <f>INDEX(cbalCStockValue,xxIndexTeam)</f>
        <v>15249117.670937739</v>
      </c>
      <c r="T20" s="950"/>
      <c r="U20" s="935">
        <f>INDEX(obalCStockValue,xxIndexTeam)</f>
        <v>15249117.670937739</v>
      </c>
      <c r="V20" s="952"/>
    </row>
    <row r="21" spans="1:22" s="412" customFormat="1" ht="12.75">
      <c r="A21" s="874"/>
      <c r="B21" s="874"/>
      <c r="C21" s="951"/>
      <c r="D21" s="934"/>
      <c r="E21" s="934"/>
      <c r="F21" s="934"/>
      <c r="G21" s="934"/>
      <c r="H21" s="934"/>
      <c r="I21" s="934"/>
      <c r="J21" s="934"/>
      <c r="K21" s="934"/>
      <c r="L21" s="934"/>
      <c r="M21" s="934"/>
      <c r="N21" s="934"/>
      <c r="O21" s="934"/>
      <c r="P21" s="934" t="s">
        <v>2712</v>
      </c>
      <c r="Q21" s="934"/>
      <c r="R21" s="934"/>
      <c r="S21" s="935">
        <f>INDEX(cbalRetEarnValue,xxIndexTeam)</f>
        <v>27768689.287789788</v>
      </c>
      <c r="T21" s="950"/>
      <c r="U21" s="935">
        <f>INDEX(obalRetEarnValue,xxIndexTeam)</f>
        <v>43294767.589713037</v>
      </c>
      <c r="V21" s="952"/>
    </row>
    <row r="22" spans="1:22" s="412" customFormat="1" ht="12.75">
      <c r="A22" s="874"/>
      <c r="B22" s="874"/>
      <c r="C22" s="951"/>
      <c r="D22" s="934"/>
      <c r="E22" s="934"/>
      <c r="F22" s="934"/>
      <c r="G22" s="934"/>
      <c r="H22" s="934"/>
      <c r="I22" s="934"/>
      <c r="J22" s="934"/>
      <c r="K22" s="934"/>
      <c r="L22" s="934"/>
      <c r="M22" s="934"/>
      <c r="N22" s="934"/>
      <c r="O22" s="955"/>
      <c r="P22" s="955" t="s">
        <v>2713</v>
      </c>
      <c r="Q22" s="955"/>
      <c r="R22" s="934"/>
      <c r="S22" s="957">
        <f>INDEX(cbalNetEarnValue,xxIndexTeam)</f>
        <v>-22902706.768031094</v>
      </c>
      <c r="T22" s="950"/>
      <c r="U22" s="957">
        <f>INDEX(obalNetEarnValue,xxIndexTeam)</f>
        <v>-15526078.301923249</v>
      </c>
      <c r="V22" s="952"/>
    </row>
    <row r="23" spans="1:22" s="412" customFormat="1" ht="12.75">
      <c r="A23" s="874"/>
      <c r="B23" s="874"/>
      <c r="C23" s="951"/>
      <c r="D23" s="934"/>
      <c r="E23" s="934"/>
      <c r="F23" s="934"/>
      <c r="G23" s="934"/>
      <c r="H23" s="934"/>
      <c r="I23" s="934"/>
      <c r="J23" s="934"/>
      <c r="K23" s="934"/>
      <c r="L23" s="934"/>
      <c r="M23" s="934"/>
      <c r="N23" s="934"/>
      <c r="O23" s="934" t="s">
        <v>2714</v>
      </c>
      <c r="P23" s="934"/>
      <c r="Q23" s="934"/>
      <c r="R23" s="934"/>
      <c r="S23" s="935">
        <f>SUM(S20:S22)</f>
        <v>20115100.190696429</v>
      </c>
      <c r="T23" s="950"/>
      <c r="U23" s="935">
        <f>SUM(U20:U22)</f>
        <v>43017806.958727524</v>
      </c>
      <c r="V23" s="952"/>
    </row>
    <row r="24" spans="1:22" s="412" customFormat="1" ht="12.75">
      <c r="A24" s="874"/>
      <c r="B24" s="874"/>
      <c r="C24" s="951"/>
      <c r="D24" s="934"/>
      <c r="E24" s="934"/>
      <c r="F24" s="934"/>
      <c r="G24" s="934"/>
      <c r="H24" s="934"/>
      <c r="I24" s="934"/>
      <c r="J24" s="934"/>
      <c r="K24" s="934"/>
      <c r="L24" s="934"/>
      <c r="M24" s="934"/>
      <c r="N24" s="955"/>
      <c r="O24" s="955"/>
      <c r="P24" s="955"/>
      <c r="Q24" s="955"/>
      <c r="R24" s="934"/>
      <c r="S24" s="957"/>
      <c r="T24" s="950"/>
      <c r="U24" s="957"/>
      <c r="V24" s="952"/>
    </row>
    <row r="25" spans="1:22" s="412" customFormat="1" ht="12.75">
      <c r="A25" s="874"/>
      <c r="B25" s="874"/>
      <c r="C25" s="951"/>
      <c r="D25" s="934"/>
      <c r="E25" s="934"/>
      <c r="F25" s="934"/>
      <c r="G25" s="934"/>
      <c r="H25" s="934"/>
      <c r="I25" s="934"/>
      <c r="J25" s="934"/>
      <c r="K25" s="934"/>
      <c r="L25" s="934"/>
      <c r="M25" s="934"/>
      <c r="N25" s="934" t="s">
        <v>4222</v>
      </c>
      <c r="O25" s="934"/>
      <c r="P25" s="934"/>
      <c r="Q25" s="934"/>
      <c r="R25" s="934"/>
      <c r="S25" s="935">
        <f>SUM(S23,S17)</f>
        <v>230267830.77341133</v>
      </c>
      <c r="T25" s="950"/>
      <c r="U25" s="935">
        <f>SUM(U23,U17)</f>
        <v>245399827.39334589</v>
      </c>
      <c r="V25" s="952"/>
    </row>
  </sheetData>
  <phoneticPr fontId="0" type="noConversion"/>
  <printOptions horizontalCentered="1"/>
  <pageMargins left="0.37" right="0.39" top="0.5" bottom="0.5" header="0.5" footer="0.5"/>
  <pageSetup scale="80" orientation="portrait" blackAndWhite="1" r:id="rId1"/>
  <headerFooter alignWithMargins="0">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6" r:id="rId4" name="Drop Down 4">
              <controlPr defaultSize="0" autoLine="0" autoPict="0" macro="[0]!menuDecSelect">
                <anchor moveWithCells="1">
                  <from>
                    <xdr:col>5</xdr:col>
                    <xdr:colOff>1123950</xdr:colOff>
                    <xdr:row>1</xdr:row>
                    <xdr:rowOff>19050</xdr:rowOff>
                  </from>
                  <to>
                    <xdr:col>8</xdr:col>
                    <xdr:colOff>47625</xdr:colOff>
                    <xdr:row>1</xdr:row>
                    <xdr:rowOff>247650</xdr:rowOff>
                  </to>
                </anchor>
              </controlPr>
            </control>
          </mc:Choice>
        </mc:AlternateContent>
        <mc:AlternateContent xmlns:mc="http://schemas.openxmlformats.org/markup-compatibility/2006">
          <mc:Choice Requires="x14">
            <control shapeId="100357" r:id="rId5" name="Drop Down 5">
              <controlPr defaultSize="0" autoLine="0" autoPict="0" macro="[0]!menuFinancialSelect">
                <anchor moveWithCells="1">
                  <from>
                    <xdr:col>9</xdr:col>
                    <xdr:colOff>800100</xdr:colOff>
                    <xdr:row>1</xdr:row>
                    <xdr:rowOff>19050</xdr:rowOff>
                  </from>
                  <to>
                    <xdr:col>16</xdr:col>
                    <xdr:colOff>676275</xdr:colOff>
                    <xdr:row>1</xdr:row>
                    <xdr:rowOff>247650</xdr:rowOff>
                  </to>
                </anchor>
              </controlPr>
            </control>
          </mc:Choice>
        </mc:AlternateContent>
        <mc:AlternateContent xmlns:mc="http://schemas.openxmlformats.org/markup-compatibility/2006">
          <mc:Choice Requires="x14">
            <control shapeId="100358" r:id="rId6" name="Drop Down 6">
              <controlPr defaultSize="0" autoLine="0" autoPict="0" macro="[0]!menuActionSelect">
                <anchor moveWithCells="1">
                  <from>
                    <xdr:col>16</xdr:col>
                    <xdr:colOff>1533525</xdr:colOff>
                    <xdr:row>1</xdr:row>
                    <xdr:rowOff>19050</xdr:rowOff>
                  </from>
                  <to>
                    <xdr:col>20</xdr:col>
                    <xdr:colOff>295275</xdr:colOff>
                    <xdr:row>1</xdr:row>
                    <xdr:rowOff>247650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CashFlow">
    <tabColor rgb="FF000099"/>
    <pageSetUpPr fitToPage="1"/>
  </sheetPr>
  <dimension ref="A1:K33"/>
  <sheetViews>
    <sheetView zoomScale="110" zoomScaleNormal="110" workbookViewId="0">
      <selection activeCell="M27" sqref="M27"/>
    </sheetView>
  </sheetViews>
  <sheetFormatPr defaultColWidth="18.83203125" defaultRowHeight="12.95" customHeight="1"/>
  <cols>
    <col min="1" max="1" width="1.83203125" style="874" customWidth="1"/>
    <col min="2" max="2" width="8.83203125" style="874" customWidth="1"/>
    <col min="3" max="3" width="15.83203125" style="851" customWidth="1"/>
    <col min="4" max="5" width="1.83203125" style="851" customWidth="1"/>
    <col min="6" max="6" width="50.83203125" style="851" customWidth="1"/>
    <col min="7" max="7" width="9.1640625" style="851" customWidth="1"/>
    <col min="8" max="8" width="24.83203125" style="851" customWidth="1"/>
    <col min="9" max="9" width="22.33203125" style="851" customWidth="1"/>
    <col min="10" max="10" width="3.5" style="851" customWidth="1"/>
    <col min="11" max="11" width="14.83203125" style="851" customWidth="1"/>
    <col min="12" max="16384" width="18.83203125" style="851"/>
  </cols>
  <sheetData>
    <row r="1" spans="1:11" s="874" customFormat="1" ht="12.75"/>
    <row r="2" spans="1:11" s="874" customFormat="1" ht="26.25" customHeight="1" thickBot="1"/>
    <row r="3" spans="1:11" ht="14.25">
      <c r="C3" s="936" t="str">
        <f xml:space="preserve"> "Cash Flow Statement - Year "&amp;xxYear</f>
        <v>Cash Flow Statement - Year 1</v>
      </c>
      <c r="D3" s="936"/>
      <c r="E3" s="936"/>
      <c r="F3" s="936"/>
      <c r="G3" s="936"/>
      <c r="H3" s="936"/>
      <c r="I3" s="936"/>
      <c r="J3" s="936"/>
      <c r="K3" s="940" t="str">
        <f>INDEX(decTeamName,xxIndexTeam)&amp;", Year "&amp;xxYear</f>
        <v>Entrevard, Year 1</v>
      </c>
    </row>
    <row r="4" spans="1:11" ht="12.75">
      <c r="C4" s="941"/>
      <c r="D4" s="931"/>
      <c r="E4" s="931"/>
      <c r="F4" s="931"/>
      <c r="G4" s="931"/>
      <c r="H4" s="931"/>
      <c r="I4" s="931"/>
      <c r="J4" s="931"/>
      <c r="K4" s="942"/>
    </row>
    <row r="5" spans="1:11" s="958" customFormat="1" ht="15">
      <c r="A5" s="874"/>
      <c r="B5" s="874"/>
      <c r="C5" s="951"/>
      <c r="D5" s="972" t="s">
        <v>1766</v>
      </c>
      <c r="E5" s="964"/>
      <c r="F5" s="964"/>
      <c r="G5" s="964"/>
      <c r="H5" s="965"/>
      <c r="I5" s="966">
        <f>INDEX(obalCashValue,xxIndexTeam)</f>
        <v>42504808.081901476</v>
      </c>
      <c r="J5" s="967"/>
      <c r="K5" s="952"/>
    </row>
    <row r="6" spans="1:11" ht="12.75">
      <c r="C6" s="951"/>
      <c r="D6" s="934"/>
      <c r="E6" s="962"/>
      <c r="F6" s="934"/>
      <c r="G6" s="934"/>
      <c r="H6" s="946"/>
      <c r="I6" s="946"/>
      <c r="J6" s="934"/>
      <c r="K6" s="952"/>
    </row>
    <row r="7" spans="1:11" ht="12.75">
      <c r="C7" s="951"/>
      <c r="D7" s="934" t="s">
        <v>1767</v>
      </c>
      <c r="E7" s="934"/>
      <c r="F7" s="934"/>
      <c r="G7" s="934"/>
      <c r="H7" s="946"/>
      <c r="I7" s="946"/>
      <c r="J7" s="934"/>
      <c r="K7" s="952"/>
    </row>
    <row r="8" spans="1:11" ht="12.75">
      <c r="C8" s="951"/>
      <c r="D8" s="934"/>
      <c r="E8" s="934" t="s">
        <v>2713</v>
      </c>
      <c r="F8" s="934"/>
      <c r="G8" s="934"/>
      <c r="H8" s="946"/>
      <c r="I8" s="935">
        <f>INDEX(finPNLNetIncome,xxIndexTeam)</f>
        <v>-22902706.768031094</v>
      </c>
      <c r="J8" s="962"/>
      <c r="K8" s="952"/>
    </row>
    <row r="9" spans="1:11" ht="12.75">
      <c r="C9" s="951"/>
      <c r="D9" s="934"/>
      <c r="E9" s="934" t="s">
        <v>3794</v>
      </c>
      <c r="F9" s="934"/>
      <c r="G9" s="934"/>
      <c r="H9" s="946"/>
      <c r="I9" s="935">
        <f>INDEX(finCashFlowDep,xxIndexTeam)</f>
        <v>0</v>
      </c>
      <c r="J9" s="962"/>
      <c r="K9" s="952"/>
    </row>
    <row r="10" spans="1:11" ht="6" customHeight="1">
      <c r="C10" s="951"/>
      <c r="D10" s="934"/>
      <c r="E10" s="934"/>
      <c r="F10" s="934"/>
      <c r="G10" s="934"/>
      <c r="H10" s="946"/>
      <c r="I10" s="946"/>
      <c r="J10" s="934"/>
      <c r="K10" s="952"/>
    </row>
    <row r="11" spans="1:11" ht="12.75">
      <c r="C11" s="951"/>
      <c r="D11" s="934"/>
      <c r="E11" s="934" t="s">
        <v>1768</v>
      </c>
      <c r="F11" s="934"/>
      <c r="G11" s="934"/>
      <c r="H11" s="946"/>
      <c r="I11" s="946"/>
      <c r="J11" s="962"/>
      <c r="K11" s="952"/>
    </row>
    <row r="12" spans="1:11" ht="12.75">
      <c r="C12" s="951"/>
      <c r="D12" s="934"/>
      <c r="E12" s="934"/>
      <c r="F12" s="934" t="s">
        <v>448</v>
      </c>
      <c r="G12" s="934"/>
      <c r="H12" s="963">
        <f>INDEX(finCashFlowARChange,xxIndexTeam)</f>
        <v>9446014.714157097</v>
      </c>
      <c r="I12" s="946"/>
      <c r="J12" s="962"/>
      <c r="K12" s="952"/>
    </row>
    <row r="13" spans="1:11" ht="12.75">
      <c r="C13" s="951"/>
      <c r="D13" s="934"/>
      <c r="E13" s="934"/>
      <c r="F13" s="934" t="s">
        <v>2092</v>
      </c>
      <c r="G13" s="934"/>
      <c r="H13" s="963">
        <f>INDEX(finCashFlowAPChange,xxIndexTeam)</f>
        <v>-4743097.731465973</v>
      </c>
      <c r="I13" s="946"/>
      <c r="J13" s="962"/>
      <c r="K13" s="952"/>
    </row>
    <row r="14" spans="1:11" ht="12.75">
      <c r="C14" s="951"/>
      <c r="D14" s="934"/>
      <c r="E14" s="934"/>
      <c r="F14" s="955" t="s">
        <v>2779</v>
      </c>
      <c r="G14" s="955"/>
      <c r="H14" s="968">
        <f>INDEX(finCashFlowOtherCurrLiabChange,xxIndexTeam)</f>
        <v>12513807.879562512</v>
      </c>
      <c r="I14" s="946"/>
      <c r="J14" s="962"/>
      <c r="K14" s="952"/>
    </row>
    <row r="15" spans="1:11" ht="12.75">
      <c r="C15" s="951"/>
      <c r="D15" s="934"/>
      <c r="E15" s="934" t="s">
        <v>2780</v>
      </c>
      <c r="F15" s="934"/>
      <c r="G15" s="934"/>
      <c r="H15" s="946"/>
      <c r="I15" s="963">
        <f>SUM(H12:H14)</f>
        <v>17216724.862253636</v>
      </c>
      <c r="J15" s="962"/>
      <c r="K15" s="952"/>
    </row>
    <row r="16" spans="1:11" ht="6" customHeight="1">
      <c r="C16" s="951"/>
      <c r="D16" s="934"/>
      <c r="E16" s="934"/>
      <c r="F16" s="934"/>
      <c r="G16" s="934"/>
      <c r="H16" s="946"/>
      <c r="I16" s="969"/>
      <c r="J16" s="934"/>
      <c r="K16" s="952"/>
    </row>
    <row r="17" spans="1:11" s="959" customFormat="1" ht="12.75">
      <c r="A17" s="874"/>
      <c r="B17" s="874"/>
      <c r="C17" s="951"/>
      <c r="D17" s="934" t="s">
        <v>577</v>
      </c>
      <c r="E17" s="934"/>
      <c r="F17" s="934"/>
      <c r="G17" s="934"/>
      <c r="H17" s="946"/>
      <c r="I17" s="963">
        <f>SUM(I8:I9,I15)</f>
        <v>-5685981.9057774581</v>
      </c>
      <c r="J17" s="934"/>
      <c r="K17" s="952"/>
    </row>
    <row r="18" spans="1:11" s="852" customFormat="1" ht="6" customHeight="1">
      <c r="A18" s="874"/>
      <c r="B18" s="874"/>
      <c r="C18" s="951"/>
      <c r="D18" s="934"/>
      <c r="E18" s="934"/>
      <c r="F18" s="934"/>
      <c r="G18" s="934"/>
      <c r="H18" s="946"/>
      <c r="I18" s="946"/>
      <c r="J18" s="934"/>
      <c r="K18" s="952"/>
    </row>
    <row r="19" spans="1:11" s="959" customFormat="1" ht="12.75">
      <c r="A19" s="874"/>
      <c r="B19" s="874"/>
      <c r="C19" s="951"/>
      <c r="D19" s="934" t="s">
        <v>578</v>
      </c>
      <c r="E19" s="934"/>
      <c r="F19" s="934"/>
      <c r="G19" s="934"/>
      <c r="H19" s="946"/>
      <c r="I19" s="946"/>
      <c r="J19" s="934"/>
      <c r="K19" s="952"/>
    </row>
    <row r="20" spans="1:11" s="852" customFormat="1" ht="12.75">
      <c r="A20" s="874"/>
      <c r="B20" s="874"/>
      <c r="C20" s="951"/>
      <c r="D20" s="934"/>
      <c r="E20" s="934" t="s">
        <v>579</v>
      </c>
      <c r="F20" s="934"/>
      <c r="G20" s="934"/>
      <c r="H20" s="946">
        <f>INDEX(finCashFlowInvest,xxIndexTeam)</f>
        <v>0</v>
      </c>
      <c r="I20" s="946"/>
      <c r="J20" s="934"/>
      <c r="K20" s="952"/>
    </row>
    <row r="21" spans="1:11" s="852" customFormat="1" ht="12.75">
      <c r="A21" s="874"/>
      <c r="B21" s="874"/>
      <c r="C21" s="951"/>
      <c r="D21" s="934"/>
      <c r="E21" s="934"/>
      <c r="F21" s="934"/>
      <c r="G21" s="934"/>
      <c r="H21" s="946"/>
      <c r="I21" s="969"/>
      <c r="J21" s="934"/>
      <c r="K21" s="952"/>
    </row>
    <row r="22" spans="1:11" s="959" customFormat="1" ht="12.75">
      <c r="A22" s="874"/>
      <c r="B22" s="874"/>
      <c r="C22" s="951"/>
      <c r="D22" s="934" t="s">
        <v>580</v>
      </c>
      <c r="E22" s="934"/>
      <c r="F22" s="934"/>
      <c r="G22" s="934"/>
      <c r="H22" s="946"/>
      <c r="I22" s="963">
        <f>H20</f>
        <v>0</v>
      </c>
      <c r="J22" s="934"/>
      <c r="K22" s="952"/>
    </row>
    <row r="23" spans="1:11" s="852" customFormat="1" ht="6" customHeight="1">
      <c r="A23" s="874"/>
      <c r="B23" s="874"/>
      <c r="C23" s="951"/>
      <c r="D23" s="934"/>
      <c r="E23" s="934"/>
      <c r="F23" s="934"/>
      <c r="G23" s="934"/>
      <c r="H23" s="946"/>
      <c r="I23" s="963"/>
      <c r="J23" s="934"/>
      <c r="K23" s="952"/>
    </row>
    <row r="24" spans="1:11" s="961" customFormat="1" ht="14.25">
      <c r="A24" s="874"/>
      <c r="B24" s="874"/>
      <c r="C24" s="951"/>
      <c r="D24" s="945" t="s">
        <v>581</v>
      </c>
      <c r="E24" s="948"/>
      <c r="F24" s="948"/>
      <c r="G24" s="948"/>
      <c r="H24" s="970"/>
      <c r="I24" s="971">
        <f>SUM(I17,I22)</f>
        <v>-5685981.9057774581</v>
      </c>
      <c r="J24" s="921"/>
      <c r="K24" s="952"/>
    </row>
    <row r="25" spans="1:11" s="852" customFormat="1" ht="6" customHeight="1">
      <c r="A25" s="874"/>
      <c r="B25" s="874"/>
      <c r="C25" s="951"/>
      <c r="D25" s="934"/>
      <c r="E25" s="934"/>
      <c r="F25" s="934"/>
      <c r="G25" s="934"/>
      <c r="H25" s="946"/>
      <c r="I25" s="946"/>
      <c r="J25" s="934"/>
      <c r="K25" s="952"/>
    </row>
    <row r="26" spans="1:11" s="959" customFormat="1" ht="12.75">
      <c r="A26" s="874"/>
      <c r="B26" s="874"/>
      <c r="C26" s="951"/>
      <c r="D26" s="934" t="s">
        <v>286</v>
      </c>
      <c r="E26" s="934"/>
      <c r="F26" s="934"/>
      <c r="G26" s="934"/>
      <c r="H26" s="946"/>
      <c r="I26" s="946"/>
      <c r="J26" s="934"/>
      <c r="K26" s="952"/>
    </row>
    <row r="27" spans="1:11" s="852" customFormat="1" ht="12.75">
      <c r="A27" s="874"/>
      <c r="B27" s="874"/>
      <c r="C27" s="951"/>
      <c r="D27" s="934"/>
      <c r="E27" s="955" t="s">
        <v>1444</v>
      </c>
      <c r="F27" s="955"/>
      <c r="G27" s="955"/>
      <c r="H27" s="969">
        <f>INDEX(finCashFlowSpecLoansChange,xxIndexTeam)</f>
        <v>0</v>
      </c>
      <c r="I27" s="946"/>
      <c r="J27" s="934"/>
      <c r="K27" s="952"/>
    </row>
    <row r="28" spans="1:11" s="852" customFormat="1" ht="12.75">
      <c r="A28" s="874"/>
      <c r="B28" s="874"/>
      <c r="C28" s="951"/>
      <c r="D28" s="934"/>
      <c r="E28" s="934"/>
      <c r="F28" s="934"/>
      <c r="G28" s="934"/>
      <c r="H28" s="946"/>
      <c r="I28" s="969"/>
      <c r="J28" s="934"/>
      <c r="K28" s="952"/>
    </row>
    <row r="29" spans="1:11" s="959" customFormat="1" ht="12.75">
      <c r="A29" s="874"/>
      <c r="B29" s="874"/>
      <c r="C29" s="951"/>
      <c r="D29" s="934" t="s">
        <v>1445</v>
      </c>
      <c r="E29" s="934"/>
      <c r="F29" s="934"/>
      <c r="G29" s="934"/>
      <c r="H29" s="946"/>
      <c r="I29" s="963">
        <f>H27</f>
        <v>0</v>
      </c>
      <c r="J29" s="934"/>
      <c r="K29" s="952"/>
    </row>
    <row r="30" spans="1:11" s="852" customFormat="1" ht="6" customHeight="1">
      <c r="A30" s="874"/>
      <c r="B30" s="874"/>
      <c r="C30" s="951"/>
      <c r="D30" s="934"/>
      <c r="E30" s="934"/>
      <c r="F30" s="934"/>
      <c r="G30" s="934"/>
      <c r="H30" s="946"/>
      <c r="I30" s="963"/>
      <c r="J30" s="934"/>
      <c r="K30" s="952"/>
    </row>
    <row r="31" spans="1:11" s="960" customFormat="1" ht="14.25">
      <c r="A31" s="874"/>
      <c r="B31" s="874"/>
      <c r="C31" s="951"/>
      <c r="D31" s="934" t="s">
        <v>1446</v>
      </c>
      <c r="E31" s="934"/>
      <c r="F31" s="934"/>
      <c r="G31" s="934"/>
      <c r="H31" s="946"/>
      <c r="I31" s="963">
        <f>I24+I29</f>
        <v>-5685981.9057774581</v>
      </c>
      <c r="J31" s="934"/>
      <c r="K31" s="952"/>
    </row>
    <row r="32" spans="1:11" s="852" customFormat="1" ht="6" customHeight="1">
      <c r="A32" s="874"/>
      <c r="B32" s="874"/>
      <c r="C32" s="951"/>
      <c r="D32" s="934"/>
      <c r="E32" s="934"/>
      <c r="F32" s="934"/>
      <c r="G32" s="934"/>
      <c r="H32" s="946"/>
      <c r="I32" s="946"/>
      <c r="J32" s="934"/>
      <c r="K32" s="952"/>
    </row>
    <row r="33" spans="1:11" s="958" customFormat="1" ht="15">
      <c r="A33" s="874"/>
      <c r="B33" s="874"/>
      <c r="C33" s="951"/>
      <c r="D33" s="972" t="s">
        <v>2149</v>
      </c>
      <c r="E33" s="964"/>
      <c r="F33" s="964"/>
      <c r="G33" s="964"/>
      <c r="H33" s="965"/>
      <c r="I33" s="966">
        <f>I5+I31</f>
        <v>36818826.176124021</v>
      </c>
      <c r="J33" s="964"/>
      <c r="K33" s="952"/>
    </row>
  </sheetData>
  <phoneticPr fontId="0" type="noConversion"/>
  <printOptions horizontalCentered="1"/>
  <pageMargins left="0.5" right="0.5" top="0.5" bottom="0.5" header="0.5" footer="0.5"/>
  <pageSetup scale="81" orientation="portrait" blackAndWhite="1" r:id="rId1"/>
  <headerFooter alignWithMargins="0">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Drop Down 1">
              <controlPr defaultSize="0" autoLine="0" autoPict="0" macro="[0]!menuDecSelect">
                <anchor moveWithCells="1">
                  <from>
                    <xdr:col>5</xdr:col>
                    <xdr:colOff>323850</xdr:colOff>
                    <xdr:row>1</xdr:row>
                    <xdr:rowOff>19050</xdr:rowOff>
                  </from>
                  <to>
                    <xdr:col>5</xdr:col>
                    <xdr:colOff>1971675</xdr:colOff>
                    <xdr:row>1</xdr:row>
                    <xdr:rowOff>247650</xdr:rowOff>
                  </to>
                </anchor>
              </controlPr>
            </control>
          </mc:Choice>
        </mc:AlternateContent>
        <mc:AlternateContent xmlns:mc="http://schemas.openxmlformats.org/markup-compatibility/2006">
          <mc:Choice Requires="x14">
            <control shapeId="101378" r:id="rId5" name="Drop Down 2">
              <controlPr defaultSize="0" autoLine="0" autoPict="0" macro="[0]!menuFinancialSelect">
                <anchor moveWithCells="1">
                  <from>
                    <xdr:col>5</xdr:col>
                    <xdr:colOff>2828925</xdr:colOff>
                    <xdr:row>1</xdr:row>
                    <xdr:rowOff>19050</xdr:rowOff>
                  </from>
                  <to>
                    <xdr:col>7</xdr:col>
                    <xdr:colOff>1047750</xdr:colOff>
                    <xdr:row>1</xdr:row>
                    <xdr:rowOff>247650</xdr:rowOff>
                  </to>
                </anchor>
              </controlPr>
            </control>
          </mc:Choice>
        </mc:AlternateContent>
        <mc:AlternateContent xmlns:mc="http://schemas.openxmlformats.org/markup-compatibility/2006">
          <mc:Choice Requires="x14">
            <control shapeId="101379" r:id="rId6" name="Drop Down 3">
              <controlPr defaultSize="0" autoLine="0" autoPict="0" macro="[0]!menuActionSelect">
                <anchor moveWithCells="1">
                  <from>
                    <xdr:col>8</xdr:col>
                    <xdr:colOff>485775</xdr:colOff>
                    <xdr:row>1</xdr:row>
                    <xdr:rowOff>19050</xdr:rowOff>
                  </from>
                  <to>
                    <xdr:col>10</xdr:col>
                    <xdr:colOff>657225</xdr:colOff>
                    <xdr:row>1</xdr:row>
                    <xdr:rowOff>247650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0099"/>
    <pageSetUpPr fitToPage="1"/>
  </sheetPr>
  <dimension ref="A1:N58"/>
  <sheetViews>
    <sheetView showGridLines="0" zoomScale="155" zoomScaleNormal="155" workbookViewId="0">
      <pane ySplit="5" topLeftCell="A12" activePane="bottomLeft" state="frozen"/>
      <selection pane="bottomLeft"/>
    </sheetView>
  </sheetViews>
  <sheetFormatPr defaultColWidth="18.83203125" defaultRowHeight="12.95" customHeight="1"/>
  <cols>
    <col min="1" max="1" width="2.5" style="1330" customWidth="1"/>
    <col min="2" max="2" width="3.83203125" style="1330" customWidth="1"/>
    <col min="3" max="3" width="5.33203125" style="1330" customWidth="1"/>
    <col min="4" max="4" width="29.1640625" style="1330" customWidth="1"/>
    <col min="5" max="5" width="7.1640625" style="1330" customWidth="1"/>
    <col min="6" max="6" width="24.33203125" style="1330" customWidth="1"/>
    <col min="7" max="7" width="3.83203125" style="1330" customWidth="1"/>
    <col min="8" max="8" width="24.33203125" style="1330" customWidth="1"/>
    <col min="9" max="9" width="3.83203125" style="1330" customWidth="1"/>
    <col min="10" max="10" width="24.33203125" style="1330" customWidth="1"/>
    <col min="11" max="11" width="3.83203125" style="1330" customWidth="1"/>
    <col min="12" max="12" width="24.33203125" style="1330" customWidth="1"/>
    <col min="13" max="13" width="1.6640625" style="1330" customWidth="1"/>
    <col min="14" max="14" width="1.83203125" style="1330" customWidth="1"/>
    <col min="15" max="16384" width="18.83203125" style="1330"/>
  </cols>
  <sheetData>
    <row r="1" spans="1:14" ht="12.75">
      <c r="A1" s="922"/>
      <c r="B1" s="922"/>
      <c r="C1" s="922"/>
      <c r="D1" s="922"/>
      <c r="E1" s="922"/>
      <c r="F1" s="922"/>
      <c r="G1" s="922"/>
      <c r="H1" s="922"/>
      <c r="I1" s="922"/>
      <c r="J1" s="922"/>
      <c r="K1" s="922"/>
      <c r="L1" s="922"/>
      <c r="M1" s="922"/>
      <c r="N1" s="922"/>
    </row>
    <row r="2" spans="1:14" ht="27" customHeight="1">
      <c r="A2" s="922"/>
      <c r="B2" s="922"/>
      <c r="C2" s="922"/>
      <c r="D2" s="922"/>
      <c r="E2" s="922"/>
      <c r="F2" s="922"/>
      <c r="G2" s="922"/>
      <c r="H2" s="922"/>
      <c r="I2" s="922"/>
      <c r="J2" s="922"/>
      <c r="K2" s="922"/>
      <c r="L2" s="922"/>
      <c r="M2" s="922"/>
      <c r="N2" s="922"/>
    </row>
    <row r="3" spans="1:14" ht="15.75">
      <c r="A3" s="922"/>
      <c r="B3" s="1534" t="s">
        <v>5297</v>
      </c>
      <c r="C3" s="1535"/>
      <c r="D3" s="1535"/>
      <c r="E3" s="1535"/>
      <c r="F3" s="1535"/>
      <c r="G3" s="1535"/>
      <c r="H3" s="1535"/>
      <c r="I3" s="1535"/>
      <c r="J3" s="1535"/>
      <c r="K3" s="1535"/>
      <c r="L3" s="1535"/>
      <c r="M3" s="1535"/>
      <c r="N3" s="1535"/>
    </row>
    <row r="4" spans="1:14" ht="15.75" customHeight="1">
      <c r="A4" s="922"/>
      <c r="B4" s="1331"/>
      <c r="C4" s="1332"/>
      <c r="D4" s="1333"/>
      <c r="E4" s="1333"/>
      <c r="F4" s="1333"/>
      <c r="G4" s="1333"/>
      <c r="H4" s="1333"/>
      <c r="I4" s="1333"/>
      <c r="J4" s="1333"/>
      <c r="K4" s="1333"/>
      <c r="L4" s="1333"/>
      <c r="M4" s="1333"/>
      <c r="N4" s="1333"/>
    </row>
    <row r="5" spans="1:14" ht="15.75">
      <c r="A5" s="922"/>
      <c r="B5" s="1334"/>
      <c r="C5" s="1335"/>
      <c r="D5" s="1336"/>
      <c r="E5" s="1336"/>
      <c r="F5" s="1336"/>
      <c r="G5" s="1336"/>
      <c r="H5" s="1336"/>
      <c r="I5" s="1336"/>
      <c r="J5" s="1336"/>
      <c r="K5" s="1336"/>
      <c r="L5" s="1336"/>
      <c r="M5" s="1336"/>
      <c r="N5" s="1336"/>
    </row>
    <row r="6" spans="1:14" ht="12.75">
      <c r="A6" s="922"/>
      <c r="B6" s="922"/>
      <c r="C6" s="922"/>
      <c r="D6" s="922"/>
      <c r="E6" s="922"/>
      <c r="F6" s="922"/>
      <c r="G6" s="922"/>
      <c r="H6" s="922"/>
      <c r="I6" s="922"/>
      <c r="J6" s="922"/>
      <c r="K6" s="922"/>
      <c r="L6" s="922"/>
      <c r="M6" s="922"/>
      <c r="N6" s="922"/>
    </row>
    <row r="7" spans="1:14" s="1337" customFormat="1" ht="15.75">
      <c r="B7" s="1338" t="s">
        <v>2314</v>
      </c>
      <c r="C7" s="1339"/>
      <c r="D7" s="1340"/>
      <c r="E7" s="1340"/>
      <c r="F7" s="1340"/>
      <c r="G7" s="1340"/>
      <c r="H7" s="1340"/>
      <c r="I7" s="1340"/>
      <c r="J7" s="1340"/>
      <c r="K7" s="1340"/>
      <c r="L7" s="1340"/>
      <c r="M7" s="1340"/>
      <c r="N7" s="1341" t="s">
        <v>5304</v>
      </c>
    </row>
    <row r="8" spans="1:14" ht="12.75">
      <c r="A8" s="922"/>
      <c r="B8" s="1342"/>
      <c r="C8" s="1343"/>
      <c r="D8" s="1343"/>
      <c r="E8" s="1343"/>
      <c r="F8" s="1343"/>
      <c r="G8" s="1343"/>
      <c r="H8" s="1343"/>
      <c r="I8" s="1343"/>
      <c r="J8" s="1343"/>
      <c r="K8" s="1343"/>
      <c r="L8" s="1343"/>
      <c r="M8" s="1343"/>
      <c r="N8" s="1344"/>
    </row>
    <row r="9" spans="1:14" ht="18">
      <c r="A9" s="922"/>
      <c r="B9" s="1342"/>
      <c r="C9" s="1536" t="s">
        <v>3293</v>
      </c>
      <c r="D9" s="1537"/>
      <c r="E9" s="1343"/>
      <c r="F9" s="1343"/>
      <c r="G9" s="1343"/>
      <c r="H9" s="1343"/>
      <c r="I9" s="1343"/>
      <c r="J9" s="1343"/>
      <c r="K9" s="1343"/>
      <c r="L9" s="1343"/>
      <c r="M9" s="1343"/>
      <c r="N9" s="1344"/>
    </row>
    <row r="10" spans="1:14" ht="14.25" customHeight="1">
      <c r="A10" s="922"/>
      <c r="B10" s="1342"/>
      <c r="C10" s="1345"/>
      <c r="D10" s="1346"/>
      <c r="E10" s="1347"/>
      <c r="F10" s="1538" t="s">
        <v>4642</v>
      </c>
      <c r="G10" s="1348"/>
      <c r="H10" s="1349" t="s">
        <v>703</v>
      </c>
      <c r="I10" s="1348"/>
      <c r="J10" s="1349" t="s">
        <v>4438</v>
      </c>
      <c r="K10" s="1348"/>
      <c r="L10" s="1348"/>
      <c r="M10" s="1350"/>
      <c r="N10" s="1344"/>
    </row>
    <row r="11" spans="1:14" ht="12.75" customHeight="1">
      <c r="A11" s="922"/>
      <c r="B11" s="1342"/>
      <c r="C11" s="1351"/>
      <c r="D11" s="922" t="s">
        <v>4148</v>
      </c>
      <c r="E11" s="922"/>
      <c r="F11" s="1539"/>
      <c r="G11" s="922"/>
      <c r="H11" s="1352" t="s">
        <v>939</v>
      </c>
      <c r="I11" s="922"/>
      <c r="J11" s="1352" t="s">
        <v>702</v>
      </c>
      <c r="K11" s="922"/>
      <c r="L11" s="922"/>
      <c r="M11" s="1353"/>
      <c r="N11" s="1344"/>
    </row>
    <row r="12" spans="1:14" ht="3" customHeight="1">
      <c r="A12" s="922"/>
      <c r="B12" s="1342"/>
      <c r="C12" s="1351"/>
      <c r="D12" s="922"/>
      <c r="E12" s="922"/>
      <c r="F12" s="922"/>
      <c r="G12" s="922"/>
      <c r="H12" s="922"/>
      <c r="I12" s="922"/>
      <c r="J12" s="922"/>
      <c r="K12" s="922"/>
      <c r="L12" s="922"/>
      <c r="M12" s="1353"/>
      <c r="N12" s="1344"/>
    </row>
    <row r="13" spans="1:14" ht="18">
      <c r="A13" s="922"/>
      <c r="B13" s="1342"/>
      <c r="C13" s="1351"/>
      <c r="D13" s="1354" t="s">
        <v>1249</v>
      </c>
      <c r="E13" s="922"/>
      <c r="F13" s="1355">
        <v>71</v>
      </c>
      <c r="G13" s="1356"/>
      <c r="H13" s="1355">
        <v>286</v>
      </c>
      <c r="I13" s="1356"/>
      <c r="J13" s="1355">
        <v>409</v>
      </c>
      <c r="K13" s="1356"/>
      <c r="L13" s="1356"/>
      <c r="M13" s="1353"/>
      <c r="N13" s="1344"/>
    </row>
    <row r="14" spans="1:14" ht="6" customHeight="1">
      <c r="A14" s="922"/>
      <c r="B14" s="1342"/>
      <c r="C14" s="1351"/>
      <c r="D14" s="1354"/>
      <c r="E14" s="922"/>
      <c r="F14" s="1357"/>
      <c r="G14" s="922"/>
      <c r="H14" s="1357"/>
      <c r="I14" s="922"/>
      <c r="J14" s="1357"/>
      <c r="K14" s="922"/>
      <c r="L14" s="922"/>
      <c r="M14" s="1353"/>
      <c r="N14" s="1344"/>
    </row>
    <row r="15" spans="1:14" ht="16.5" thickBot="1">
      <c r="A15" s="922"/>
      <c r="B15" s="1342"/>
      <c r="C15" s="1351"/>
      <c r="D15" s="1358" t="s">
        <v>2201</v>
      </c>
      <c r="E15" s="922"/>
      <c r="F15" s="1359"/>
      <c r="G15" s="922"/>
      <c r="H15" s="1359"/>
      <c r="I15" s="922"/>
      <c r="J15" s="1359"/>
      <c r="K15" s="922"/>
      <c r="L15" s="922"/>
      <c r="M15" s="1353"/>
      <c r="N15" s="1344"/>
    </row>
    <row r="16" spans="1:14" ht="3" customHeight="1">
      <c r="A16" s="922"/>
      <c r="B16" s="1342"/>
      <c r="C16" s="1351"/>
      <c r="D16" s="1354"/>
      <c r="E16" s="922"/>
      <c r="F16" s="1359"/>
      <c r="G16" s="922"/>
      <c r="H16" s="1359"/>
      <c r="I16" s="922"/>
      <c r="J16" s="1359"/>
      <c r="K16" s="922"/>
      <c r="L16" s="922"/>
      <c r="M16" s="1353"/>
      <c r="N16" s="1344"/>
    </row>
    <row r="17" spans="1:14" ht="15">
      <c r="A17" s="922"/>
      <c r="B17" s="1342"/>
      <c r="C17" s="1351"/>
      <c r="D17" s="1354" t="s">
        <v>1085</v>
      </c>
      <c r="E17" s="922"/>
      <c r="F17" s="1360">
        <v>71000</v>
      </c>
      <c r="G17" s="1360"/>
      <c r="H17" s="1360">
        <v>220000</v>
      </c>
      <c r="I17" s="1360"/>
      <c r="J17" s="1360">
        <v>390000</v>
      </c>
      <c r="K17" s="1360"/>
      <c r="L17" s="1360"/>
      <c r="M17" s="1353"/>
      <c r="N17" s="1344"/>
    </row>
    <row r="18" spans="1:14" ht="15">
      <c r="A18" s="922"/>
      <c r="B18" s="1342"/>
      <c r="C18" s="1351"/>
      <c r="D18" s="1354" t="s">
        <v>2354</v>
      </c>
      <c r="E18" s="922"/>
      <c r="F18" s="1360">
        <v>0</v>
      </c>
      <c r="G18" s="1360"/>
      <c r="H18" s="1360">
        <v>42912</v>
      </c>
      <c r="I18" s="1360"/>
      <c r="J18" s="1360">
        <v>0</v>
      </c>
      <c r="K18" s="1360"/>
      <c r="L18" s="1360"/>
      <c r="M18" s="1353"/>
      <c r="N18" s="1344"/>
    </row>
    <row r="19" spans="1:14" ht="15">
      <c r="A19" s="922"/>
      <c r="B19" s="1342"/>
      <c r="C19" s="1351"/>
      <c r="D19" s="1354" t="s">
        <v>4010</v>
      </c>
      <c r="E19" s="922"/>
      <c r="F19" s="1360">
        <v>880.00000000000011</v>
      </c>
      <c r="G19" s="1360"/>
      <c r="H19" s="1360">
        <v>1320.0000000000002</v>
      </c>
      <c r="I19" s="1360"/>
      <c r="J19" s="1360">
        <v>0</v>
      </c>
      <c r="K19" s="1360"/>
      <c r="L19" s="1360"/>
      <c r="M19" s="1353"/>
      <c r="N19" s="1344"/>
    </row>
    <row r="20" spans="1:14" ht="15">
      <c r="A20" s="922"/>
      <c r="B20" s="1342"/>
      <c r="C20" s="1351"/>
      <c r="D20" s="1354" t="s">
        <v>2718</v>
      </c>
      <c r="E20" s="922"/>
      <c r="F20" s="1360">
        <v>5680</v>
      </c>
      <c r="G20" s="1360"/>
      <c r="H20" s="1360">
        <v>34320</v>
      </c>
      <c r="I20" s="1360"/>
      <c r="J20" s="1360">
        <v>49080</v>
      </c>
      <c r="K20" s="1360"/>
      <c r="L20" s="1360"/>
      <c r="M20" s="1353"/>
      <c r="N20" s="1344"/>
    </row>
    <row r="21" spans="1:14" ht="15">
      <c r="A21" s="922"/>
      <c r="B21" s="1342"/>
      <c r="C21" s="1351"/>
      <c r="D21" s="1354" t="s">
        <v>4522</v>
      </c>
      <c r="E21" s="922"/>
      <c r="F21" s="1360">
        <v>0</v>
      </c>
      <c r="G21" s="1360"/>
      <c r="H21" s="1360">
        <v>0</v>
      </c>
      <c r="I21" s="1360"/>
      <c r="J21" s="1360">
        <v>0</v>
      </c>
      <c r="K21" s="1360"/>
      <c r="L21" s="1360"/>
      <c r="M21" s="1353"/>
      <c r="N21" s="1344"/>
    </row>
    <row r="22" spans="1:14" ht="15.75">
      <c r="A22" s="922"/>
      <c r="B22" s="1342"/>
      <c r="C22" s="1351"/>
      <c r="D22" s="922"/>
      <c r="E22" s="922"/>
      <c r="F22" s="1359"/>
      <c r="G22" s="922"/>
      <c r="H22" s="1359"/>
      <c r="I22" s="922"/>
      <c r="J22" s="1359"/>
      <c r="K22" s="922"/>
      <c r="L22" s="922"/>
      <c r="M22" s="1353"/>
      <c r="N22" s="1344"/>
    </row>
    <row r="23" spans="1:14" ht="15.75" customHeight="1">
      <c r="A23" s="922"/>
      <c r="B23" s="1342"/>
      <c r="C23" s="1351"/>
      <c r="D23" s="1354" t="s">
        <v>2313</v>
      </c>
      <c r="E23" s="922"/>
      <c r="F23" s="1361">
        <v>0.5</v>
      </c>
      <c r="G23" s="1361"/>
      <c r="H23" s="1361">
        <v>0.38461538461538464</v>
      </c>
      <c r="I23" s="1361"/>
      <c r="J23" s="1361">
        <v>0.47677261613691929</v>
      </c>
      <c r="K23" s="1361"/>
      <c r="L23" s="1361"/>
      <c r="M23" s="1353"/>
      <c r="N23" s="1344"/>
    </row>
    <row r="24" spans="1:14" ht="3" customHeight="1">
      <c r="A24" s="922"/>
      <c r="B24" s="1342"/>
      <c r="C24" s="1351"/>
      <c r="D24" s="1354"/>
      <c r="E24" s="922"/>
      <c r="F24" s="1362"/>
      <c r="G24" s="1362"/>
      <c r="H24" s="1362"/>
      <c r="I24" s="1362"/>
      <c r="J24" s="1362"/>
      <c r="K24" s="1362"/>
      <c r="L24" s="1362"/>
      <c r="M24" s="1353"/>
      <c r="N24" s="1344"/>
    </row>
    <row r="25" spans="1:14" ht="16.5" customHeight="1">
      <c r="A25" s="922"/>
      <c r="B25" s="1342"/>
      <c r="C25" s="1351"/>
      <c r="D25" s="1354" t="s">
        <v>3183</v>
      </c>
      <c r="E25" s="922"/>
      <c r="F25" s="1361">
        <v>0.50619718309859152</v>
      </c>
      <c r="G25" s="1361"/>
      <c r="H25" s="1361">
        <v>0.46194405594405596</v>
      </c>
      <c r="I25" s="1361"/>
      <c r="J25" s="1361">
        <v>0.47677261613691929</v>
      </c>
      <c r="K25" s="1361"/>
      <c r="L25" s="1361"/>
      <c r="M25" s="1353"/>
      <c r="N25" s="1344"/>
    </row>
    <row r="26" spans="1:14" ht="16.5" customHeight="1">
      <c r="A26" s="922"/>
      <c r="B26" s="1342"/>
      <c r="C26" s="1351"/>
      <c r="D26" s="1354"/>
      <c r="E26" s="922"/>
      <c r="F26" s="1361"/>
      <c r="G26" s="1361"/>
      <c r="H26" s="1361"/>
      <c r="I26" s="1361"/>
      <c r="J26" s="1361"/>
      <c r="K26" s="1361"/>
      <c r="L26" s="1361"/>
      <c r="M26" s="1353"/>
      <c r="N26" s="1344"/>
    </row>
    <row r="27" spans="1:14" ht="16.5" customHeight="1">
      <c r="A27" s="922"/>
      <c r="B27" s="1342"/>
      <c r="C27" s="1351"/>
      <c r="D27" s="1363" t="s">
        <v>2511</v>
      </c>
      <c r="E27" s="922"/>
      <c r="F27" s="1538" t="s">
        <v>4642</v>
      </c>
      <c r="G27" s="1359"/>
      <c r="H27" s="1349" t="s">
        <v>703</v>
      </c>
      <c r="I27" s="1359"/>
      <c r="J27" s="1349" t="s">
        <v>4438</v>
      </c>
      <c r="K27" s="1361"/>
      <c r="L27" s="1538" t="s">
        <v>2022</v>
      </c>
      <c r="M27" s="1353"/>
      <c r="N27" s="1344"/>
    </row>
    <row r="28" spans="1:14" ht="16.5" customHeight="1">
      <c r="A28" s="922"/>
      <c r="B28" s="1342"/>
      <c r="C28" s="1351"/>
      <c r="D28" s="1354"/>
      <c r="E28" s="922"/>
      <c r="F28" s="1539"/>
      <c r="G28" s="922"/>
      <c r="H28" s="1352" t="s">
        <v>939</v>
      </c>
      <c r="I28" s="922"/>
      <c r="J28" s="1352" t="s">
        <v>702</v>
      </c>
      <c r="K28" s="1361"/>
      <c r="L28" s="1539"/>
      <c r="M28" s="1353"/>
      <c r="N28" s="1344"/>
    </row>
    <row r="29" spans="1:14" ht="18">
      <c r="A29" s="922"/>
      <c r="B29" s="1342"/>
      <c r="C29" s="1351"/>
      <c r="D29" s="1354" t="s">
        <v>1249</v>
      </c>
      <c r="E29" s="922"/>
      <c r="F29" s="1355">
        <v>48</v>
      </c>
      <c r="G29" s="1356"/>
      <c r="H29" s="1355">
        <v>136</v>
      </c>
      <c r="I29" s="1356"/>
      <c r="J29" s="1355">
        <v>234</v>
      </c>
      <c r="K29" s="1356"/>
      <c r="L29" s="1355">
        <v>461</v>
      </c>
      <c r="M29" s="1353"/>
      <c r="N29" s="1344"/>
    </row>
    <row r="30" spans="1:14" ht="6" customHeight="1">
      <c r="A30" s="922"/>
      <c r="B30" s="1342"/>
      <c r="C30" s="1351"/>
      <c r="D30" s="1354"/>
      <c r="E30" s="922"/>
      <c r="F30" s="1357"/>
      <c r="G30" s="922"/>
      <c r="H30" s="1357"/>
      <c r="I30" s="922"/>
      <c r="J30" s="1357"/>
      <c r="K30" s="922"/>
      <c r="L30" s="1357"/>
      <c r="M30" s="1353"/>
      <c r="N30" s="1344"/>
    </row>
    <row r="31" spans="1:14" ht="16.5" thickBot="1">
      <c r="A31" s="922"/>
      <c r="B31" s="1342"/>
      <c r="C31" s="1351"/>
      <c r="D31" s="1358" t="s">
        <v>2201</v>
      </c>
      <c r="E31" s="922"/>
      <c r="F31" s="1359"/>
      <c r="G31" s="922"/>
      <c r="H31" s="1359"/>
      <c r="I31" s="922"/>
      <c r="J31" s="1359"/>
      <c r="K31" s="922"/>
      <c r="L31" s="1359"/>
      <c r="M31" s="1353"/>
      <c r="N31" s="1344"/>
    </row>
    <row r="32" spans="1:14" ht="3" customHeight="1">
      <c r="A32" s="922"/>
      <c r="B32" s="1342"/>
      <c r="C32" s="1351"/>
      <c r="D32" s="1354"/>
      <c r="E32" s="922"/>
      <c r="F32" s="1359"/>
      <c r="G32" s="922"/>
      <c r="H32" s="1359"/>
      <c r="I32" s="922"/>
      <c r="J32" s="1359"/>
      <c r="K32" s="922"/>
      <c r="L32" s="1359"/>
      <c r="M32" s="1353"/>
      <c r="N32" s="1344"/>
    </row>
    <row r="33" spans="1:14" ht="15">
      <c r="A33" s="922"/>
      <c r="B33" s="1342"/>
      <c r="C33" s="1351"/>
      <c r="D33" s="1354" t="s">
        <v>1085</v>
      </c>
      <c r="E33" s="922"/>
      <c r="F33" s="1360">
        <v>79000</v>
      </c>
      <c r="G33" s="1360"/>
      <c r="H33" s="1360">
        <v>242000</v>
      </c>
      <c r="I33" s="1360"/>
      <c r="J33" s="1360">
        <v>335000</v>
      </c>
      <c r="K33" s="1360"/>
      <c r="L33" s="1360">
        <v>63622.409803921568</v>
      </c>
      <c r="M33" s="1353"/>
      <c r="N33" s="1344"/>
    </row>
    <row r="34" spans="1:14" ht="15">
      <c r="A34" s="922"/>
      <c r="B34" s="1342"/>
      <c r="C34" s="1351"/>
      <c r="D34" s="1354" t="s">
        <v>2354</v>
      </c>
      <c r="E34" s="922"/>
      <c r="F34" s="1360">
        <v>4700</v>
      </c>
      <c r="G34" s="1360"/>
      <c r="H34" s="1360">
        <v>18700</v>
      </c>
      <c r="I34" s="1360"/>
      <c r="J34" s="1360">
        <v>45000</v>
      </c>
      <c r="K34" s="1360"/>
      <c r="L34" s="1360">
        <v>8200</v>
      </c>
      <c r="M34" s="1353"/>
      <c r="N34" s="1344"/>
    </row>
    <row r="35" spans="1:14" ht="15">
      <c r="A35" s="922"/>
      <c r="B35" s="1342"/>
      <c r="C35" s="1351"/>
      <c r="D35" s="1354" t="s">
        <v>4010</v>
      </c>
      <c r="E35" s="922"/>
      <c r="F35" s="1360">
        <v>0</v>
      </c>
      <c r="G35" s="1360"/>
      <c r="H35" s="1360">
        <v>0</v>
      </c>
      <c r="I35" s="1360"/>
      <c r="J35" s="1360">
        <v>0</v>
      </c>
      <c r="K35" s="1360"/>
      <c r="L35" s="1360">
        <v>0</v>
      </c>
      <c r="M35" s="1353"/>
      <c r="N35" s="1344"/>
    </row>
    <row r="36" spans="1:14" ht="15">
      <c r="A36" s="922"/>
      <c r="B36" s="1342"/>
      <c r="C36" s="1351"/>
      <c r="D36" s="1354" t="s">
        <v>2718</v>
      </c>
      <c r="E36" s="922"/>
      <c r="F36" s="1360">
        <v>3840</v>
      </c>
      <c r="G36" s="1360"/>
      <c r="H36" s="1360">
        <v>16320</v>
      </c>
      <c r="I36" s="1360"/>
      <c r="J36" s="1360">
        <v>28080</v>
      </c>
      <c r="K36" s="1360"/>
      <c r="L36" s="1360">
        <v>55320</v>
      </c>
      <c r="M36" s="1353"/>
      <c r="N36" s="1344"/>
    </row>
    <row r="37" spans="1:14" ht="15">
      <c r="A37" s="922"/>
      <c r="B37" s="1342"/>
      <c r="C37" s="1351"/>
      <c r="D37" s="1354" t="s">
        <v>1243</v>
      </c>
      <c r="E37" s="922"/>
      <c r="F37" s="1364">
        <v>0</v>
      </c>
      <c r="G37" s="1364"/>
      <c r="H37" s="1364">
        <v>0</v>
      </c>
      <c r="I37" s="1364"/>
      <c r="J37" s="1364">
        <v>0</v>
      </c>
      <c r="K37" s="1364"/>
      <c r="L37" s="1364">
        <v>0</v>
      </c>
      <c r="M37" s="1353"/>
      <c r="N37" s="1344"/>
    </row>
    <row r="38" spans="1:14" ht="15">
      <c r="A38" s="922"/>
      <c r="B38" s="1342"/>
      <c r="C38" s="1351"/>
      <c r="D38" s="1354" t="s">
        <v>4522</v>
      </c>
      <c r="E38" s="922"/>
      <c r="F38" s="1360">
        <v>0</v>
      </c>
      <c r="G38" s="1360"/>
      <c r="H38" s="1360">
        <v>0</v>
      </c>
      <c r="I38" s="1360"/>
      <c r="J38" s="1360">
        <v>0</v>
      </c>
      <c r="K38" s="1360"/>
      <c r="L38" s="1360">
        <v>0</v>
      </c>
      <c r="M38" s="1353"/>
      <c r="N38" s="1344"/>
    </row>
    <row r="39" spans="1:14" ht="15.75">
      <c r="A39" s="922"/>
      <c r="B39" s="1342"/>
      <c r="C39" s="1351"/>
      <c r="D39" s="922"/>
      <c r="E39" s="922"/>
      <c r="F39" s="1359"/>
      <c r="G39" s="922"/>
      <c r="H39" s="1359"/>
      <c r="I39" s="922"/>
      <c r="J39" s="1359"/>
      <c r="K39" s="922"/>
      <c r="L39" s="1359"/>
      <c r="M39" s="1353"/>
      <c r="N39" s="1344"/>
    </row>
    <row r="40" spans="1:14" ht="15.75" customHeight="1">
      <c r="A40" s="922"/>
      <c r="B40" s="1342"/>
      <c r="C40" s="1351"/>
      <c r="D40" s="1354" t="s">
        <v>2313</v>
      </c>
      <c r="E40" s="922"/>
      <c r="F40" s="1361">
        <v>0.82291666666666663</v>
      </c>
      <c r="G40" s="1361"/>
      <c r="H40" s="1361">
        <v>0.88970588235294112</v>
      </c>
      <c r="I40" s="1361"/>
      <c r="J40" s="1361">
        <v>0.71581196581196582</v>
      </c>
      <c r="K40" s="1361"/>
      <c r="L40" s="1361">
        <v>0.10222930795199095</v>
      </c>
      <c r="M40" s="1353"/>
      <c r="N40" s="1344"/>
    </row>
    <row r="41" spans="1:14" ht="3" customHeight="1">
      <c r="A41" s="922"/>
      <c r="B41" s="1342"/>
      <c r="C41" s="1351"/>
      <c r="D41" s="1354"/>
      <c r="E41" s="922"/>
      <c r="F41" s="1362"/>
      <c r="G41" s="1362"/>
      <c r="H41" s="1362"/>
      <c r="I41" s="1362"/>
      <c r="J41" s="1362"/>
      <c r="K41" s="1362"/>
      <c r="L41" s="1362"/>
      <c r="M41" s="1353"/>
      <c r="N41" s="1344"/>
    </row>
    <row r="42" spans="1:14" ht="16.5" customHeight="1">
      <c r="A42" s="922"/>
      <c r="B42" s="1342"/>
      <c r="C42" s="1351"/>
      <c r="D42" s="1354" t="s">
        <v>3183</v>
      </c>
      <c r="E42" s="922"/>
      <c r="F42" s="1361">
        <v>0.91187499999999999</v>
      </c>
      <c r="G42" s="1361"/>
      <c r="H42" s="1361">
        <v>1.0184558823529413</v>
      </c>
      <c r="I42" s="1361"/>
      <c r="J42" s="1361">
        <v>0.81196581196581197</v>
      </c>
      <c r="K42" s="1361"/>
      <c r="L42" s="1361">
        <v>0.20429406251132251</v>
      </c>
      <c r="M42" s="1353"/>
      <c r="N42" s="1344"/>
    </row>
    <row r="43" spans="1:14" ht="6" customHeight="1">
      <c r="A43" s="922"/>
      <c r="B43" s="1342"/>
      <c r="C43" s="1365"/>
      <c r="D43" s="1366"/>
      <c r="E43" s="1366"/>
      <c r="F43" s="1367"/>
      <c r="G43" s="1366"/>
      <c r="H43" s="1367"/>
      <c r="I43" s="1366"/>
      <c r="J43" s="1367"/>
      <c r="K43" s="1366"/>
      <c r="L43" s="1367"/>
      <c r="M43" s="1368"/>
      <c r="N43" s="1344"/>
    </row>
    <row r="44" spans="1:14" ht="12.75">
      <c r="A44" s="922"/>
      <c r="B44" s="1342"/>
      <c r="C44" s="1343"/>
      <c r="D44" s="1343"/>
      <c r="E44" s="1343"/>
      <c r="F44" s="1343"/>
      <c r="G44" s="1343"/>
      <c r="H44" s="1343"/>
      <c r="I44" s="1343"/>
      <c r="J44" s="1343"/>
      <c r="K44" s="1343"/>
      <c r="L44" s="1343"/>
      <c r="M44" s="1343"/>
      <c r="N44" s="1344"/>
    </row>
    <row r="45" spans="1:14" ht="18">
      <c r="A45" s="922"/>
      <c r="B45" s="1342"/>
      <c r="C45" s="1536" t="s">
        <v>635</v>
      </c>
      <c r="D45" s="1537"/>
      <c r="E45" s="1343"/>
      <c r="F45" s="1343"/>
      <c r="G45" s="1343"/>
      <c r="H45" s="1343"/>
      <c r="I45" s="1343"/>
      <c r="J45" s="1343"/>
      <c r="K45" s="1343"/>
      <c r="L45" s="1343"/>
      <c r="M45" s="1343"/>
      <c r="N45" s="1344"/>
    </row>
    <row r="46" spans="1:14" ht="14.25" customHeight="1">
      <c r="A46" s="922"/>
      <c r="B46" s="1342"/>
      <c r="C46" s="1345"/>
      <c r="D46" s="1346"/>
      <c r="E46" s="1347"/>
      <c r="F46" s="1538" t="s">
        <v>4642</v>
      </c>
      <c r="G46" s="1348"/>
      <c r="H46" s="1349" t="s">
        <v>703</v>
      </c>
      <c r="I46" s="1348"/>
      <c r="J46" s="1349" t="s">
        <v>4438</v>
      </c>
      <c r="K46" s="1348"/>
      <c r="L46" s="1538" t="s">
        <v>2022</v>
      </c>
      <c r="M46" s="1350"/>
      <c r="N46" s="1344"/>
    </row>
    <row r="47" spans="1:14" ht="12.75" customHeight="1">
      <c r="A47" s="922"/>
      <c r="B47" s="1342"/>
      <c r="C47" s="1351"/>
      <c r="D47" s="922"/>
      <c r="E47" s="922"/>
      <c r="F47" s="1539"/>
      <c r="G47" s="922"/>
      <c r="H47" s="1352" t="s">
        <v>939</v>
      </c>
      <c r="I47" s="922"/>
      <c r="J47" s="1352" t="s">
        <v>702</v>
      </c>
      <c r="K47" s="922"/>
      <c r="L47" s="1539"/>
      <c r="M47" s="1353"/>
      <c r="N47" s="1344"/>
    </row>
    <row r="48" spans="1:14" ht="3" customHeight="1">
      <c r="A48" s="922"/>
      <c r="B48" s="1342"/>
      <c r="C48" s="1351"/>
      <c r="D48" s="922"/>
      <c r="E48" s="922"/>
      <c r="F48" s="922"/>
      <c r="G48" s="922"/>
      <c r="H48" s="922"/>
      <c r="I48" s="922"/>
      <c r="J48" s="922"/>
      <c r="K48" s="922"/>
      <c r="L48" s="922"/>
      <c r="M48" s="1353"/>
      <c r="N48" s="1344"/>
    </row>
    <row r="49" spans="1:14" ht="18">
      <c r="A49" s="922"/>
      <c r="B49" s="1342"/>
      <c r="C49" s="1351"/>
      <c r="D49" s="1354" t="s">
        <v>1249</v>
      </c>
      <c r="E49" s="922"/>
      <c r="F49" s="1369">
        <v>9</v>
      </c>
      <c r="G49" s="1370"/>
      <c r="H49" s="1369">
        <v>14</v>
      </c>
      <c r="I49" s="1370"/>
      <c r="J49" s="1369">
        <v>14</v>
      </c>
      <c r="K49" s="1370"/>
      <c r="L49" s="1369">
        <v>7</v>
      </c>
      <c r="M49" s="1353"/>
      <c r="N49" s="1344"/>
    </row>
    <row r="50" spans="1:14" ht="8.25" customHeight="1">
      <c r="A50" s="922"/>
      <c r="B50" s="1342"/>
      <c r="C50" s="1351"/>
      <c r="D50" s="1354"/>
      <c r="E50" s="922"/>
      <c r="F50" s="1371"/>
      <c r="G50" s="1372"/>
      <c r="H50" s="1371"/>
      <c r="I50" s="1372"/>
      <c r="J50" s="1371"/>
      <c r="K50" s="1372"/>
      <c r="L50" s="1371"/>
      <c r="M50" s="1353"/>
      <c r="N50" s="1344"/>
    </row>
    <row r="51" spans="1:14" ht="16.5" thickBot="1">
      <c r="A51" s="922"/>
      <c r="B51" s="1342"/>
      <c r="C51" s="1351"/>
      <c r="D51" s="1358" t="s">
        <v>2201</v>
      </c>
      <c r="E51" s="922"/>
      <c r="F51" s="1373"/>
      <c r="G51" s="1372"/>
      <c r="H51" s="1373"/>
      <c r="I51" s="1372"/>
      <c r="J51" s="1373"/>
      <c r="K51" s="1372"/>
      <c r="L51" s="1373"/>
      <c r="M51" s="1353"/>
      <c r="N51" s="1344"/>
    </row>
    <row r="52" spans="1:14" ht="3" customHeight="1">
      <c r="A52" s="922"/>
      <c r="B52" s="1342"/>
      <c r="C52" s="1351"/>
      <c r="D52" s="922"/>
      <c r="E52" s="922"/>
      <c r="F52" s="1373"/>
      <c r="G52" s="1372"/>
      <c r="H52" s="1373"/>
      <c r="I52" s="1372"/>
      <c r="J52" s="1373"/>
      <c r="K52" s="1372"/>
      <c r="L52" s="1373"/>
      <c r="M52" s="1353"/>
      <c r="N52" s="1344"/>
    </row>
    <row r="53" spans="1:14" ht="15">
      <c r="A53" s="922"/>
      <c r="B53" s="1342"/>
      <c r="C53" s="1351"/>
      <c r="D53" s="1354" t="s">
        <v>2354</v>
      </c>
      <c r="E53" s="922"/>
      <c r="F53" s="1360">
        <v>1200</v>
      </c>
      <c r="G53" s="1360"/>
      <c r="H53" s="1360">
        <v>1800</v>
      </c>
      <c r="I53" s="1360"/>
      <c r="J53" s="1360">
        <v>2200</v>
      </c>
      <c r="K53" s="1360"/>
      <c r="L53" s="1360"/>
      <c r="M53" s="1353"/>
      <c r="N53" s="1344"/>
    </row>
    <row r="54" spans="1:14" ht="15">
      <c r="A54" s="922"/>
      <c r="B54" s="1342"/>
      <c r="C54" s="1351"/>
      <c r="D54" s="1354" t="s">
        <v>4011</v>
      </c>
      <c r="E54" s="922"/>
      <c r="F54" s="1360">
        <v>0</v>
      </c>
      <c r="G54" s="1360"/>
      <c r="H54" s="1360">
        <v>0</v>
      </c>
      <c r="I54" s="1360"/>
      <c r="J54" s="1360">
        <v>0</v>
      </c>
      <c r="K54" s="1360"/>
      <c r="L54" s="1360">
        <v>0</v>
      </c>
      <c r="M54" s="1353"/>
      <c r="N54" s="1344"/>
    </row>
    <row r="55" spans="1:14" ht="15">
      <c r="A55" s="922"/>
      <c r="B55" s="1342"/>
      <c r="C55" s="1351"/>
      <c r="D55" s="1354" t="s">
        <v>2718</v>
      </c>
      <c r="E55" s="922"/>
      <c r="F55" s="1360">
        <v>720</v>
      </c>
      <c r="G55" s="1360"/>
      <c r="H55" s="1360">
        <v>1680</v>
      </c>
      <c r="I55" s="1360"/>
      <c r="J55" s="1360">
        <v>1680</v>
      </c>
      <c r="K55" s="1360"/>
      <c r="L55" s="1360">
        <v>840</v>
      </c>
      <c r="M55" s="1353"/>
      <c r="N55" s="1344"/>
    </row>
    <row r="56" spans="1:14" ht="15">
      <c r="A56" s="922"/>
      <c r="B56" s="1342"/>
      <c r="C56" s="1351"/>
      <c r="D56" s="1354" t="s">
        <v>1243</v>
      </c>
      <c r="E56" s="922"/>
      <c r="F56" s="1360">
        <v>2700</v>
      </c>
      <c r="G56" s="1360"/>
      <c r="H56" s="1360">
        <v>4500</v>
      </c>
      <c r="I56" s="1360"/>
      <c r="J56" s="1360">
        <v>7200</v>
      </c>
      <c r="K56" s="1360"/>
      <c r="L56" s="1360">
        <v>3000</v>
      </c>
      <c r="M56" s="1353"/>
      <c r="N56" s="1344"/>
    </row>
    <row r="57" spans="1:14" ht="15">
      <c r="A57" s="922"/>
      <c r="B57" s="1342"/>
      <c r="C57" s="1351"/>
      <c r="D57" s="1354" t="s">
        <v>4522</v>
      </c>
      <c r="E57" s="922"/>
      <c r="F57" s="1360">
        <v>0</v>
      </c>
      <c r="G57" s="1360"/>
      <c r="H57" s="1360">
        <v>0</v>
      </c>
      <c r="I57" s="1360"/>
      <c r="J57" s="1360">
        <v>0</v>
      </c>
      <c r="K57" s="1360"/>
      <c r="L57" s="1360">
        <v>0</v>
      </c>
      <c r="M57" s="1353"/>
      <c r="N57" s="1344"/>
    </row>
    <row r="58" spans="1:14" ht="19.5" customHeight="1">
      <c r="A58" s="922"/>
      <c r="B58" s="1342"/>
      <c r="C58" s="1351"/>
      <c r="D58" s="1354" t="s">
        <v>3183</v>
      </c>
      <c r="E58" s="922"/>
      <c r="F58" s="1361">
        <v>0.25666666666666665</v>
      </c>
      <c r="G58" s="1361"/>
      <c r="H58" s="1361">
        <v>0.28499999999999998</v>
      </c>
      <c r="I58" s="1361"/>
      <c r="J58" s="1361">
        <v>0.39571428571428574</v>
      </c>
      <c r="K58" s="1361"/>
      <c r="L58" s="1361">
        <v>0.40634920634920635</v>
      </c>
      <c r="M58" s="1353"/>
      <c r="N58" s="1344"/>
    </row>
  </sheetData>
  <mergeCells count="8">
    <mergeCell ref="B3:N3"/>
    <mergeCell ref="C45:D45"/>
    <mergeCell ref="C9:D9"/>
    <mergeCell ref="L46:L47"/>
    <mergeCell ref="F46:F47"/>
    <mergeCell ref="F10:F11"/>
    <mergeCell ref="F27:F28"/>
    <mergeCell ref="L27:L28"/>
  </mergeCells>
  <phoneticPr fontId="0" type="noConversion"/>
  <conditionalFormatting sqref="J25:J26 F25:F26 L42 L58 F58 H58 J58 F42 H42 J42 H25:H26 L26">
    <cfRule type="cellIs" dxfId="1" priority="1" stopIfTrue="1" operator="greaterThan">
      <formula>1</formula>
    </cfRule>
  </conditionalFormatting>
  <printOptions horizontalCentered="1"/>
  <pageMargins left="0.42" right="0.34" top="1" bottom="1" header="0.5" footer="0.5"/>
  <pageSetup scale="79" orientation="portrait" blackAndWhite="1" r:id="rId1"/>
  <headerFooter alignWithMargins="0">
    <oddFooter>&amp;CPage &amp;P of &amp;N</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0099"/>
  </sheetPr>
  <dimension ref="A1:AE49"/>
  <sheetViews>
    <sheetView showGridLines="0" topLeftCell="V1" zoomScale="155" zoomScaleNormal="155" workbookViewId="0">
      <pane ySplit="5" topLeftCell="A32" activePane="bottomLeft" state="frozen"/>
      <selection pane="bottomLeft" activeCell="AE39" sqref="AE39:AE49"/>
    </sheetView>
  </sheetViews>
  <sheetFormatPr defaultColWidth="18.83203125" defaultRowHeight="12.95" customHeight="1"/>
  <cols>
    <col min="1" max="1" width="2.5" style="1337" customWidth="1"/>
    <col min="2" max="2" width="2.83203125" style="1337" customWidth="1"/>
    <col min="3" max="3" width="13.83203125" style="1337" customWidth="1"/>
    <col min="4" max="4" width="1.83203125" style="1337" customWidth="1"/>
    <col min="5" max="5" width="14.83203125" style="1337" customWidth="1"/>
    <col min="6" max="6" width="0.83203125" style="1337" customWidth="1"/>
    <col min="7" max="7" width="14.83203125" style="1337" customWidth="1"/>
    <col min="8" max="8" width="0.83203125" style="1337" customWidth="1"/>
    <col min="9" max="9" width="14.83203125" style="1337" customWidth="1"/>
    <col min="10" max="11" width="1" style="1337" customWidth="1"/>
    <col min="12" max="12" width="14.83203125" style="1337" customWidth="1"/>
    <col min="13" max="13" width="0.83203125" style="1337" customWidth="1"/>
    <col min="14" max="14" width="14.83203125" style="1337" customWidth="1"/>
    <col min="15" max="15" width="0.83203125" style="1337" customWidth="1"/>
    <col min="16" max="16" width="14.83203125" style="1337" customWidth="1"/>
    <col min="17" max="18" width="1" style="1337" customWidth="1"/>
    <col min="19" max="19" width="14.83203125" style="1337" customWidth="1"/>
    <col min="20" max="20" width="0.83203125" style="1337" customWidth="1"/>
    <col min="21" max="21" width="14.83203125" style="1337" customWidth="1"/>
    <col min="22" max="22" width="0.83203125" style="1337" customWidth="1"/>
    <col min="23" max="23" width="14.83203125" style="1337" customWidth="1"/>
    <col min="24" max="24" width="2.83203125" style="1337" customWidth="1"/>
    <col min="25" max="30" width="9.33203125" style="1337" customWidth="1"/>
    <col min="31" max="31" width="10.1640625" style="1337" bestFit="1" customWidth="1"/>
    <col min="32" max="16384" width="18.83203125" style="1337"/>
  </cols>
  <sheetData>
    <row r="1" spans="1:25" ht="12.75">
      <c r="A1" s="1374"/>
      <c r="B1" s="1374"/>
      <c r="C1" s="1374"/>
      <c r="D1" s="1374"/>
      <c r="E1" s="1374"/>
      <c r="F1" s="1374"/>
      <c r="G1" s="1374"/>
      <c r="H1" s="1374"/>
      <c r="I1" s="1374"/>
      <c r="J1" s="1374"/>
      <c r="K1" s="1374"/>
      <c r="L1" s="1374"/>
      <c r="M1" s="1374"/>
      <c r="N1" s="1374"/>
      <c r="O1" s="1374"/>
      <c r="P1" s="1374"/>
      <c r="Q1" s="1374"/>
      <c r="R1" s="1374"/>
      <c r="S1" s="1374"/>
      <c r="T1" s="1374"/>
      <c r="U1" s="1374"/>
      <c r="V1" s="1374"/>
      <c r="W1" s="1374"/>
      <c r="X1" s="1374"/>
      <c r="Y1" s="1374"/>
    </row>
    <row r="2" spans="1:25" ht="21.75" customHeight="1">
      <c r="A2" s="1374"/>
      <c r="B2" s="1374"/>
      <c r="C2" s="1374"/>
      <c r="D2" s="1374"/>
      <c r="E2" s="1374"/>
      <c r="F2" s="1374"/>
      <c r="G2" s="1374"/>
      <c r="H2" s="1374"/>
      <c r="I2" s="1374"/>
      <c r="J2" s="1374"/>
      <c r="K2" s="1374"/>
      <c r="L2" s="1374"/>
      <c r="M2" s="1374"/>
      <c r="N2" s="1374"/>
      <c r="O2" s="1374"/>
      <c r="P2" s="1374"/>
      <c r="Q2" s="1374"/>
      <c r="R2" s="1374"/>
      <c r="S2" s="1374"/>
      <c r="T2" s="1374"/>
      <c r="U2" s="1374"/>
      <c r="V2" s="1374"/>
      <c r="W2" s="1374"/>
      <c r="X2" s="1374"/>
      <c r="Y2" s="1374"/>
    </row>
    <row r="3" spans="1:25" ht="15.75">
      <c r="A3" s="1374"/>
      <c r="B3" s="1534" t="s">
        <v>5297</v>
      </c>
      <c r="C3" s="1535"/>
      <c r="D3" s="1535"/>
      <c r="E3" s="1535"/>
      <c r="F3" s="1535"/>
      <c r="G3" s="1535"/>
      <c r="H3" s="1535"/>
      <c r="I3" s="1535"/>
      <c r="J3" s="1535"/>
      <c r="K3" s="1535"/>
      <c r="L3" s="1535"/>
      <c r="M3" s="1535"/>
      <c r="N3" s="1535"/>
      <c r="O3" s="1535"/>
      <c r="P3" s="1535"/>
      <c r="Q3" s="1535"/>
      <c r="R3" s="1535"/>
      <c r="S3" s="1535"/>
      <c r="T3" s="1535"/>
      <c r="U3" s="1535"/>
      <c r="V3" s="1535"/>
      <c r="W3" s="1535"/>
      <c r="X3" s="1535"/>
      <c r="Y3" s="1374"/>
    </row>
    <row r="4" spans="1:25" ht="15.75" customHeight="1">
      <c r="A4" s="1374"/>
      <c r="B4" s="1375"/>
      <c r="C4" s="1376"/>
      <c r="D4" s="1376"/>
      <c r="E4" s="1376"/>
      <c r="F4" s="1376"/>
      <c r="G4" s="1376"/>
      <c r="H4" s="1376"/>
      <c r="I4" s="1376"/>
      <c r="J4" s="1376"/>
      <c r="K4" s="1376"/>
      <c r="L4" s="1376"/>
      <c r="M4" s="1376"/>
      <c r="N4" s="1376"/>
      <c r="O4" s="1376"/>
      <c r="P4" s="1376"/>
      <c r="Q4" s="1376"/>
      <c r="R4" s="1376"/>
      <c r="S4" s="1376"/>
      <c r="T4" s="1376"/>
      <c r="U4" s="1376"/>
      <c r="V4" s="1376"/>
      <c r="W4" s="1376"/>
      <c r="X4" s="1376"/>
      <c r="Y4" s="1374"/>
    </row>
    <row r="5" spans="1:25" ht="15.75">
      <c r="A5" s="1374"/>
      <c r="B5" s="1543" t="s">
        <v>5300</v>
      </c>
      <c r="C5" s="1544"/>
      <c r="D5" s="1544"/>
      <c r="E5" s="1544"/>
      <c r="F5" s="1544"/>
      <c r="G5" s="1544"/>
      <c r="H5" s="1544"/>
      <c r="I5" s="1544"/>
      <c r="J5" s="1544"/>
      <c r="K5" s="1544"/>
      <c r="L5" s="1544"/>
      <c r="M5" s="1544"/>
      <c r="N5" s="1544"/>
      <c r="O5" s="1544"/>
      <c r="P5" s="1544"/>
      <c r="Q5" s="1544"/>
      <c r="R5" s="1544"/>
      <c r="S5" s="1544"/>
      <c r="T5" s="1544"/>
      <c r="U5" s="1544"/>
      <c r="V5" s="1544"/>
      <c r="W5" s="1544"/>
      <c r="X5" s="1544"/>
      <c r="Y5" s="1374"/>
    </row>
    <row r="6" spans="1:25" ht="12.75">
      <c r="A6" s="1374"/>
      <c r="B6" s="1374"/>
      <c r="C6" s="1374"/>
      <c r="D6" s="1374"/>
      <c r="E6" s="1374"/>
      <c r="F6" s="1374"/>
      <c r="G6" s="1374"/>
      <c r="H6" s="1374"/>
      <c r="I6" s="1374"/>
      <c r="J6" s="1374"/>
      <c r="K6" s="1374"/>
      <c r="L6" s="1374"/>
      <c r="M6" s="1374"/>
      <c r="N6" s="1374"/>
      <c r="O6" s="1374"/>
      <c r="P6" s="1374"/>
      <c r="Q6" s="1374"/>
      <c r="R6" s="1374"/>
      <c r="S6" s="1374"/>
      <c r="T6" s="1374"/>
      <c r="U6" s="1374"/>
      <c r="V6" s="1374"/>
      <c r="W6" s="1374"/>
      <c r="X6" s="1374"/>
      <c r="Y6" s="1374"/>
    </row>
    <row r="7" spans="1:25" ht="15.75">
      <c r="A7" s="1374"/>
      <c r="B7" s="1377" t="s">
        <v>4439</v>
      </c>
      <c r="C7" s="1378"/>
      <c r="D7" s="1378"/>
      <c r="E7" s="1378"/>
      <c r="F7" s="1378"/>
      <c r="G7" s="1378"/>
      <c r="H7" s="1378"/>
      <c r="I7" s="1378"/>
      <c r="J7" s="1378"/>
      <c r="K7" s="1378"/>
      <c r="L7" s="1378"/>
      <c r="M7" s="1378"/>
      <c r="N7" s="1378"/>
      <c r="O7" s="1378"/>
      <c r="P7" s="1378"/>
      <c r="Q7" s="1378"/>
      <c r="R7" s="1378"/>
      <c r="S7" s="1378"/>
      <c r="T7" s="1378"/>
      <c r="U7" s="1378"/>
      <c r="V7" s="1378"/>
      <c r="W7" s="1378"/>
      <c r="X7" s="1379" t="s">
        <v>5304</v>
      </c>
      <c r="Y7" s="1374"/>
    </row>
    <row r="8" spans="1:25" ht="6" customHeight="1">
      <c r="A8" s="1374"/>
      <c r="B8" s="1380"/>
      <c r="C8" s="1381"/>
      <c r="D8" s="1381"/>
      <c r="E8" s="1381"/>
      <c r="F8" s="1381"/>
      <c r="G8" s="1381"/>
      <c r="H8" s="1381"/>
      <c r="I8" s="1381"/>
      <c r="J8" s="1381"/>
      <c r="K8" s="1381"/>
      <c r="L8" s="1381"/>
      <c r="M8" s="1381"/>
      <c r="N8" s="1381"/>
      <c r="O8" s="1381"/>
      <c r="P8" s="1381"/>
      <c r="Q8" s="1381"/>
      <c r="R8" s="1381"/>
      <c r="S8" s="1381"/>
      <c r="T8" s="1381"/>
      <c r="U8" s="1381"/>
      <c r="V8" s="1381"/>
      <c r="W8" s="1381"/>
      <c r="X8" s="1382"/>
      <c r="Y8" s="1374"/>
    </row>
    <row r="9" spans="1:25" ht="15.75">
      <c r="A9" s="1374"/>
      <c r="B9" s="1380"/>
      <c r="C9" s="1383" t="s">
        <v>401</v>
      </c>
      <c r="D9" s="1381"/>
      <c r="E9" s="1381"/>
      <c r="F9" s="1381"/>
      <c r="G9" s="1381"/>
      <c r="H9" s="1381"/>
      <c r="I9" s="1381"/>
      <c r="J9" s="1381"/>
      <c r="K9" s="1381"/>
      <c r="L9" s="1381"/>
      <c r="M9" s="1381"/>
      <c r="N9" s="1381"/>
      <c r="O9" s="1381"/>
      <c r="P9" s="1381"/>
      <c r="Q9" s="1381"/>
      <c r="R9" s="1381"/>
      <c r="S9" s="1381"/>
      <c r="T9" s="1381"/>
      <c r="U9" s="1381"/>
      <c r="V9" s="1381"/>
      <c r="W9" s="1381"/>
      <c r="X9" s="1382"/>
      <c r="Y9" s="1374"/>
    </row>
    <row r="10" spans="1:25" ht="13.5" thickBot="1">
      <c r="A10" s="1374"/>
      <c r="B10" s="1380"/>
      <c r="C10" s="1381"/>
      <c r="D10" s="1381"/>
      <c r="E10" s="1381"/>
      <c r="F10" s="1381"/>
      <c r="G10" s="1381"/>
      <c r="H10" s="1381"/>
      <c r="I10" s="1381"/>
      <c r="J10" s="1381"/>
      <c r="K10" s="1381"/>
      <c r="L10" s="1381"/>
      <c r="M10" s="1381"/>
      <c r="N10" s="1381"/>
      <c r="O10" s="1381"/>
      <c r="P10" s="1381"/>
      <c r="Q10" s="1381"/>
      <c r="R10" s="1381"/>
      <c r="S10" s="1381"/>
      <c r="T10" s="1381"/>
      <c r="U10" s="1381"/>
      <c r="V10" s="1381"/>
      <c r="W10" s="1381"/>
      <c r="X10" s="1382"/>
      <c r="Y10" s="1374"/>
    </row>
    <row r="11" spans="1:25" ht="15.75" thickBot="1">
      <c r="A11" s="1374"/>
      <c r="B11" s="1380"/>
      <c r="C11" s="1381"/>
      <c r="D11" s="1381"/>
      <c r="E11" s="1545" t="s">
        <v>837</v>
      </c>
      <c r="F11" s="1546"/>
      <c r="G11" s="1546"/>
      <c r="H11" s="1546"/>
      <c r="I11" s="1547"/>
      <c r="J11" s="1384"/>
      <c r="K11" s="1385"/>
      <c r="L11" s="1545" t="s">
        <v>838</v>
      </c>
      <c r="M11" s="1546"/>
      <c r="N11" s="1546"/>
      <c r="O11" s="1546"/>
      <c r="P11" s="1547"/>
      <c r="Q11" s="1384"/>
      <c r="R11" s="1385"/>
      <c r="S11" s="1545" t="s">
        <v>839</v>
      </c>
      <c r="T11" s="1546"/>
      <c r="U11" s="1546"/>
      <c r="V11" s="1546"/>
      <c r="W11" s="1547"/>
      <c r="X11" s="1382"/>
      <c r="Y11" s="1374"/>
    </row>
    <row r="12" spans="1:25" ht="3" customHeight="1">
      <c r="A12" s="1374"/>
      <c r="B12" s="1380"/>
      <c r="C12" s="1381"/>
      <c r="D12" s="1381"/>
      <c r="E12" s="1384"/>
      <c r="F12" s="1384"/>
      <c r="G12" s="1384"/>
      <c r="H12" s="1384"/>
      <c r="I12" s="1384"/>
      <c r="J12" s="1384"/>
      <c r="K12" s="1385"/>
      <c r="L12" s="1384"/>
      <c r="M12" s="1384"/>
      <c r="N12" s="1384"/>
      <c r="O12" s="1384"/>
      <c r="P12" s="1384"/>
      <c r="Q12" s="1384"/>
      <c r="R12" s="1385"/>
      <c r="S12" s="1384"/>
      <c r="T12" s="1384"/>
      <c r="U12" s="1384"/>
      <c r="V12" s="1384"/>
      <c r="W12" s="1384"/>
      <c r="X12" s="1382"/>
      <c r="Y12" s="1374"/>
    </row>
    <row r="13" spans="1:25" ht="15">
      <c r="A13" s="1374"/>
      <c r="B13" s="1380"/>
      <c r="C13" s="1381"/>
      <c r="D13" s="1381"/>
      <c r="E13" s="1386" t="s">
        <v>4064</v>
      </c>
      <c r="F13" s="1386"/>
      <c r="G13" s="1386" t="s">
        <v>4065</v>
      </c>
      <c r="H13" s="1386"/>
      <c r="I13" s="1386" t="s">
        <v>4066</v>
      </c>
      <c r="J13" s="1386"/>
      <c r="K13" s="1387"/>
      <c r="L13" s="1386" t="s">
        <v>4064</v>
      </c>
      <c r="M13" s="1386"/>
      <c r="N13" s="1386" t="s">
        <v>4065</v>
      </c>
      <c r="O13" s="1386"/>
      <c r="P13" s="1386" t="s">
        <v>4066</v>
      </c>
      <c r="Q13" s="1386"/>
      <c r="R13" s="1387"/>
      <c r="S13" s="1386" t="s">
        <v>4064</v>
      </c>
      <c r="T13" s="1386"/>
      <c r="U13" s="1386" t="s">
        <v>4065</v>
      </c>
      <c r="V13" s="1386"/>
      <c r="W13" s="1386" t="s">
        <v>4066</v>
      </c>
      <c r="X13" s="1382"/>
      <c r="Y13" s="1374"/>
    </row>
    <row r="14" spans="1:25" ht="3" customHeight="1" thickBot="1">
      <c r="A14" s="1374"/>
      <c r="B14" s="1380"/>
      <c r="C14" s="1381"/>
      <c r="D14" s="1381"/>
      <c r="E14" s="1384"/>
      <c r="F14" s="1384"/>
      <c r="G14" s="1384"/>
      <c r="H14" s="1384"/>
      <c r="I14" s="1384"/>
      <c r="J14" s="1384"/>
      <c r="K14" s="1385"/>
      <c r="L14" s="1384"/>
      <c r="M14" s="1384"/>
      <c r="N14" s="1384"/>
      <c r="O14" s="1384"/>
      <c r="P14" s="1384"/>
      <c r="Q14" s="1384"/>
      <c r="R14" s="1385"/>
      <c r="S14" s="1384"/>
      <c r="T14" s="1384"/>
      <c r="U14" s="1384"/>
      <c r="V14" s="1384"/>
      <c r="W14" s="1384"/>
      <c r="X14" s="1382"/>
      <c r="Y14" s="1374"/>
    </row>
    <row r="15" spans="1:25" ht="15.75" thickBot="1">
      <c r="A15" s="1374"/>
      <c r="B15" s="1380"/>
      <c r="C15" s="1388" t="s">
        <v>4253</v>
      </c>
      <c r="D15" s="1381"/>
      <c r="E15" s="1389" t="e">
        <v>#N/A</v>
      </c>
      <c r="F15" s="1390"/>
      <c r="G15" s="1389">
        <v>0</v>
      </c>
      <c r="H15" s="1390"/>
      <c r="I15" s="1389">
        <v>0</v>
      </c>
      <c r="J15" s="1390"/>
      <c r="K15" s="1391"/>
      <c r="L15" s="1389" t="e">
        <v>#VALUE!</v>
      </c>
      <c r="M15" s="1390"/>
      <c r="N15" s="1389">
        <v>0</v>
      </c>
      <c r="O15" s="1390"/>
      <c r="P15" s="1389">
        <v>0</v>
      </c>
      <c r="Q15" s="1390"/>
      <c r="R15" s="1391"/>
      <c r="S15" s="1389" t="e">
        <v>#VALUE!</v>
      </c>
      <c r="T15" s="1390"/>
      <c r="U15" s="1389">
        <v>0</v>
      </c>
      <c r="V15" s="1390"/>
      <c r="W15" s="1389">
        <v>0</v>
      </c>
      <c r="X15" s="1382"/>
      <c r="Y15" s="1374"/>
    </row>
    <row r="16" spans="1:25" ht="6" customHeight="1" thickBot="1">
      <c r="A16" s="1374"/>
      <c r="B16" s="1380"/>
      <c r="C16" s="1392"/>
      <c r="D16" s="1381"/>
      <c r="E16" s="1390"/>
      <c r="F16" s="1390"/>
      <c r="G16" s="1390"/>
      <c r="H16" s="1390"/>
      <c r="I16" s="1390"/>
      <c r="J16" s="1390"/>
      <c r="K16" s="1391"/>
      <c r="L16" s="1390"/>
      <c r="M16" s="1390"/>
      <c r="N16" s="1390"/>
      <c r="O16" s="1390"/>
      <c r="P16" s="1390"/>
      <c r="Q16" s="1390"/>
      <c r="R16" s="1391"/>
      <c r="S16" s="1390"/>
      <c r="T16" s="1390"/>
      <c r="U16" s="1390"/>
      <c r="V16" s="1390"/>
      <c r="W16" s="1390"/>
      <c r="X16" s="1382"/>
      <c r="Y16" s="1374"/>
    </row>
    <row r="17" spans="1:25" ht="15.75" thickBot="1">
      <c r="A17" s="1374"/>
      <c r="B17" s="1380"/>
      <c r="C17" s="1393" t="s">
        <v>1593</v>
      </c>
      <c r="D17" s="1381"/>
      <c r="E17" s="1394" t="e">
        <v>#N/A</v>
      </c>
      <c r="F17" s="1390"/>
      <c r="G17" s="1394">
        <v>0</v>
      </c>
      <c r="H17" s="1390"/>
      <c r="I17" s="1394">
        <v>0</v>
      </c>
      <c r="J17" s="1390"/>
      <c r="K17" s="1391"/>
      <c r="L17" s="1394" t="e">
        <v>#VALUE!</v>
      </c>
      <c r="M17" s="1390"/>
      <c r="N17" s="1394">
        <v>0</v>
      </c>
      <c r="O17" s="1390"/>
      <c r="P17" s="1394">
        <v>0</v>
      </c>
      <c r="Q17" s="1390"/>
      <c r="R17" s="1391"/>
      <c r="S17" s="1394" t="e">
        <v>#VALUE!</v>
      </c>
      <c r="T17" s="1390"/>
      <c r="U17" s="1394">
        <v>0</v>
      </c>
      <c r="V17" s="1390"/>
      <c r="W17" s="1394">
        <v>0</v>
      </c>
      <c r="X17" s="1382"/>
      <c r="Y17" s="1374"/>
    </row>
    <row r="18" spans="1:25" ht="6" customHeight="1" thickBot="1">
      <c r="A18" s="1374"/>
      <c r="B18" s="1380"/>
      <c r="C18" s="1392"/>
      <c r="D18" s="1381"/>
      <c r="E18" s="1390"/>
      <c r="F18" s="1390"/>
      <c r="G18" s="1390"/>
      <c r="H18" s="1390"/>
      <c r="I18" s="1390"/>
      <c r="J18" s="1390"/>
      <c r="K18" s="1391"/>
      <c r="L18" s="1390"/>
      <c r="M18" s="1390"/>
      <c r="N18" s="1390"/>
      <c r="O18" s="1390"/>
      <c r="P18" s="1390"/>
      <c r="Q18" s="1390"/>
      <c r="R18" s="1391"/>
      <c r="S18" s="1390"/>
      <c r="T18" s="1390"/>
      <c r="U18" s="1390"/>
      <c r="V18" s="1390"/>
      <c r="W18" s="1390"/>
      <c r="X18" s="1382"/>
      <c r="Y18" s="1374"/>
    </row>
    <row r="19" spans="1:25" ht="15.75" thickBot="1">
      <c r="A19" s="1374"/>
      <c r="B19" s="1380"/>
      <c r="C19" s="1395" t="s">
        <v>984</v>
      </c>
      <c r="D19" s="1381"/>
      <c r="E19" s="1396" t="e">
        <v>#N/A</v>
      </c>
      <c r="F19" s="1390"/>
      <c r="G19" s="1396">
        <v>0</v>
      </c>
      <c r="H19" s="1390"/>
      <c r="I19" s="1396">
        <v>0</v>
      </c>
      <c r="J19" s="1390"/>
      <c r="K19" s="1391"/>
      <c r="L19" s="1396" t="e">
        <v>#VALUE!</v>
      </c>
      <c r="M19" s="1390"/>
      <c r="N19" s="1396">
        <v>0</v>
      </c>
      <c r="O19" s="1390"/>
      <c r="P19" s="1396">
        <v>0</v>
      </c>
      <c r="Q19" s="1390"/>
      <c r="R19" s="1391"/>
      <c r="S19" s="1396" t="e">
        <v>#VALUE!</v>
      </c>
      <c r="T19" s="1390"/>
      <c r="U19" s="1396">
        <v>0</v>
      </c>
      <c r="V19" s="1390"/>
      <c r="W19" s="1396">
        <v>0</v>
      </c>
      <c r="X19" s="1382"/>
      <c r="Y19" s="1374"/>
    </row>
    <row r="20" spans="1:25" ht="15">
      <c r="A20" s="1374"/>
      <c r="B20" s="1380"/>
      <c r="C20" s="1381"/>
      <c r="D20" s="1381"/>
      <c r="E20" s="1397"/>
      <c r="F20" s="1397"/>
      <c r="G20" s="1397"/>
      <c r="H20" s="1397"/>
      <c r="I20" s="1397"/>
      <c r="J20" s="1397"/>
      <c r="K20" s="1397"/>
      <c r="L20" s="1397"/>
      <c r="M20" s="1397"/>
      <c r="N20" s="1397"/>
      <c r="O20" s="1397"/>
      <c r="P20" s="1397"/>
      <c r="Q20" s="1397"/>
      <c r="R20" s="1397"/>
      <c r="S20" s="1397"/>
      <c r="T20" s="1397"/>
      <c r="U20" s="1397"/>
      <c r="V20" s="1397"/>
      <c r="W20" s="1397"/>
      <c r="X20" s="1382"/>
      <c r="Y20" s="1374"/>
    </row>
    <row r="21" spans="1:25" ht="15">
      <c r="A21" s="1374"/>
      <c r="B21" s="1380"/>
      <c r="C21" s="1381"/>
      <c r="D21" s="1381"/>
      <c r="E21" s="1397"/>
      <c r="F21" s="1397"/>
      <c r="G21" s="1397"/>
      <c r="H21" s="1397"/>
      <c r="I21" s="1397"/>
      <c r="J21" s="1397"/>
      <c r="K21" s="1397"/>
      <c r="L21" s="1397"/>
      <c r="M21" s="1397"/>
      <c r="N21" s="1397"/>
      <c r="O21" s="1397"/>
      <c r="P21" s="1397"/>
      <c r="Q21" s="1397"/>
      <c r="R21" s="1397"/>
      <c r="S21" s="1397"/>
      <c r="T21" s="1397"/>
      <c r="U21" s="1397"/>
      <c r="V21" s="1397"/>
      <c r="W21" s="1397"/>
      <c r="X21" s="1382"/>
      <c r="Y21" s="1374"/>
    </row>
    <row r="22" spans="1:25" ht="15.75">
      <c r="A22" s="1374"/>
      <c r="B22" s="1380"/>
      <c r="C22" s="1383" t="s">
        <v>1889</v>
      </c>
      <c r="D22" s="1381"/>
      <c r="E22" s="1397"/>
      <c r="F22" s="1397"/>
      <c r="G22" s="1397"/>
      <c r="H22" s="1397"/>
      <c r="I22" s="1397"/>
      <c r="J22" s="1397"/>
      <c r="K22" s="1397"/>
      <c r="L22" s="1397"/>
      <c r="M22" s="1397"/>
      <c r="N22" s="1397"/>
      <c r="O22" s="1397"/>
      <c r="P22" s="1397"/>
      <c r="Q22" s="1397"/>
      <c r="R22" s="1397"/>
      <c r="S22" s="1397"/>
      <c r="T22" s="1397"/>
      <c r="U22" s="1397"/>
      <c r="V22" s="1397"/>
      <c r="W22" s="1397"/>
      <c r="X22" s="1382"/>
      <c r="Y22" s="1374"/>
    </row>
    <row r="23" spans="1:25" ht="15.75" thickBot="1">
      <c r="A23" s="1374"/>
      <c r="B23" s="1380"/>
      <c r="C23" s="1381"/>
      <c r="D23" s="1381"/>
      <c r="E23" s="1397"/>
      <c r="F23" s="1397"/>
      <c r="G23" s="1397"/>
      <c r="H23" s="1397"/>
      <c r="I23" s="1397"/>
      <c r="J23" s="1397"/>
      <c r="K23" s="1397"/>
      <c r="L23" s="1397"/>
      <c r="M23" s="1397"/>
      <c r="N23" s="1397"/>
      <c r="O23" s="1397"/>
      <c r="P23" s="1397"/>
      <c r="Q23" s="1397"/>
      <c r="R23" s="1397"/>
      <c r="S23" s="1397"/>
      <c r="T23" s="1397"/>
      <c r="U23" s="1397"/>
      <c r="V23" s="1397"/>
      <c r="W23" s="1397"/>
      <c r="X23" s="1382"/>
      <c r="Y23" s="1374"/>
    </row>
    <row r="24" spans="1:25" ht="15.75" thickBot="1">
      <c r="A24" s="1374"/>
      <c r="B24" s="1380"/>
      <c r="C24" s="1381"/>
      <c r="D24" s="1381"/>
      <c r="E24" s="1540" t="s">
        <v>837</v>
      </c>
      <c r="F24" s="1541"/>
      <c r="G24" s="1541"/>
      <c r="H24" s="1541"/>
      <c r="I24" s="1542"/>
      <c r="J24" s="1397"/>
      <c r="K24" s="1398"/>
      <c r="L24" s="1540" t="s">
        <v>838</v>
      </c>
      <c r="M24" s="1541"/>
      <c r="N24" s="1541"/>
      <c r="O24" s="1541"/>
      <c r="P24" s="1542"/>
      <c r="Q24" s="1397"/>
      <c r="R24" s="1398"/>
      <c r="S24" s="1540" t="s">
        <v>839</v>
      </c>
      <c r="T24" s="1541"/>
      <c r="U24" s="1541"/>
      <c r="V24" s="1541"/>
      <c r="W24" s="1542"/>
      <c r="X24" s="1382"/>
      <c r="Y24" s="1374"/>
    </row>
    <row r="25" spans="1:25" ht="3" customHeight="1">
      <c r="A25" s="1374"/>
      <c r="B25" s="1380"/>
      <c r="C25" s="1381"/>
      <c r="D25" s="1381"/>
      <c r="E25" s="1397"/>
      <c r="F25" s="1397"/>
      <c r="G25" s="1397"/>
      <c r="H25" s="1397"/>
      <c r="I25" s="1397"/>
      <c r="J25" s="1397"/>
      <c r="K25" s="1398"/>
      <c r="L25" s="1397"/>
      <c r="M25" s="1397"/>
      <c r="N25" s="1397"/>
      <c r="O25" s="1397"/>
      <c r="P25" s="1397"/>
      <c r="Q25" s="1397"/>
      <c r="R25" s="1398"/>
      <c r="S25" s="1397"/>
      <c r="T25" s="1397"/>
      <c r="U25" s="1397"/>
      <c r="V25" s="1397"/>
      <c r="W25" s="1397"/>
      <c r="X25" s="1382"/>
      <c r="Y25" s="1374"/>
    </row>
    <row r="26" spans="1:25" ht="15">
      <c r="A26" s="1374"/>
      <c r="B26" s="1380"/>
      <c r="C26" s="1381"/>
      <c r="D26" s="1381"/>
      <c r="E26" s="1399" t="s">
        <v>4064</v>
      </c>
      <c r="F26" s="1399"/>
      <c r="G26" s="1399" t="s">
        <v>4065</v>
      </c>
      <c r="H26" s="1399"/>
      <c r="I26" s="1399" t="s">
        <v>4066</v>
      </c>
      <c r="J26" s="1399"/>
      <c r="K26" s="1400"/>
      <c r="L26" s="1399" t="s">
        <v>4064</v>
      </c>
      <c r="M26" s="1399"/>
      <c r="N26" s="1399" t="s">
        <v>4065</v>
      </c>
      <c r="O26" s="1399"/>
      <c r="P26" s="1399" t="s">
        <v>4066</v>
      </c>
      <c r="Q26" s="1399"/>
      <c r="R26" s="1400"/>
      <c r="S26" s="1399" t="s">
        <v>4064</v>
      </c>
      <c r="T26" s="1399"/>
      <c r="U26" s="1399" t="s">
        <v>4065</v>
      </c>
      <c r="V26" s="1399"/>
      <c r="W26" s="1399" t="s">
        <v>4066</v>
      </c>
      <c r="X26" s="1382"/>
      <c r="Y26" s="1374"/>
    </row>
    <row r="27" spans="1:25" ht="3" customHeight="1" thickBot="1">
      <c r="A27" s="1374"/>
      <c r="B27" s="1380"/>
      <c r="C27" s="1381"/>
      <c r="D27" s="1381"/>
      <c r="E27" s="1397"/>
      <c r="F27" s="1397"/>
      <c r="G27" s="1397"/>
      <c r="H27" s="1397"/>
      <c r="I27" s="1397"/>
      <c r="J27" s="1397"/>
      <c r="K27" s="1398"/>
      <c r="L27" s="1397"/>
      <c r="M27" s="1397"/>
      <c r="N27" s="1397"/>
      <c r="O27" s="1397"/>
      <c r="P27" s="1397"/>
      <c r="Q27" s="1397"/>
      <c r="R27" s="1398"/>
      <c r="S27" s="1397"/>
      <c r="T27" s="1397"/>
      <c r="U27" s="1397"/>
      <c r="V27" s="1397"/>
      <c r="W27" s="1397"/>
      <c r="X27" s="1382"/>
      <c r="Y27" s="1374"/>
    </row>
    <row r="28" spans="1:25" ht="15.75" thickBot="1">
      <c r="A28" s="1374"/>
      <c r="B28" s="1380"/>
      <c r="C28" s="1388" t="s">
        <v>4253</v>
      </c>
      <c r="D28" s="1381"/>
      <c r="E28" s="1389" t="e">
        <v>#N/A</v>
      </c>
      <c r="F28" s="1390"/>
      <c r="G28" s="1389">
        <v>0</v>
      </c>
      <c r="H28" s="1390"/>
      <c r="I28" s="1389">
        <v>0</v>
      </c>
      <c r="J28" s="1390"/>
      <c r="K28" s="1391"/>
      <c r="L28" s="1389" t="e">
        <v>#VALUE!</v>
      </c>
      <c r="M28" s="1390"/>
      <c r="N28" s="1389">
        <v>0</v>
      </c>
      <c r="O28" s="1390"/>
      <c r="P28" s="1389">
        <v>0</v>
      </c>
      <c r="Q28" s="1390"/>
      <c r="R28" s="1391"/>
      <c r="S28" s="1389" t="e">
        <v>#VALUE!</v>
      </c>
      <c r="T28" s="1390"/>
      <c r="U28" s="1389">
        <v>0</v>
      </c>
      <c r="V28" s="1390"/>
      <c r="W28" s="1389">
        <v>0</v>
      </c>
      <c r="X28" s="1382"/>
      <c r="Y28" s="1374"/>
    </row>
    <row r="29" spans="1:25" ht="15.75" thickBot="1">
      <c r="A29" s="1374"/>
      <c r="B29" s="1380"/>
      <c r="C29" s="1392"/>
      <c r="D29" s="1381"/>
      <c r="E29" s="1390"/>
      <c r="F29" s="1390"/>
      <c r="G29" s="1390"/>
      <c r="H29" s="1390"/>
      <c r="I29" s="1390"/>
      <c r="J29" s="1390"/>
      <c r="K29" s="1391"/>
      <c r="L29" s="1390"/>
      <c r="M29" s="1390"/>
      <c r="N29" s="1390"/>
      <c r="O29" s="1390"/>
      <c r="P29" s="1390"/>
      <c r="Q29" s="1390"/>
      <c r="R29" s="1391"/>
      <c r="S29" s="1390"/>
      <c r="T29" s="1390"/>
      <c r="U29" s="1390"/>
      <c r="V29" s="1390"/>
      <c r="W29" s="1390"/>
      <c r="X29" s="1382"/>
      <c r="Y29" s="1374"/>
    </row>
    <row r="30" spans="1:25" ht="15.75" thickBot="1">
      <c r="A30" s="1374"/>
      <c r="B30" s="1380"/>
      <c r="C30" s="1393" t="s">
        <v>1593</v>
      </c>
      <c r="D30" s="1381"/>
      <c r="E30" s="1394" t="e">
        <v>#N/A</v>
      </c>
      <c r="F30" s="1390"/>
      <c r="G30" s="1394">
        <v>0</v>
      </c>
      <c r="H30" s="1390"/>
      <c r="I30" s="1394">
        <v>0</v>
      </c>
      <c r="J30" s="1390"/>
      <c r="K30" s="1391"/>
      <c r="L30" s="1394" t="e">
        <v>#VALUE!</v>
      </c>
      <c r="M30" s="1390"/>
      <c r="N30" s="1394">
        <v>0</v>
      </c>
      <c r="O30" s="1390"/>
      <c r="P30" s="1394">
        <v>0</v>
      </c>
      <c r="Q30" s="1390"/>
      <c r="R30" s="1391"/>
      <c r="S30" s="1394" t="e">
        <v>#VALUE!</v>
      </c>
      <c r="T30" s="1390"/>
      <c r="U30" s="1394">
        <v>0</v>
      </c>
      <c r="V30" s="1390"/>
      <c r="W30" s="1394">
        <v>0</v>
      </c>
      <c r="X30" s="1382"/>
      <c r="Y30" s="1374"/>
    </row>
    <row r="31" spans="1:25" ht="15.75" thickBot="1">
      <c r="A31" s="1374"/>
      <c r="B31" s="1380"/>
      <c r="C31" s="1392"/>
      <c r="D31" s="1381"/>
      <c r="E31" s="1390"/>
      <c r="F31" s="1390"/>
      <c r="G31" s="1390"/>
      <c r="H31" s="1390"/>
      <c r="I31" s="1390"/>
      <c r="J31" s="1390"/>
      <c r="K31" s="1391"/>
      <c r="L31" s="1390"/>
      <c r="M31" s="1390"/>
      <c r="N31" s="1390"/>
      <c r="O31" s="1390"/>
      <c r="P31" s="1390"/>
      <c r="Q31" s="1390"/>
      <c r="R31" s="1391"/>
      <c r="S31" s="1390"/>
      <c r="T31" s="1390"/>
      <c r="U31" s="1390"/>
      <c r="V31" s="1390"/>
      <c r="W31" s="1390"/>
      <c r="X31" s="1382"/>
      <c r="Y31" s="1374"/>
    </row>
    <row r="32" spans="1:25" ht="15.75" thickBot="1">
      <c r="A32" s="1374"/>
      <c r="B32" s="1380"/>
      <c r="C32" s="1395" t="s">
        <v>984</v>
      </c>
      <c r="D32" s="1381"/>
      <c r="E32" s="1396" t="e">
        <v>#N/A</v>
      </c>
      <c r="F32" s="1390"/>
      <c r="G32" s="1396">
        <v>0</v>
      </c>
      <c r="H32" s="1390"/>
      <c r="I32" s="1396">
        <v>0</v>
      </c>
      <c r="J32" s="1390"/>
      <c r="K32" s="1391"/>
      <c r="L32" s="1396" t="e">
        <v>#VALUE!</v>
      </c>
      <c r="M32" s="1390"/>
      <c r="N32" s="1396">
        <v>0</v>
      </c>
      <c r="O32" s="1390"/>
      <c r="P32" s="1396">
        <v>0</v>
      </c>
      <c r="Q32" s="1390"/>
      <c r="R32" s="1391"/>
      <c r="S32" s="1396" t="e">
        <v>#VALUE!</v>
      </c>
      <c r="T32" s="1390"/>
      <c r="U32" s="1396">
        <v>0</v>
      </c>
      <c r="V32" s="1390"/>
      <c r="W32" s="1396">
        <v>0</v>
      </c>
      <c r="X32" s="1382"/>
      <c r="Y32" s="1374"/>
    </row>
    <row r="33" spans="1:31" ht="19.5" customHeight="1">
      <c r="A33" s="1374"/>
      <c r="B33" s="1401"/>
      <c r="C33" s="1402"/>
      <c r="D33" s="1402"/>
      <c r="E33" s="1402"/>
      <c r="F33" s="1402"/>
      <c r="G33" s="1402"/>
      <c r="H33" s="1402"/>
      <c r="I33" s="1402"/>
      <c r="J33" s="1402"/>
      <c r="K33" s="1402"/>
      <c r="L33" s="1402"/>
      <c r="M33" s="1402"/>
      <c r="N33" s="1402"/>
      <c r="O33" s="1402"/>
      <c r="P33" s="1402"/>
      <c r="Q33" s="1402"/>
      <c r="R33" s="1402"/>
      <c r="S33" s="1402"/>
      <c r="T33" s="1402"/>
      <c r="U33" s="1402"/>
      <c r="V33" s="1402"/>
      <c r="W33" s="1402"/>
      <c r="X33" s="1403"/>
      <c r="Y33" s="1374"/>
    </row>
    <row r="34" spans="1:31" ht="12.75">
      <c r="A34" s="1374"/>
      <c r="B34" s="1374"/>
      <c r="C34" s="1374"/>
      <c r="D34" s="1374"/>
      <c r="E34" s="1374"/>
      <c r="F34" s="1374"/>
      <c r="G34" s="1374"/>
      <c r="H34" s="1374"/>
      <c r="I34" s="1374"/>
      <c r="J34" s="1374"/>
      <c r="K34" s="1374"/>
      <c r="L34" s="1374"/>
      <c r="M34" s="1374"/>
      <c r="N34" s="1374"/>
      <c r="O34" s="1374"/>
      <c r="P34" s="1374"/>
      <c r="Q34" s="1374"/>
      <c r="R34" s="1374"/>
      <c r="S34" s="1374"/>
      <c r="T34" s="1374"/>
      <c r="U34" s="1374"/>
      <c r="V34" s="1374"/>
      <c r="W34" s="1374"/>
      <c r="X34" s="1374"/>
      <c r="Y34" s="1374"/>
    </row>
    <row r="35" spans="1:31" ht="12.75">
      <c r="A35" s="1374"/>
      <c r="B35" s="1374"/>
      <c r="C35" s="1374"/>
      <c r="D35" s="1374"/>
      <c r="E35" s="1374"/>
      <c r="F35" s="1374"/>
      <c r="G35" s="1374"/>
      <c r="H35" s="1374"/>
      <c r="I35" s="1374"/>
      <c r="J35" s="1374"/>
      <c r="K35" s="1374"/>
      <c r="L35" s="1374"/>
      <c r="M35" s="1374"/>
      <c r="N35" s="1374"/>
      <c r="O35" s="1374"/>
      <c r="P35" s="1374"/>
      <c r="Q35" s="1374"/>
      <c r="R35" s="1374"/>
      <c r="S35" s="1374"/>
      <c r="T35" s="1374"/>
      <c r="U35" s="1374"/>
      <c r="V35" s="1374"/>
      <c r="W35" s="1374"/>
      <c r="X35" s="1374"/>
      <c r="Y35" s="1374"/>
    </row>
    <row r="36" spans="1:31" ht="12.75">
      <c r="A36" s="1374"/>
      <c r="B36" s="1374"/>
      <c r="C36" s="1374"/>
      <c r="D36" s="1374"/>
      <c r="E36" s="1374"/>
      <c r="F36" s="1374"/>
      <c r="G36" s="1374"/>
      <c r="H36" s="1374"/>
      <c r="I36" s="1374"/>
      <c r="J36" s="1374"/>
      <c r="K36" s="1374"/>
      <c r="L36" s="1374"/>
      <c r="M36" s="1374"/>
      <c r="N36" s="1374"/>
      <c r="O36" s="1374"/>
      <c r="P36" s="1374"/>
      <c r="Q36" s="1374"/>
      <c r="R36" s="1374"/>
      <c r="S36" s="1374"/>
      <c r="T36" s="1374"/>
      <c r="U36" s="1374"/>
      <c r="V36" s="1374"/>
      <c r="W36" s="1374"/>
      <c r="X36" s="1374"/>
      <c r="Y36" s="1374"/>
    </row>
    <row r="37" spans="1:31" ht="12.75">
      <c r="A37" s="1374"/>
      <c r="B37" s="1374"/>
      <c r="C37" s="1374"/>
      <c r="D37" s="1374"/>
      <c r="E37" s="1374"/>
      <c r="F37" s="1374"/>
      <c r="G37" s="1374"/>
      <c r="H37" s="1374"/>
      <c r="I37" s="1374"/>
      <c r="J37" s="1374"/>
      <c r="K37" s="1374"/>
      <c r="L37" s="1374"/>
      <c r="M37" s="1374"/>
      <c r="N37" s="1374"/>
      <c r="O37" s="1374"/>
      <c r="P37" s="1374"/>
      <c r="Q37" s="1374"/>
      <c r="R37" s="1374"/>
      <c r="S37" s="1374"/>
      <c r="T37" s="1374"/>
      <c r="U37" s="1374"/>
      <c r="V37" s="1374"/>
      <c r="W37" s="1374"/>
      <c r="X37" s="1374"/>
      <c r="Y37" s="1374"/>
    </row>
    <row r="38" spans="1:31" ht="12.75">
      <c r="A38" s="1374"/>
      <c r="B38" s="1374"/>
      <c r="C38" s="1374"/>
      <c r="D38" s="1374"/>
      <c r="E38" s="1374"/>
      <c r="F38" s="1374"/>
      <c r="G38" s="1374"/>
      <c r="H38" s="1374"/>
      <c r="I38" s="1374"/>
      <c r="J38" s="1374"/>
      <c r="K38" s="1374"/>
      <c r="L38" s="1374"/>
      <c r="M38" s="1374"/>
      <c r="N38" s="1374"/>
      <c r="O38" s="1374"/>
      <c r="P38" s="1374"/>
      <c r="Q38" s="1374"/>
      <c r="R38" s="1374"/>
      <c r="S38" s="1374"/>
      <c r="T38" s="1374"/>
      <c r="U38" s="1374"/>
      <c r="V38" s="1374"/>
      <c r="W38" s="1374"/>
      <c r="X38" s="1374"/>
      <c r="Y38" s="1374"/>
    </row>
    <row r="39" spans="1:31" ht="12.75">
      <c r="A39" s="1374"/>
      <c r="B39" s="1374"/>
      <c r="C39" s="1374"/>
      <c r="D39" s="1374"/>
      <c r="E39" s="1374"/>
      <c r="F39" s="1374"/>
      <c r="G39" s="1374"/>
      <c r="H39" s="1374"/>
      <c r="I39" s="1374"/>
      <c r="J39" s="1374"/>
      <c r="K39" s="1374"/>
      <c r="L39" s="1374"/>
      <c r="M39" s="1374"/>
      <c r="N39" s="1374"/>
      <c r="O39" s="1374"/>
      <c r="P39" s="1374"/>
      <c r="Q39" s="1374"/>
      <c r="R39" s="1374"/>
      <c r="S39" s="1374"/>
      <c r="T39" s="1374"/>
      <c r="U39" s="1374"/>
      <c r="V39" s="1374"/>
      <c r="W39" s="1374"/>
      <c r="X39" s="1374"/>
      <c r="Y39" s="1374"/>
      <c r="AD39" s="1337" t="s">
        <v>3293</v>
      </c>
    </row>
    <row r="40" spans="1:31" ht="12.75">
      <c r="A40" s="1374"/>
      <c r="B40" s="1374"/>
      <c r="C40" s="1374"/>
      <c r="D40" s="1374"/>
      <c r="E40" s="1374"/>
      <c r="F40" s="1374"/>
      <c r="G40" s="1374"/>
      <c r="H40" s="1374"/>
      <c r="I40" s="1374"/>
      <c r="J40" s="1374"/>
      <c r="K40" s="1374"/>
      <c r="L40" s="1374"/>
      <c r="M40" s="1374"/>
      <c r="N40" s="1374"/>
      <c r="O40" s="1374"/>
      <c r="P40" s="1374"/>
      <c r="Q40" s="1374"/>
      <c r="R40" s="1374"/>
      <c r="S40" s="1374"/>
      <c r="T40" s="1374"/>
      <c r="U40" s="1374"/>
      <c r="V40" s="1374"/>
      <c r="W40" s="1374"/>
      <c r="X40" s="1374"/>
      <c r="Y40" s="1374"/>
      <c r="AD40" s="1337" t="s">
        <v>3292</v>
      </c>
    </row>
    <row r="41" spans="1:31" ht="12.75">
      <c r="A41" s="1374"/>
      <c r="B41" s="1374"/>
      <c r="C41" s="1374"/>
      <c r="D41" s="1374"/>
      <c r="E41" s="1374"/>
      <c r="F41" s="1374"/>
      <c r="G41" s="1374"/>
      <c r="H41" s="1374"/>
      <c r="I41" s="1374"/>
      <c r="J41" s="1374"/>
      <c r="K41" s="1374"/>
      <c r="L41" s="1374"/>
      <c r="M41" s="1374"/>
      <c r="N41" s="1374"/>
      <c r="O41" s="1374"/>
      <c r="P41" s="1374"/>
      <c r="Q41" s="1374"/>
      <c r="R41" s="1374"/>
      <c r="S41" s="1374"/>
      <c r="T41" s="1374"/>
      <c r="U41" s="1374"/>
      <c r="V41" s="1374"/>
      <c r="W41" s="1374"/>
      <c r="X41" s="1374"/>
      <c r="Y41" s="1374"/>
    </row>
    <row r="42" spans="1:31" ht="12.75"/>
    <row r="43" spans="1:31" ht="12.75">
      <c r="AD43" s="1404" t="s">
        <v>24</v>
      </c>
      <c r="AE43" s="1405"/>
    </row>
    <row r="44" spans="1:31" ht="12.75">
      <c r="AD44" s="1404" t="s">
        <v>25</v>
      </c>
      <c r="AE44" s="1405"/>
    </row>
    <row r="45" spans="1:31" ht="12.75">
      <c r="AD45" s="1404" t="s">
        <v>26</v>
      </c>
      <c r="AE45" s="1405"/>
    </row>
    <row r="46" spans="1:31" ht="12.75">
      <c r="AD46" s="1404" t="s">
        <v>27</v>
      </c>
      <c r="AE46" s="1405"/>
    </row>
    <row r="47" spans="1:31" ht="12.75">
      <c r="AD47" s="1404" t="s">
        <v>28</v>
      </c>
      <c r="AE47" s="1405"/>
    </row>
    <row r="48" spans="1:31" ht="12.75">
      <c r="AD48" s="1404" t="s">
        <v>4522</v>
      </c>
      <c r="AE48" s="1405"/>
    </row>
    <row r="49" spans="30:31" ht="12.75">
      <c r="AD49" s="1404" t="s">
        <v>3294</v>
      </c>
      <c r="AE49" s="1405"/>
    </row>
  </sheetData>
  <mergeCells count="8">
    <mergeCell ref="E24:I24"/>
    <mergeCell ref="L24:P24"/>
    <mergeCell ref="S24:W24"/>
    <mergeCell ref="B3:X3"/>
    <mergeCell ref="B5:X5"/>
    <mergeCell ref="E11:I11"/>
    <mergeCell ref="L11:P11"/>
    <mergeCell ref="S11:W11"/>
  </mergeCells>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PNL2">
    <tabColor rgb="FF000099"/>
    <pageSetUpPr fitToPage="1"/>
  </sheetPr>
  <dimension ref="B1:S33"/>
  <sheetViews>
    <sheetView zoomScale="155" zoomScaleNormal="155" workbookViewId="0">
      <selection activeCell="H11" sqref="H11"/>
    </sheetView>
  </sheetViews>
  <sheetFormatPr defaultColWidth="18.83203125" defaultRowHeight="12.75" customHeight="1"/>
  <cols>
    <col min="1" max="1" width="1.83203125" style="1407" customWidth="1"/>
    <col min="2" max="2" width="8.83203125" style="1407" customWidth="1"/>
    <col min="3" max="3" width="13.83203125" style="1407" customWidth="1"/>
    <col min="4" max="5" width="1.83203125" style="1407" customWidth="1"/>
    <col min="6" max="6" width="23.1640625" style="1407" customWidth="1"/>
    <col min="7" max="7" width="1.83203125" style="1407" customWidth="1"/>
    <col min="8" max="8" width="14.33203125" style="1407" customWidth="1"/>
    <col min="9" max="9" width="1.83203125" style="1407" customWidth="1"/>
    <col min="10" max="10" width="16.33203125" style="1407" customWidth="1"/>
    <col min="11" max="11" width="1.83203125" style="1407" customWidth="1"/>
    <col min="12" max="12" width="16.33203125" style="1407" customWidth="1"/>
    <col min="13" max="13" width="1.83203125" style="1407" customWidth="1"/>
    <col min="14" max="14" width="16.33203125" style="1407" customWidth="1"/>
    <col min="15" max="15" width="1.83203125" style="1407" customWidth="1"/>
    <col min="16" max="16" width="17.83203125" style="1407" bestFit="1" customWidth="1"/>
    <col min="17" max="17" width="1.83203125" style="1407" customWidth="1"/>
    <col min="18" max="18" width="13.83203125" style="1407" customWidth="1"/>
    <col min="19" max="19" width="1.83203125" style="1407" customWidth="1"/>
    <col min="20" max="16384" width="18.83203125" style="1407"/>
  </cols>
  <sheetData>
    <row r="1" spans="2:19" ht="11.25">
      <c r="B1" s="1407" t="s">
        <v>2733</v>
      </c>
    </row>
    <row r="2" spans="2:19" ht="22.5" customHeight="1" thickBot="1"/>
    <row r="3" spans="2:19" ht="20.25" thickBot="1">
      <c r="C3" s="1408" t="s">
        <v>1470</v>
      </c>
      <c r="D3" s="1409"/>
      <c r="E3" s="1409"/>
      <c r="F3" s="1409"/>
      <c r="G3" s="1409"/>
      <c r="H3" s="1409"/>
      <c r="I3" s="1409"/>
      <c r="J3" s="1409"/>
      <c r="K3" s="1409"/>
      <c r="L3" s="1409"/>
      <c r="M3" s="1409"/>
      <c r="N3" s="1409"/>
      <c r="O3" s="1409"/>
      <c r="P3" s="1409"/>
      <c r="Q3" s="1409"/>
      <c r="R3" s="1409"/>
      <c r="S3" s="1410" t="s">
        <v>5304</v>
      </c>
    </row>
    <row r="4" spans="2:19">
      <c r="C4" s="1411"/>
      <c r="D4" s="922"/>
      <c r="E4" s="922"/>
      <c r="F4" s="922"/>
      <c r="G4" s="922"/>
      <c r="H4" s="922"/>
      <c r="I4" s="922"/>
      <c r="J4" s="922"/>
      <c r="K4" s="922"/>
      <c r="L4" s="922"/>
      <c r="M4" s="1412"/>
      <c r="N4" s="922"/>
      <c r="O4" s="922"/>
      <c r="P4" s="922"/>
      <c r="Q4" s="922"/>
      <c r="R4" s="922"/>
      <c r="S4" s="1413"/>
    </row>
    <row r="5" spans="2:19">
      <c r="C5" s="1411"/>
      <c r="D5" s="922"/>
      <c r="E5" s="922"/>
      <c r="F5" s="922"/>
      <c r="G5" s="922"/>
      <c r="H5" s="922"/>
      <c r="I5" s="922"/>
      <c r="J5" s="922"/>
      <c r="K5" s="922"/>
      <c r="L5" s="922"/>
      <c r="M5" s="1412"/>
      <c r="N5" s="922"/>
      <c r="O5" s="922"/>
      <c r="P5" s="1414" t="s">
        <v>635</v>
      </c>
      <c r="Q5" s="922"/>
      <c r="R5" s="922"/>
      <c r="S5" s="1413"/>
    </row>
    <row r="6" spans="2:19" ht="16.5" customHeight="1">
      <c r="C6" s="1411"/>
      <c r="D6" s="922"/>
      <c r="E6" s="922"/>
      <c r="F6" s="922"/>
      <c r="G6" s="922"/>
      <c r="J6" s="1415" t="s">
        <v>3293</v>
      </c>
      <c r="K6" s="922"/>
      <c r="L6" s="1416" t="s">
        <v>635</v>
      </c>
      <c r="M6" s="1412"/>
      <c r="N6" s="1417" t="s">
        <v>2311</v>
      </c>
      <c r="O6" s="922"/>
      <c r="P6" s="1418" t="s">
        <v>1340</v>
      </c>
      <c r="R6" s="1363"/>
      <c r="S6" s="1413"/>
    </row>
    <row r="7" spans="2:19">
      <c r="C7" s="1411"/>
      <c r="D7" s="922"/>
      <c r="E7" s="922"/>
      <c r="F7" s="922"/>
      <c r="G7" s="922"/>
      <c r="J7" s="1419" t="s">
        <v>837</v>
      </c>
      <c r="K7" s="1420"/>
      <c r="L7" s="1421" t="s">
        <v>838</v>
      </c>
      <c r="M7" s="1420"/>
      <c r="N7" s="1422" t="s">
        <v>839</v>
      </c>
      <c r="O7" s="1423"/>
      <c r="P7" s="1424"/>
      <c r="R7" s="1363"/>
      <c r="S7" s="1413"/>
    </row>
    <row r="8" spans="2:19" ht="15.75">
      <c r="C8" s="1411"/>
      <c r="D8" s="1359" t="s">
        <v>2707</v>
      </c>
      <c r="E8" s="1425"/>
      <c r="F8" s="1425"/>
      <c r="G8" s="1425"/>
      <c r="J8" s="1426">
        <v>58240000.000000007</v>
      </c>
      <c r="K8" s="1425"/>
      <c r="L8" s="1427">
        <v>34720000</v>
      </c>
      <c r="M8" s="1425"/>
      <c r="N8" s="1428">
        <v>24640000.000000004</v>
      </c>
      <c r="O8" s="1429"/>
      <c r="P8" s="1430">
        <v>117600000</v>
      </c>
      <c r="R8" s="1363"/>
      <c r="S8" s="1413"/>
    </row>
    <row r="9" spans="2:19" ht="6.75" customHeight="1">
      <c r="C9" s="1411"/>
      <c r="D9" s="1359"/>
      <c r="E9" s="922"/>
      <c r="F9" s="922"/>
      <c r="G9" s="922"/>
      <c r="J9" s="1429"/>
      <c r="K9" s="1425"/>
      <c r="L9" s="1425"/>
      <c r="M9" s="1425"/>
      <c r="N9" s="1431"/>
      <c r="O9" s="1429"/>
      <c r="P9" s="1424"/>
      <c r="R9" s="1363"/>
      <c r="S9" s="1413"/>
    </row>
    <row r="10" spans="2:19" ht="15.75">
      <c r="C10" s="1411"/>
      <c r="D10" s="1359"/>
      <c r="E10" s="922"/>
      <c r="F10" s="922" t="s">
        <v>2490</v>
      </c>
      <c r="G10" s="922"/>
      <c r="J10" s="1432">
        <v>47147510.763888896</v>
      </c>
      <c r="K10" s="1433"/>
      <c r="L10" s="1434">
        <v>27325007.175925925</v>
      </c>
      <c r="M10" s="1433"/>
      <c r="N10" s="1435">
        <v>17773220.949074075</v>
      </c>
      <c r="O10" s="1429"/>
      <c r="P10" s="1436">
        <v>92245738.888888896</v>
      </c>
      <c r="R10" s="1363"/>
      <c r="S10" s="1413"/>
    </row>
    <row r="11" spans="2:19" ht="15.75">
      <c r="C11" s="1411"/>
      <c r="D11" s="1359"/>
      <c r="E11" s="922"/>
      <c r="F11" s="922" t="s">
        <v>3049</v>
      </c>
      <c r="G11" s="922"/>
      <c r="J11" s="1432"/>
      <c r="K11" s="1433"/>
      <c r="L11" s="1434"/>
      <c r="M11" s="1433"/>
      <c r="N11" s="1435"/>
      <c r="O11" s="1429"/>
      <c r="P11" s="1436"/>
      <c r="R11" s="1363"/>
      <c r="S11" s="1413"/>
    </row>
    <row r="12" spans="2:19" ht="15.75">
      <c r="C12" s="1411"/>
      <c r="D12" s="1359"/>
      <c r="E12" s="922"/>
      <c r="F12" s="1437" t="s">
        <v>977</v>
      </c>
      <c r="G12" s="922"/>
      <c r="J12" s="1432"/>
      <c r="K12" s="1433"/>
      <c r="L12" s="1434"/>
      <c r="M12" s="1433"/>
      <c r="N12" s="1435"/>
      <c r="O12" s="1429"/>
      <c r="P12" s="1436"/>
      <c r="R12" s="1363"/>
      <c r="S12" s="1413"/>
    </row>
    <row r="13" spans="2:19" ht="15.75">
      <c r="C13" s="1411"/>
      <c r="D13" s="1359"/>
      <c r="E13" s="922"/>
      <c r="F13" s="1438" t="s">
        <v>3050</v>
      </c>
      <c r="G13" s="922"/>
      <c r="J13" s="1439">
        <v>192040.13888888888</v>
      </c>
      <c r="K13" s="1440"/>
      <c r="L13" s="1441">
        <v>128026.75925925924</v>
      </c>
      <c r="M13" s="1440"/>
      <c r="N13" s="1442">
        <v>118881.99074074079</v>
      </c>
      <c r="O13" s="1443"/>
      <c r="P13" s="1444">
        <v>438948.88888888888</v>
      </c>
      <c r="R13" s="1363"/>
      <c r="S13" s="1413"/>
    </row>
    <row r="14" spans="2:19" ht="15.75">
      <c r="C14" s="1411"/>
      <c r="D14" s="1359"/>
      <c r="E14" s="922"/>
      <c r="F14" s="1438" t="s">
        <v>3472</v>
      </c>
      <c r="G14" s="922"/>
      <c r="J14" s="1439">
        <v>0</v>
      </c>
      <c r="K14" s="1440"/>
      <c r="L14" s="1441">
        <v>0</v>
      </c>
      <c r="M14" s="1440"/>
      <c r="N14" s="1442">
        <v>0</v>
      </c>
      <c r="O14" s="1443"/>
      <c r="P14" s="1444">
        <v>0</v>
      </c>
      <c r="R14" s="1363"/>
      <c r="S14" s="1413"/>
    </row>
    <row r="15" spans="2:19" ht="15.75">
      <c r="C15" s="1411"/>
      <c r="D15" s="1359"/>
      <c r="E15" s="922"/>
      <c r="F15" s="922" t="s">
        <v>3403</v>
      </c>
      <c r="G15" s="922"/>
      <c r="J15" s="1439">
        <v>192040.13888888888</v>
      </c>
      <c r="K15" s="1440"/>
      <c r="L15" s="1441">
        <v>128026.75925925924</v>
      </c>
      <c r="M15" s="1440"/>
      <c r="N15" s="1442">
        <v>118881.99074074079</v>
      </c>
      <c r="O15" s="1443"/>
      <c r="P15" s="1444">
        <v>438948.88888888888</v>
      </c>
      <c r="R15" s="1363"/>
      <c r="S15" s="1413"/>
    </row>
    <row r="16" spans="2:19" ht="15.75">
      <c r="C16" s="1411"/>
      <c r="D16" s="1359"/>
      <c r="E16" s="922"/>
      <c r="F16" s="1437" t="s">
        <v>3404</v>
      </c>
      <c r="G16" s="922"/>
      <c r="J16" s="1439">
        <v>0</v>
      </c>
      <c r="K16" s="1440"/>
      <c r="L16" s="1441">
        <v>0</v>
      </c>
      <c r="M16" s="1440"/>
      <c r="N16" s="1442">
        <v>0</v>
      </c>
      <c r="O16" s="1443"/>
      <c r="P16" s="1444">
        <v>0</v>
      </c>
      <c r="R16" s="1363"/>
      <c r="S16" s="1413"/>
    </row>
    <row r="17" spans="3:19" ht="15.75">
      <c r="C17" s="1411"/>
      <c r="D17" s="1359"/>
      <c r="E17" s="1445"/>
      <c r="F17" s="1437" t="s">
        <v>3405</v>
      </c>
      <c r="G17" s="922"/>
      <c r="J17" s="1439">
        <v>0</v>
      </c>
      <c r="K17" s="1440"/>
      <c r="L17" s="1441">
        <v>0</v>
      </c>
      <c r="M17" s="1440"/>
      <c r="N17" s="1442">
        <v>0</v>
      </c>
      <c r="O17" s="1443"/>
      <c r="P17" s="1444">
        <v>0</v>
      </c>
      <c r="R17" s="1363"/>
      <c r="S17" s="1413"/>
    </row>
    <row r="18" spans="3:19" ht="15.75">
      <c r="C18" s="1411"/>
      <c r="D18" s="1359"/>
      <c r="E18" s="1445"/>
      <c r="F18" s="922" t="s">
        <v>986</v>
      </c>
      <c r="G18" s="922"/>
      <c r="J18" s="1432">
        <v>192040.13888888888</v>
      </c>
      <c r="K18" s="1433"/>
      <c r="L18" s="1434">
        <v>128026.75925925924</v>
      </c>
      <c r="M18" s="1433"/>
      <c r="N18" s="1435">
        <v>118881.99074074079</v>
      </c>
      <c r="O18" s="1425"/>
      <c r="P18" s="1436">
        <v>438948.88888888888</v>
      </c>
      <c r="R18" s="1363"/>
      <c r="S18" s="1413"/>
    </row>
    <row r="19" spans="3:19" ht="15.75">
      <c r="C19" s="1411"/>
      <c r="D19" s="1359"/>
      <c r="E19" s="922"/>
      <c r="F19" s="922" t="s">
        <v>3369</v>
      </c>
      <c r="G19" s="922"/>
      <c r="J19" s="1432">
        <v>6521509.7770514861</v>
      </c>
      <c r="K19" s="1433"/>
      <c r="L19" s="1434">
        <v>3771475.5337165217</v>
      </c>
      <c r="M19" s="1433"/>
      <c r="N19" s="1435">
        <v>2435744.6155252536</v>
      </c>
      <c r="O19" s="1429"/>
      <c r="P19" s="1436">
        <v>12728729.926293261</v>
      </c>
      <c r="R19" s="1363"/>
      <c r="S19" s="1413"/>
    </row>
    <row r="20" spans="3:19" ht="6" customHeight="1">
      <c r="C20" s="1411"/>
      <c r="D20" s="1359"/>
      <c r="E20" s="922"/>
      <c r="F20" s="922"/>
      <c r="G20" s="922"/>
      <c r="J20" s="1432"/>
      <c r="K20" s="1433"/>
      <c r="L20" s="1434"/>
      <c r="M20" s="1433"/>
      <c r="N20" s="1435"/>
      <c r="O20" s="1429"/>
      <c r="P20" s="1436"/>
      <c r="R20" s="1363"/>
      <c r="S20" s="1413"/>
    </row>
    <row r="21" spans="3:19">
      <c r="C21" s="1411"/>
      <c r="D21" s="1446" t="s">
        <v>3546</v>
      </c>
      <c r="E21" s="1447"/>
      <c r="F21" s="1448"/>
      <c r="G21" s="1448"/>
      <c r="H21" s="1449"/>
      <c r="I21" s="1449"/>
      <c r="J21" s="1450">
        <v>4378939.3201707378</v>
      </c>
      <c r="K21" s="1451"/>
      <c r="L21" s="1452">
        <v>3495490.5310982927</v>
      </c>
      <c r="M21" s="1451"/>
      <c r="N21" s="1453">
        <v>4312152.4446599353</v>
      </c>
      <c r="O21" s="1429"/>
      <c r="P21" s="1454">
        <v>12186582.295928963</v>
      </c>
      <c r="R21" s="1363"/>
      <c r="S21" s="1413"/>
    </row>
    <row r="22" spans="3:19" ht="15.75">
      <c r="C22" s="1411"/>
      <c r="D22" s="1359"/>
      <c r="E22" s="922"/>
      <c r="F22" s="922" t="s">
        <v>3547</v>
      </c>
      <c r="G22" s="922"/>
      <c r="J22" s="1455">
        <v>7.5187831733700847E-2</v>
      </c>
      <c r="K22" s="1425"/>
      <c r="L22" s="1456">
        <v>0.10067657059614898</v>
      </c>
      <c r="M22" s="1425"/>
      <c r="N22" s="1457">
        <v>0.17500618687743241</v>
      </c>
      <c r="O22" s="1429"/>
      <c r="P22" s="1458">
        <v>0.10362740047558641</v>
      </c>
      <c r="R22" s="1363"/>
      <c r="S22" s="1413"/>
    </row>
    <row r="23" spans="3:19" ht="15.75">
      <c r="C23" s="1411"/>
      <c r="D23" s="1359"/>
      <c r="E23" s="922" t="s">
        <v>1171</v>
      </c>
      <c r="F23" s="922"/>
      <c r="G23" s="922"/>
      <c r="J23" s="1432">
        <v>2451120.972222222</v>
      </c>
      <c r="K23" s="1433"/>
      <c r="L23" s="1434">
        <v>1634080.6481481481</v>
      </c>
      <c r="M23" s="1433"/>
      <c r="N23" s="1435">
        <v>1517360.6018518526</v>
      </c>
      <c r="O23" s="1429"/>
      <c r="P23" s="1436">
        <v>5602562.2222222229</v>
      </c>
      <c r="R23" s="1363"/>
      <c r="S23" s="1413"/>
    </row>
    <row r="24" spans="3:19" ht="15.75">
      <c r="C24" s="1411"/>
      <c r="D24" s="1359"/>
      <c r="E24" s="922" t="s">
        <v>1608</v>
      </c>
      <c r="F24" s="922"/>
      <c r="G24" s="922"/>
      <c r="J24" s="1432"/>
      <c r="K24" s="1433"/>
      <c r="L24" s="1434"/>
      <c r="M24" s="1433"/>
      <c r="N24" s="1435"/>
      <c r="O24" s="1429"/>
      <c r="P24" s="1459"/>
      <c r="R24" s="1363"/>
      <c r="S24" s="1413"/>
    </row>
    <row r="25" spans="3:19" ht="15.75">
      <c r="C25" s="1411"/>
      <c r="D25" s="1359"/>
      <c r="E25" s="922"/>
      <c r="F25" s="1437" t="s">
        <v>2354</v>
      </c>
      <c r="G25" s="922"/>
      <c r="J25" s="1432" t="e">
        <v>#NAME?</v>
      </c>
      <c r="K25" s="1433"/>
      <c r="L25" s="1434" t="e">
        <v>#NAME?</v>
      </c>
      <c r="M25" s="1433"/>
      <c r="N25" s="1435" t="e">
        <v>#NAME?</v>
      </c>
      <c r="O25" s="1429"/>
      <c r="P25" s="1436" t="e">
        <v>#NAME?</v>
      </c>
      <c r="R25" s="1363"/>
      <c r="S25" s="1413"/>
    </row>
    <row r="26" spans="3:19" ht="15.75">
      <c r="C26" s="1411"/>
      <c r="D26" s="1359"/>
      <c r="E26" s="922"/>
      <c r="F26" s="1437" t="s">
        <v>390</v>
      </c>
      <c r="G26" s="922"/>
      <c r="J26" s="1432">
        <v>0</v>
      </c>
      <c r="K26" s="1433"/>
      <c r="L26" s="1434">
        <v>0</v>
      </c>
      <c r="M26" s="1433"/>
      <c r="N26" s="1435">
        <v>0</v>
      </c>
      <c r="O26" s="1429"/>
      <c r="P26" s="1436">
        <v>0</v>
      </c>
      <c r="R26" s="1363"/>
      <c r="S26" s="1413"/>
    </row>
    <row r="27" spans="3:19" ht="15.75">
      <c r="C27" s="1411"/>
      <c r="D27" s="1359"/>
      <c r="E27" s="922" t="s">
        <v>283</v>
      </c>
      <c r="F27" s="922"/>
      <c r="G27" s="922"/>
      <c r="J27" s="1460"/>
      <c r="K27" s="1433"/>
      <c r="L27" s="1433"/>
      <c r="M27" s="1433"/>
      <c r="N27" s="1461"/>
      <c r="O27" s="1429"/>
      <c r="P27" s="1459"/>
      <c r="R27" s="1363"/>
      <c r="S27" s="1413"/>
    </row>
    <row r="28" spans="3:19" ht="15.75">
      <c r="C28" s="1411"/>
      <c r="D28" s="1359"/>
      <c r="E28" s="1445"/>
      <c r="F28" s="1437" t="s">
        <v>2759</v>
      </c>
      <c r="G28" s="922"/>
      <c r="J28" s="1432">
        <v>68796.874999999985</v>
      </c>
      <c r="K28" s="1433"/>
      <c r="L28" s="1434">
        <v>45864.583333333328</v>
      </c>
      <c r="M28" s="1433"/>
      <c r="N28" s="1435">
        <v>42588.541666666679</v>
      </c>
      <c r="O28" s="1429"/>
      <c r="P28" s="1436">
        <v>157250</v>
      </c>
      <c r="R28" s="1363"/>
      <c r="S28" s="1413"/>
    </row>
    <row r="29" spans="3:19" ht="15.75">
      <c r="C29" s="1411"/>
      <c r="D29" s="1359"/>
      <c r="E29" s="1445"/>
      <c r="F29" s="1437" t="s">
        <v>2758</v>
      </c>
      <c r="G29" s="922"/>
      <c r="J29" s="1432">
        <v>1052362.4999999998</v>
      </c>
      <c r="K29" s="1433"/>
      <c r="L29" s="1434">
        <v>701574.99999999988</v>
      </c>
      <c r="M29" s="1433"/>
      <c r="N29" s="1435">
        <v>651462.50000000023</v>
      </c>
      <c r="O29" s="1429"/>
      <c r="P29" s="1436">
        <v>2405400</v>
      </c>
      <c r="R29" s="1363"/>
      <c r="S29" s="1413"/>
    </row>
    <row r="30" spans="3:19">
      <c r="C30" s="1411"/>
      <c r="D30" s="922" t="s">
        <v>2811</v>
      </c>
      <c r="E30" s="1425"/>
      <c r="F30" s="1425"/>
      <c r="G30" s="1425"/>
      <c r="J30" s="1432" t="e">
        <v>#NAME?</v>
      </c>
      <c r="K30" s="1433"/>
      <c r="L30" s="1434" t="e">
        <v>#NAME?</v>
      </c>
      <c r="M30" s="1433"/>
      <c r="N30" s="1435" t="e">
        <v>#NAME?</v>
      </c>
      <c r="O30" s="1429"/>
      <c r="P30" s="1436" t="e">
        <v>#NAME?</v>
      </c>
      <c r="R30" s="1363"/>
      <c r="S30" s="1413"/>
    </row>
    <row r="31" spans="3:19" ht="6" customHeight="1">
      <c r="C31" s="1411"/>
      <c r="D31" s="922"/>
      <c r="E31" s="922"/>
      <c r="F31" s="922"/>
      <c r="G31" s="922"/>
      <c r="J31" s="1462"/>
      <c r="K31" s="1463"/>
      <c r="L31" s="1463"/>
      <c r="M31" s="1463"/>
      <c r="N31" s="1464"/>
      <c r="O31" s="1429"/>
      <c r="P31" s="1424"/>
      <c r="R31" s="1363"/>
      <c r="S31" s="1413"/>
    </row>
    <row r="32" spans="3:19">
      <c r="C32" s="1411"/>
      <c r="D32" s="1446" t="s">
        <v>4435</v>
      </c>
      <c r="E32" s="1448"/>
      <c r="F32" s="1448"/>
      <c r="G32" s="1448"/>
      <c r="H32" s="1449"/>
      <c r="I32" s="1449"/>
      <c r="J32" s="1450" t="e">
        <v>#NAME?</v>
      </c>
      <c r="K32" s="1465"/>
      <c r="L32" s="1452" t="e">
        <v>#NAME?</v>
      </c>
      <c r="M32" s="1465"/>
      <c r="N32" s="1453" t="e">
        <v>#NAME?</v>
      </c>
      <c r="O32" s="1429"/>
      <c r="P32" s="1454" t="e">
        <v>#NAME?</v>
      </c>
      <c r="R32" s="1363"/>
      <c r="S32" s="1413"/>
    </row>
    <row r="33" spans="3:19">
      <c r="C33" s="1411"/>
      <c r="D33" s="922"/>
      <c r="E33" s="922" t="s">
        <v>3547</v>
      </c>
      <c r="F33" s="922"/>
      <c r="G33" s="922"/>
      <c r="J33" s="1466" t="e">
        <v>#NAME?</v>
      </c>
      <c r="K33" s="1467"/>
      <c r="L33" s="1468" t="e">
        <v>#NAME?</v>
      </c>
      <c r="M33" s="1366"/>
      <c r="N33" s="1469" t="e">
        <v>#NAME?</v>
      </c>
      <c r="O33" s="1429"/>
      <c r="P33" s="1470" t="e">
        <v>#NAME?</v>
      </c>
      <c r="R33" s="1363"/>
      <c r="S33" s="1413"/>
    </row>
  </sheetData>
  <phoneticPr fontId="0" type="noConversion"/>
  <printOptions horizontalCentered="1"/>
  <pageMargins left="0.5" right="0.5" top="0.5" bottom="0.5" header="0.5" footer="0.5"/>
  <pageSetup scale="80" orientation="portrait" blackAndWhite="1" r:id="rId1"/>
  <headerFooter alignWithMargins="0">
    <oddFooter>&amp;CPage &amp;P of &amp;N</oddFooter>
  </headerFooter>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0099"/>
    <pageSetUpPr fitToPage="1"/>
  </sheetPr>
  <dimension ref="A1:AD123"/>
  <sheetViews>
    <sheetView showGridLines="0" zoomScaleNormal="100" workbookViewId="0">
      <pane ySplit="7" topLeftCell="A64" activePane="bottomLeft" state="frozen"/>
      <selection sqref="A1:XFD1"/>
      <selection pane="bottomLeft" activeCell="X89" sqref="X89"/>
    </sheetView>
  </sheetViews>
  <sheetFormatPr defaultColWidth="18.83203125" defaultRowHeight="12.95" customHeight="1"/>
  <cols>
    <col min="1" max="1" width="2.5" style="263" customWidth="1"/>
    <col min="2" max="2" width="2.33203125" style="263" customWidth="1"/>
    <col min="3" max="3" width="5.83203125" style="263" customWidth="1"/>
    <col min="4" max="4" width="13.83203125" style="263" customWidth="1"/>
    <col min="5" max="5" width="3.83203125" style="263" customWidth="1"/>
    <col min="6" max="6" width="13.83203125" style="263" customWidth="1"/>
    <col min="7" max="7" width="3.83203125" style="263" customWidth="1"/>
    <col min="8" max="8" width="13.83203125" style="263" customWidth="1"/>
    <col min="9" max="9" width="3.83203125" style="263" customWidth="1"/>
    <col min="10" max="10" width="13.83203125" style="263" customWidth="1"/>
    <col min="11" max="11" width="3.83203125" style="263" customWidth="1"/>
    <col min="12" max="12" width="13.83203125" style="263" customWidth="1"/>
    <col min="13" max="13" width="3.83203125" style="264" customWidth="1"/>
    <col min="14" max="14" width="13.83203125" style="263" customWidth="1"/>
    <col min="15" max="15" width="3.83203125" style="264" customWidth="1"/>
    <col min="16" max="16" width="13.83203125" style="263" customWidth="1"/>
    <col min="17" max="17" width="3.83203125" style="263" customWidth="1"/>
    <col min="18" max="18" width="13.83203125" style="263" customWidth="1"/>
    <col min="19" max="19" width="3.83203125" style="263" customWidth="1"/>
    <col min="20" max="20" width="13.83203125" style="263" customWidth="1"/>
    <col min="21" max="21" width="3.83203125" style="263" customWidth="1"/>
    <col min="22" max="22" width="13.83203125" style="263" customWidth="1"/>
    <col min="23" max="23" width="3.83203125" style="263" customWidth="1"/>
    <col min="24" max="24" width="13.83203125" style="263" customWidth="1"/>
    <col min="25" max="25" width="3.83203125" style="263" customWidth="1"/>
    <col min="26" max="26" width="13.83203125" style="263" customWidth="1"/>
    <col min="27" max="27" width="3.83203125" style="263" customWidth="1"/>
    <col min="28" max="28" width="9.33203125" style="263" customWidth="1"/>
    <col min="29" max="29" width="3.83203125" style="263" customWidth="1"/>
    <col min="30" max="30" width="10.6640625" style="263" bestFit="1" customWidth="1"/>
    <col min="31" max="16384" width="18.83203125" style="263"/>
  </cols>
  <sheetData>
    <row r="1" spans="2:23" s="866" customFormat="1" ht="4.5" customHeight="1"/>
    <row r="2" spans="2:23" s="867" customFormat="1" ht="26.25" customHeight="1">
      <c r="C2" s="867" t="s">
        <v>635</v>
      </c>
    </row>
    <row r="3" spans="2:23" s="864" customFormat="1" ht="15.75" customHeight="1">
      <c r="B3" s="865"/>
      <c r="M3" s="870" t="str">
        <f>xxDashboard</f>
        <v>Bookings: $338.8M       Bookings CAGR: 0.0%       Revenues: $200.5M       GM: 34.8%       OM: -73.2%</v>
      </c>
    </row>
    <row r="4" spans="2:23" s="867" customFormat="1" ht="42.75" customHeight="1"/>
    <row r="5" spans="2:23" s="1327" customFormat="1" ht="12" customHeight="1">
      <c r="D5" s="1329" t="s">
        <v>5309</v>
      </c>
      <c r="G5" s="1328"/>
      <c r="J5" s="1328" t="s">
        <v>5310</v>
      </c>
      <c r="N5" s="1328"/>
      <c r="O5" s="1328" t="s">
        <v>5311</v>
      </c>
      <c r="Q5" s="1328"/>
      <c r="T5" s="1328" t="s">
        <v>5312</v>
      </c>
      <c r="W5" s="1328"/>
    </row>
    <row r="6" spans="2:23" s="867" customFormat="1" ht="4.5" customHeight="1"/>
    <row r="7" spans="2:23" s="864" customFormat="1" ht="15.75" customHeight="1">
      <c r="B7" s="865"/>
      <c r="M7" s="870" t="str">
        <f>xxDashboardBusB2</f>
        <v>Cost of Quality: $12.7M       Forecasted New Outsourcing Revenue: $0.0M</v>
      </c>
    </row>
    <row r="8" spans="2:23" s="874" customFormat="1" ht="15.75" customHeight="1"/>
    <row r="9" spans="2:23" s="874" customFormat="1" ht="6" customHeight="1">
      <c r="C9" s="875"/>
      <c r="D9" s="875"/>
      <c r="E9" s="875"/>
      <c r="F9" s="875"/>
      <c r="G9" s="875"/>
      <c r="H9" s="875"/>
      <c r="I9" s="875"/>
      <c r="J9" s="882"/>
      <c r="K9" s="882"/>
      <c r="L9" s="882"/>
      <c r="M9" s="882"/>
      <c r="N9" s="875"/>
      <c r="O9" s="875"/>
      <c r="P9" s="875"/>
      <c r="Q9" s="875"/>
      <c r="R9" s="875"/>
      <c r="S9" s="875"/>
    </row>
    <row r="10" spans="2:23" s="874" customFormat="1" ht="12.75" customHeight="1">
      <c r="C10" s="883"/>
      <c r="D10" s="1524" t="s">
        <v>837</v>
      </c>
      <c r="E10" s="1524"/>
      <c r="F10" s="1524"/>
      <c r="G10" s="876"/>
      <c r="H10" s="876"/>
      <c r="I10" s="882"/>
      <c r="J10" s="882"/>
      <c r="K10" s="882"/>
      <c r="L10" s="882"/>
      <c r="M10" s="882"/>
      <c r="N10" s="875"/>
      <c r="O10" s="875"/>
      <c r="P10" s="875"/>
      <c r="Q10" s="875"/>
      <c r="R10" s="875"/>
      <c r="S10" s="875"/>
    </row>
    <row r="11" spans="2:23" s="874" customFormat="1" ht="6" customHeight="1">
      <c r="C11" s="875"/>
      <c r="D11" s="1524"/>
      <c r="E11" s="1524"/>
      <c r="F11" s="1524"/>
      <c r="G11" s="875"/>
      <c r="H11" s="875"/>
      <c r="I11" s="875"/>
      <c r="J11" s="882"/>
      <c r="K11" s="882"/>
      <c r="L11" s="882"/>
      <c r="M11" s="882"/>
      <c r="N11" s="875"/>
      <c r="O11" s="875"/>
      <c r="P11" s="875"/>
      <c r="Q11" s="875"/>
      <c r="R11" s="875"/>
      <c r="S11" s="875"/>
    </row>
    <row r="12" spans="2:23" s="874" customFormat="1" ht="12" customHeight="1">
      <c r="C12" s="875"/>
      <c r="D12" s="884"/>
      <c r="E12" s="884"/>
      <c r="F12" s="884"/>
      <c r="G12" s="875"/>
      <c r="H12" s="875"/>
      <c r="I12" s="875"/>
      <c r="J12" s="882"/>
      <c r="K12" s="882"/>
      <c r="L12" s="882"/>
      <c r="M12" s="882"/>
      <c r="N12" s="875"/>
      <c r="O12" s="875"/>
      <c r="P12" s="875"/>
      <c r="Q12" s="875"/>
      <c r="R12" s="875"/>
      <c r="S12" s="875"/>
    </row>
    <row r="13" spans="2:23" s="874" customFormat="1" ht="12.75" customHeight="1">
      <c r="C13" s="875"/>
      <c r="D13" s="883"/>
      <c r="E13" s="875"/>
      <c r="F13" s="875"/>
      <c r="G13" s="875"/>
      <c r="H13" s="911" t="s">
        <v>4685</v>
      </c>
      <c r="I13" s="878"/>
      <c r="J13" s="911" t="s">
        <v>4686</v>
      </c>
      <c r="K13" s="878"/>
      <c r="L13" s="878" t="s">
        <v>4687</v>
      </c>
      <c r="M13" s="875"/>
      <c r="N13" s="878" t="s">
        <v>4645</v>
      </c>
      <c r="O13" s="881"/>
      <c r="P13" s="878" t="s">
        <v>939</v>
      </c>
      <c r="Q13" s="881"/>
      <c r="R13" s="878" t="s">
        <v>940</v>
      </c>
      <c r="S13" s="875"/>
    </row>
    <row r="14" spans="2:23" s="874" customFormat="1" ht="12.75" customHeight="1">
      <c r="C14" s="875"/>
      <c r="D14" s="875"/>
      <c r="E14" s="875"/>
      <c r="F14" s="875"/>
      <c r="G14" s="875"/>
      <c r="H14" s="875"/>
      <c r="I14" s="875"/>
      <c r="J14" s="875"/>
      <c r="K14" s="875"/>
      <c r="L14" s="875"/>
      <c r="M14" s="875"/>
      <c r="N14" s="875"/>
      <c r="O14" s="875"/>
      <c r="P14" s="875"/>
      <c r="Q14" s="875"/>
      <c r="R14" s="875"/>
      <c r="S14" s="875"/>
    </row>
    <row r="15" spans="2:23" s="874" customFormat="1" ht="12.75" customHeight="1">
      <c r="C15" s="910"/>
      <c r="D15" s="885" t="str">
        <f>"A: "&amp;VLOOKUP(toolBusinessB!$AC40,DataPageBPOData,2)</f>
        <v>A: PHQ Systems</v>
      </c>
      <c r="E15" s="884"/>
      <c r="F15" s="884"/>
      <c r="G15" s="875"/>
      <c r="H15" s="912">
        <f>VLOOKUP(toolBusinessB!$AC40,DataPageBPOData,3)/1000</f>
        <v>450000</v>
      </c>
      <c r="I15" s="875"/>
      <c r="J15" s="912">
        <f>VLOOKUP(toolBusinessB!$AC40,DataPageBPOData,4)/1000</f>
        <v>325550.54267778766</v>
      </c>
      <c r="K15" s="875"/>
      <c r="L15" s="897">
        <v>0</v>
      </c>
      <c r="M15" s="875"/>
      <c r="N15" s="877">
        <v>1200</v>
      </c>
      <c r="O15" s="875"/>
      <c r="P15" s="877">
        <v>1800</v>
      </c>
      <c r="Q15" s="875"/>
      <c r="R15" s="877">
        <v>2200</v>
      </c>
      <c r="S15" s="875"/>
    </row>
    <row r="16" spans="2:23" s="874" customFormat="1" ht="12.75" customHeight="1">
      <c r="C16" s="875"/>
      <c r="D16" s="875"/>
      <c r="E16" s="875"/>
      <c r="F16" s="875"/>
      <c r="G16" s="875"/>
      <c r="H16" s="875"/>
      <c r="I16" s="875"/>
      <c r="J16" s="875"/>
      <c r="K16" s="875"/>
      <c r="L16" s="875"/>
      <c r="M16" s="875"/>
      <c r="N16" s="875"/>
      <c r="O16" s="875"/>
      <c r="P16" s="875"/>
      <c r="Q16" s="875"/>
      <c r="R16" s="875"/>
      <c r="S16" s="875"/>
    </row>
    <row r="17" spans="3:19" s="874" customFormat="1" ht="12.75" customHeight="1">
      <c r="C17" s="910"/>
      <c r="D17" s="885" t="str">
        <f>"B: "&amp;VLOOKUP(toolBusinessB!$AC40,DataPageBPOData,2)</f>
        <v>B: PHQ Systems</v>
      </c>
      <c r="E17" s="884"/>
      <c r="F17" s="884"/>
      <c r="G17" s="875"/>
      <c r="H17" s="912"/>
      <c r="I17" s="875"/>
      <c r="J17" s="912"/>
      <c r="K17" s="875"/>
      <c r="L17" s="897">
        <v>0</v>
      </c>
      <c r="M17" s="875"/>
      <c r="N17" s="877">
        <v>0</v>
      </c>
      <c r="O17" s="875"/>
      <c r="P17" s="877">
        <v>0</v>
      </c>
      <c r="Q17" s="875"/>
      <c r="R17" s="877">
        <v>0</v>
      </c>
      <c r="S17" s="875"/>
    </row>
    <row r="18" spans="3:19" s="874" customFormat="1" ht="12.75" customHeight="1">
      <c r="C18" s="875"/>
      <c r="D18" s="875"/>
      <c r="E18" s="875"/>
      <c r="F18" s="875"/>
      <c r="G18" s="875"/>
      <c r="H18" s="875"/>
      <c r="I18" s="875"/>
      <c r="J18" s="875"/>
      <c r="K18" s="875"/>
      <c r="L18" s="875"/>
      <c r="M18" s="875"/>
      <c r="N18" s="875"/>
      <c r="O18" s="875"/>
      <c r="P18" s="875"/>
      <c r="Q18" s="875"/>
      <c r="R18" s="875"/>
      <c r="S18" s="875"/>
    </row>
    <row r="19" spans="3:19" s="874" customFormat="1" ht="12.75" customHeight="1">
      <c r="C19" s="910"/>
      <c r="D19" s="875" t="str">
        <f>"C: "&amp;VLOOKUP(toolBusinessB!$AC46,DataPageBPOData,2)</f>
        <v>C: H&amp;R Ameriprise</v>
      </c>
      <c r="E19" s="875"/>
      <c r="F19" s="875"/>
      <c r="G19" s="875"/>
      <c r="H19" s="912"/>
      <c r="I19" s="875"/>
      <c r="J19" s="912"/>
      <c r="K19" s="875"/>
      <c r="L19" s="897">
        <v>0</v>
      </c>
      <c r="M19" s="875"/>
      <c r="N19" s="877">
        <v>0</v>
      </c>
      <c r="O19" s="875"/>
      <c r="P19" s="877">
        <v>0</v>
      </c>
      <c r="Q19" s="875"/>
      <c r="R19" s="877">
        <v>0</v>
      </c>
      <c r="S19" s="875"/>
    </row>
    <row r="20" spans="3:19" s="874" customFormat="1" ht="6" customHeight="1">
      <c r="C20" s="875"/>
      <c r="D20" s="875"/>
      <c r="E20" s="875"/>
      <c r="F20" s="875"/>
      <c r="G20" s="875"/>
      <c r="H20" s="875"/>
      <c r="I20" s="875"/>
      <c r="J20" s="875"/>
      <c r="K20" s="875"/>
      <c r="L20" s="875"/>
      <c r="M20" s="875"/>
      <c r="N20" s="875"/>
      <c r="O20" s="875"/>
      <c r="P20" s="875"/>
      <c r="Q20" s="875"/>
      <c r="R20" s="875"/>
      <c r="S20" s="875"/>
    </row>
    <row r="21" spans="3:19" s="874" customFormat="1" ht="6" customHeight="1">
      <c r="C21" s="875"/>
      <c r="D21" s="875"/>
      <c r="E21" s="875"/>
      <c r="F21" s="875"/>
      <c r="G21" s="875"/>
      <c r="H21" s="875"/>
      <c r="I21" s="875"/>
      <c r="J21" s="875"/>
      <c r="K21" s="875"/>
      <c r="L21" s="875"/>
      <c r="M21" s="875"/>
      <c r="N21" s="875"/>
      <c r="O21" s="875"/>
      <c r="P21" s="875"/>
      <c r="Q21" s="875"/>
      <c r="R21" s="875"/>
      <c r="S21" s="875"/>
    </row>
    <row r="22" spans="3:19" s="874" customFormat="1" ht="15.75" customHeight="1"/>
    <row r="23" spans="3:19" s="874" customFormat="1" ht="15.75" customHeight="1"/>
    <row r="24" spans="3:19" s="874" customFormat="1" ht="15.75" customHeight="1"/>
    <row r="25" spans="3:19" s="874" customFormat="1" ht="15.75" customHeight="1"/>
    <row r="26" spans="3:19" s="874" customFormat="1" ht="15.75" customHeight="1"/>
    <row r="27" spans="3:19" s="874" customFormat="1" ht="15.75" customHeight="1"/>
    <row r="28" spans="3:19" s="874" customFormat="1" ht="15.75" customHeight="1"/>
    <row r="29" spans="3:19" s="874" customFormat="1" ht="15.75" customHeight="1"/>
    <row r="30" spans="3:19" s="874" customFormat="1" ht="15.75" customHeight="1"/>
    <row r="31" spans="3:19" s="874" customFormat="1" ht="15.75" customHeight="1"/>
    <row r="32" spans="3:19" s="874" customFormat="1" ht="15.75" customHeight="1"/>
    <row r="33" spans="1:29" s="874" customFormat="1" ht="13.5" customHeight="1"/>
    <row r="34" spans="1:29" ht="6.75" customHeight="1">
      <c r="A34" s="284"/>
      <c r="C34" s="425"/>
      <c r="D34" s="426"/>
      <c r="E34" s="426"/>
      <c r="F34" s="426"/>
      <c r="G34" s="426"/>
      <c r="H34" s="426"/>
      <c r="I34" s="426"/>
      <c r="J34" s="426"/>
      <c r="K34" s="426"/>
      <c r="L34" s="426"/>
      <c r="M34" s="426"/>
      <c r="N34" s="426"/>
      <c r="O34" s="288"/>
      <c r="P34" s="288"/>
      <c r="Q34" s="290"/>
      <c r="R34" s="290"/>
      <c r="S34" s="290"/>
      <c r="T34" s="290"/>
      <c r="U34" s="290"/>
      <c r="V34" s="290"/>
      <c r="W34" s="290"/>
      <c r="X34" s="290"/>
      <c r="Y34" s="290"/>
      <c r="Z34" s="427"/>
    </row>
    <row r="35" spans="1:29" ht="13.5" customHeight="1">
      <c r="A35" s="284"/>
      <c r="C35" s="286"/>
      <c r="D35" s="287"/>
      <c r="E35" s="288"/>
      <c r="F35" s="288"/>
      <c r="G35" s="288"/>
      <c r="H35" s="288"/>
      <c r="I35" s="288"/>
      <c r="J35" s="288"/>
      <c r="K35" s="288"/>
      <c r="L35" s="551" t="s">
        <v>1772</v>
      </c>
      <c r="M35" s="288"/>
      <c r="N35" s="551" t="s">
        <v>1367</v>
      </c>
      <c r="O35" s="288"/>
      <c r="P35" s="288"/>
      <c r="Q35" s="308"/>
      <c r="R35" s="550" t="s">
        <v>2832</v>
      </c>
      <c r="S35" s="550"/>
      <c r="T35" s="550"/>
      <c r="U35" s="550"/>
      <c r="V35" s="550"/>
      <c r="W35" s="549"/>
      <c r="X35" s="391"/>
      <c r="Y35" s="391"/>
      <c r="Z35" s="289"/>
    </row>
    <row r="36" spans="1:29" ht="3" customHeight="1">
      <c r="A36" s="284"/>
      <c r="C36" s="286"/>
      <c r="D36" s="287"/>
      <c r="E36" s="288"/>
      <c r="F36" s="288"/>
      <c r="G36" s="288"/>
      <c r="H36" s="288"/>
      <c r="I36" s="288"/>
      <c r="J36" s="288"/>
      <c r="K36" s="288"/>
      <c r="L36" s="551"/>
      <c r="M36" s="288"/>
      <c r="N36" s="551"/>
      <c r="O36" s="288"/>
      <c r="P36" s="288"/>
      <c r="Q36" s="288"/>
      <c r="R36" s="551"/>
      <c r="S36" s="551"/>
      <c r="T36" s="551"/>
      <c r="U36" s="551"/>
      <c r="V36" s="551"/>
      <c r="W36" s="391"/>
      <c r="X36" s="391"/>
      <c r="Y36" s="391"/>
      <c r="Z36" s="289"/>
    </row>
    <row r="37" spans="1:29" ht="13.5" customHeight="1">
      <c r="A37" s="284"/>
      <c r="C37" s="286"/>
      <c r="D37" s="287"/>
      <c r="E37" s="288"/>
      <c r="F37" s="288"/>
      <c r="G37" s="288"/>
      <c r="H37" s="288"/>
      <c r="I37" s="288"/>
      <c r="J37" s="880"/>
      <c r="K37" s="546"/>
      <c r="L37" s="880" t="s">
        <v>1770</v>
      </c>
      <c r="M37" s="546"/>
      <c r="N37" s="880" t="s">
        <v>1770</v>
      </c>
      <c r="O37" s="546"/>
      <c r="P37" s="880"/>
      <c r="Q37" s="546"/>
      <c r="R37" s="880" t="s">
        <v>4644</v>
      </c>
      <c r="S37" s="546"/>
      <c r="T37" s="546" t="s">
        <v>1241</v>
      </c>
      <c r="U37" s="546"/>
      <c r="V37" s="546" t="s">
        <v>1240</v>
      </c>
      <c r="W37" s="546"/>
      <c r="X37" s="880"/>
      <c r="Y37" s="880"/>
      <c r="Z37" s="289"/>
    </row>
    <row r="38" spans="1:29" ht="15" customHeight="1" thickBot="1">
      <c r="A38" s="284"/>
      <c r="C38" s="286"/>
      <c r="D38" s="288"/>
      <c r="E38" s="288"/>
      <c r="F38" s="904" t="s">
        <v>837</v>
      </c>
      <c r="G38" s="905"/>
      <c r="H38" s="906"/>
      <c r="I38" s="288"/>
      <c r="J38" s="547" t="s">
        <v>4029</v>
      </c>
      <c r="K38" s="546"/>
      <c r="L38" s="547" t="s">
        <v>2150</v>
      </c>
      <c r="M38" s="546"/>
      <c r="N38" s="547" t="s">
        <v>2150</v>
      </c>
      <c r="O38" s="546"/>
      <c r="P38" s="547" t="s">
        <v>2021</v>
      </c>
      <c r="Q38" s="546"/>
      <c r="R38" s="547" t="s">
        <v>4645</v>
      </c>
      <c r="S38" s="546"/>
      <c r="T38" s="547" t="s">
        <v>939</v>
      </c>
      <c r="U38" s="546"/>
      <c r="V38" s="547" t="s">
        <v>702</v>
      </c>
      <c r="W38" s="546"/>
      <c r="X38" s="548" t="s">
        <v>2053</v>
      </c>
      <c r="Y38" s="880"/>
      <c r="Z38" s="289"/>
    </row>
    <row r="39" spans="1:29" ht="6" customHeight="1" thickBot="1">
      <c r="A39" s="284"/>
      <c r="C39" s="286"/>
      <c r="D39" s="288"/>
      <c r="E39" s="288"/>
      <c r="F39" s="288"/>
      <c r="G39" s="288"/>
      <c r="H39" s="288"/>
      <c r="I39" s="288"/>
      <c r="J39" s="288"/>
      <c r="K39" s="288"/>
      <c r="L39" s="288"/>
      <c r="M39" s="288"/>
      <c r="N39" s="288"/>
      <c r="O39" s="288"/>
      <c r="P39" s="288"/>
      <c r="Q39" s="288"/>
      <c r="R39" s="288"/>
      <c r="S39" s="288"/>
      <c r="T39" s="288"/>
      <c r="U39" s="288"/>
      <c r="V39" s="288"/>
      <c r="W39" s="288"/>
      <c r="X39" s="288"/>
      <c r="Y39" s="288"/>
      <c r="Z39" s="289"/>
    </row>
    <row r="40" spans="1:29" ht="13.5" thickBot="1">
      <c r="A40" s="284"/>
      <c r="C40" s="286"/>
      <c r="D40" s="292"/>
      <c r="E40" s="288"/>
      <c r="F40" s="907" t="str">
        <f>"A: "&amp;VLOOKUP(toolBusinessB!$AC40,DataPageBPOData,2)</f>
        <v>A: PHQ Systems</v>
      </c>
      <c r="G40" s="908"/>
      <c r="H40" s="909"/>
      <c r="I40" s="288"/>
      <c r="J40" s="293" t="s">
        <v>4253</v>
      </c>
      <c r="K40" s="288"/>
      <c r="L40" s="328">
        <f>VLOOKUP(toolBusinessB!$AC40,DataPageBPOData,3)/1000</f>
        <v>450000</v>
      </c>
      <c r="M40" s="288"/>
      <c r="N40" s="328">
        <f>VLOOKUP(toolBusinessB!$AC40,DataPageBPOData,4)/1000</f>
        <v>325550.54267778766</v>
      </c>
      <c r="O40" s="288"/>
      <c r="Q40" s="290"/>
      <c r="S40" s="367"/>
      <c r="U40" s="367"/>
      <c r="W40" s="367"/>
      <c r="X40" s="381" t="str">
        <f>IF(tlInputBid1Price=0,"",(tlInputBid1Price-N40)/N40)</f>
        <v/>
      </c>
      <c r="Y40" s="545"/>
      <c r="Z40" s="289"/>
      <c r="AC40" s="263">
        <f>IF(xxYear=0,1,((xxYear-1)*9)+1)</f>
        <v>1</v>
      </c>
    </row>
    <row r="41" spans="1:29" ht="12.75">
      <c r="A41" s="284"/>
      <c r="C41" s="286"/>
      <c r="D41" s="288"/>
      <c r="E41" s="288"/>
      <c r="F41" s="472"/>
      <c r="G41" s="472"/>
      <c r="H41" s="472"/>
      <c r="I41" s="288"/>
      <c r="J41" s="290"/>
      <c r="K41" s="333" t="s">
        <v>1771</v>
      </c>
      <c r="L41" s="545">
        <f>IF(L40=0,0,(L40-tlInputBid1Price)/L40)</f>
        <v>1</v>
      </c>
      <c r="M41" s="288"/>
      <c r="N41" s="329"/>
      <c r="O41" s="288"/>
      <c r="P41" s="369"/>
      <c r="Q41" s="290"/>
      <c r="R41" s="367"/>
      <c r="S41" s="367"/>
      <c r="T41" s="367"/>
      <c r="U41" s="367"/>
      <c r="V41" s="367"/>
      <c r="W41" s="367"/>
      <c r="X41" s="424"/>
      <c r="Y41" s="424"/>
      <c r="Z41" s="289"/>
    </row>
    <row r="42" spans="1:29" ht="13.5" thickBot="1">
      <c r="A42" s="284"/>
      <c r="C42" s="286"/>
      <c r="D42" s="288"/>
      <c r="E42" s="288"/>
      <c r="F42" s="472"/>
      <c r="G42" s="472"/>
      <c r="H42" s="472"/>
      <c r="I42" s="288"/>
      <c r="J42" s="290"/>
      <c r="K42" s="288"/>
      <c r="L42" s="329"/>
      <c r="M42" s="288"/>
      <c r="N42" s="329"/>
      <c r="O42" s="288"/>
      <c r="P42" s="369"/>
      <c r="Q42" s="290"/>
      <c r="R42" s="367"/>
      <c r="S42" s="367"/>
      <c r="T42" s="367"/>
      <c r="U42" s="367"/>
      <c r="V42" s="367"/>
      <c r="W42" s="367"/>
      <c r="X42" s="424"/>
      <c r="Y42" s="424"/>
      <c r="Z42" s="289"/>
    </row>
    <row r="43" spans="1:29" ht="13.5" thickBot="1">
      <c r="A43" s="284"/>
      <c r="C43" s="286"/>
      <c r="D43" s="292"/>
      <c r="E43" s="288"/>
      <c r="F43" s="907" t="str">
        <f>"B: "&amp;VLOOKUP(toolBusinessB!$AC43,DataPageBPOData,2)</f>
        <v>B: Thompson Cook</v>
      </c>
      <c r="G43" s="908"/>
      <c r="H43" s="909"/>
      <c r="I43" s="288"/>
      <c r="J43" s="294" t="s">
        <v>1593</v>
      </c>
      <c r="K43" s="288"/>
      <c r="L43" s="328">
        <f>VLOOKUP(toolBusinessB!$AC43,DataPageBPOData,3)/1000</f>
        <v>900000</v>
      </c>
      <c r="M43" s="288"/>
      <c r="N43" s="328">
        <f>VLOOKUP(toolBusinessB!$AC43,DataPageBPOData,4)/1000</f>
        <v>694548.44936338568</v>
      </c>
      <c r="O43" s="288"/>
      <c r="P43" s="515">
        <v>0</v>
      </c>
      <c r="Q43" s="290"/>
      <c r="R43" s="473">
        <v>0</v>
      </c>
      <c r="S43" s="367"/>
      <c r="T43" s="473">
        <v>0</v>
      </c>
      <c r="U43" s="367"/>
      <c r="V43" s="473">
        <v>0</v>
      </c>
      <c r="W43" s="367"/>
      <c r="X43" s="381" t="str">
        <f>IF(tlInputBid2Price=0,"",(tlInputBid2Price-N43)/N43)</f>
        <v/>
      </c>
      <c r="Y43" s="545"/>
      <c r="Z43" s="289"/>
      <c r="AC43" s="263">
        <f>IF(xxYear=0,1,((xxYear-1)*9)+2)</f>
        <v>2</v>
      </c>
    </row>
    <row r="44" spans="1:29" ht="12.75">
      <c r="A44" s="284"/>
      <c r="C44" s="286"/>
      <c r="D44" s="288"/>
      <c r="E44" s="288"/>
      <c r="F44" s="472"/>
      <c r="G44" s="472"/>
      <c r="H44" s="472"/>
      <c r="I44" s="288"/>
      <c r="J44" s="290"/>
      <c r="K44" s="333" t="s">
        <v>1771</v>
      </c>
      <c r="L44" s="545">
        <f>IF(L43=0,0,(L43-tlInputBid2Price)/L43)</f>
        <v>1</v>
      </c>
      <c r="M44" s="288"/>
      <c r="N44" s="329"/>
      <c r="O44" s="288"/>
      <c r="P44" s="369"/>
      <c r="Q44" s="290"/>
      <c r="R44" s="367"/>
      <c r="S44" s="367"/>
      <c r="T44" s="367"/>
      <c r="U44" s="367"/>
      <c r="V44" s="367"/>
      <c r="W44" s="367"/>
      <c r="X44" s="424"/>
      <c r="Y44" s="424"/>
      <c r="Z44" s="289"/>
    </row>
    <row r="45" spans="1:29" ht="13.5" thickBot="1">
      <c r="A45" s="284"/>
      <c r="C45" s="286"/>
      <c r="D45" s="288"/>
      <c r="E45" s="288"/>
      <c r="F45" s="472"/>
      <c r="G45" s="472"/>
      <c r="H45" s="472"/>
      <c r="I45" s="288"/>
      <c r="J45" s="290"/>
      <c r="K45" s="288"/>
      <c r="L45" s="329"/>
      <c r="M45" s="288"/>
      <c r="N45" s="329"/>
      <c r="O45" s="288"/>
      <c r="P45" s="369"/>
      <c r="Q45" s="290"/>
      <c r="R45" s="367"/>
      <c r="S45" s="367"/>
      <c r="T45" s="367"/>
      <c r="U45" s="367"/>
      <c r="V45" s="367"/>
      <c r="W45" s="367"/>
      <c r="X45" s="424"/>
      <c r="Y45" s="424"/>
      <c r="Z45" s="289"/>
    </row>
    <row r="46" spans="1:29" ht="13.5" thickBot="1">
      <c r="A46" s="284"/>
      <c r="C46" s="286"/>
      <c r="D46" s="292"/>
      <c r="E46" s="288"/>
      <c r="F46" s="907" t="str">
        <f>"C: "&amp;VLOOKUP(toolBusinessB!$AC46,DataPageBPOData,2)</f>
        <v>C: H&amp;R Ameriprise</v>
      </c>
      <c r="G46" s="908"/>
      <c r="H46" s="909"/>
      <c r="I46" s="288"/>
      <c r="J46" s="295" t="s">
        <v>984</v>
      </c>
      <c r="K46" s="288"/>
      <c r="L46" s="328">
        <f>VLOOKUP(toolBusinessB!$AC46,DataPageBPOData,3)/1000</f>
        <v>250000</v>
      </c>
      <c r="M46" s="288"/>
      <c r="N46" s="328">
        <f>VLOOKUP(toolBusinessB!$AC46,DataPageBPOData,4)/1000</f>
        <v>178029.8212353221</v>
      </c>
      <c r="O46" s="288"/>
      <c r="P46" s="515">
        <v>0</v>
      </c>
      <c r="Q46" s="290"/>
      <c r="R46" s="473">
        <v>0</v>
      </c>
      <c r="S46" s="367"/>
      <c r="T46" s="473">
        <v>0</v>
      </c>
      <c r="U46" s="367"/>
      <c r="V46" s="473">
        <v>0</v>
      </c>
      <c r="W46" s="367"/>
      <c r="X46" s="381" t="str">
        <f>IF(tlInputBid3Price=0,"",(tlInputBid3Price-N46)/N46)</f>
        <v/>
      </c>
      <c r="Y46" s="545"/>
      <c r="Z46" s="289"/>
      <c r="AC46" s="263">
        <f>IF(xxYear=0,1,((xxYear-1)*9)+3)</f>
        <v>3</v>
      </c>
    </row>
    <row r="47" spans="1:29" ht="12.75">
      <c r="A47" s="284"/>
      <c r="C47" s="286"/>
      <c r="D47" s="288"/>
      <c r="E47" s="288"/>
      <c r="F47" s="288"/>
      <c r="G47" s="288"/>
      <c r="H47" s="288"/>
      <c r="I47" s="288"/>
      <c r="J47" s="288"/>
      <c r="K47" s="333" t="s">
        <v>1771</v>
      </c>
      <c r="L47" s="545">
        <f>IF(L46=0,0,(L46-tlInputBid3Price)/L46)</f>
        <v>1</v>
      </c>
      <c r="M47" s="288"/>
      <c r="N47" s="329"/>
      <c r="O47" s="288"/>
      <c r="P47" s="369"/>
      <c r="Q47" s="290"/>
      <c r="R47" s="367"/>
      <c r="S47" s="367"/>
      <c r="T47" s="367"/>
      <c r="U47" s="367"/>
      <c r="V47" s="367"/>
      <c r="W47" s="367"/>
      <c r="X47" s="424"/>
      <c r="Y47" s="424"/>
      <c r="Z47" s="289"/>
    </row>
    <row r="48" spans="1:29" ht="12.75">
      <c r="A48" s="284"/>
      <c r="C48" s="286"/>
      <c r="D48" s="288"/>
      <c r="E48" s="288"/>
      <c r="F48" s="288"/>
      <c r="G48" s="288"/>
      <c r="H48" s="288"/>
      <c r="I48" s="288"/>
      <c r="J48" s="288"/>
      <c r="K48" s="288"/>
      <c r="L48" s="329"/>
      <c r="M48" s="288"/>
      <c r="N48" s="329"/>
      <c r="O48" s="288"/>
      <c r="P48" s="369"/>
      <c r="Q48" s="290"/>
      <c r="R48" s="367"/>
      <c r="S48" s="367"/>
      <c r="T48" s="367"/>
      <c r="U48" s="367"/>
      <c r="V48" s="367"/>
      <c r="W48" s="367"/>
      <c r="X48" s="424"/>
      <c r="Y48" s="424"/>
      <c r="Z48" s="289"/>
    </row>
    <row r="49" spans="1:29" ht="15" customHeight="1">
      <c r="A49" s="284"/>
      <c r="C49" s="286"/>
      <c r="D49" s="288"/>
      <c r="E49" s="288"/>
      <c r="F49" s="904" t="s">
        <v>838</v>
      </c>
      <c r="G49" s="905"/>
      <c r="H49" s="906"/>
      <c r="I49" s="288"/>
      <c r="J49" s="288"/>
      <c r="K49" s="288"/>
      <c r="L49" s="329"/>
      <c r="M49" s="288"/>
      <c r="N49" s="329"/>
      <c r="O49" s="288"/>
      <c r="P49" s="369"/>
      <c r="Q49" s="290"/>
      <c r="R49" s="367"/>
      <c r="S49" s="367"/>
      <c r="T49" s="367"/>
      <c r="U49" s="367"/>
      <c r="V49" s="367"/>
      <c r="W49" s="367"/>
      <c r="X49" s="424"/>
      <c r="Y49" s="424"/>
      <c r="Z49" s="289"/>
    </row>
    <row r="50" spans="1:29" ht="6" customHeight="1" thickBot="1">
      <c r="A50" s="284"/>
      <c r="C50" s="286"/>
      <c r="D50" s="288"/>
      <c r="E50" s="288"/>
      <c r="F50" s="288"/>
      <c r="G50" s="288"/>
      <c r="H50" s="288"/>
      <c r="I50" s="288"/>
      <c r="J50" s="288"/>
      <c r="K50" s="288"/>
      <c r="L50" s="329"/>
      <c r="M50" s="288"/>
      <c r="N50" s="329"/>
      <c r="O50" s="288"/>
      <c r="P50" s="369"/>
      <c r="Q50" s="290"/>
      <c r="R50" s="367"/>
      <c r="S50" s="367"/>
      <c r="T50" s="367"/>
      <c r="U50" s="367"/>
      <c r="V50" s="367"/>
      <c r="W50" s="367"/>
      <c r="X50" s="424"/>
      <c r="Y50" s="424"/>
      <c r="Z50" s="289"/>
    </row>
    <row r="51" spans="1:29" ht="13.5" thickBot="1">
      <c r="A51" s="284"/>
      <c r="C51" s="286"/>
      <c r="D51" s="292"/>
      <c r="E51" s="288"/>
      <c r="F51" s="907" t="str">
        <f>"A: "&amp;VLOOKUP(toolBusinessB!$AC51,DataPageBPOData,2)</f>
        <v>A: Vandaley Industries</v>
      </c>
      <c r="G51" s="908"/>
      <c r="H51" s="909"/>
      <c r="I51" s="288"/>
      <c r="J51" s="293" t="s">
        <v>4253</v>
      </c>
      <c r="K51" s="288"/>
      <c r="L51" s="328">
        <f>VLOOKUP(toolBusinessB!$AC51,DataPageBPOData,3)/1000</f>
        <v>400000</v>
      </c>
      <c r="M51" s="288"/>
      <c r="N51" s="328">
        <f>VLOOKUP(toolBusinessB!$AC51,DataPageBPOData,4)/1000</f>
        <v>294342.63777573168</v>
      </c>
      <c r="O51" s="288"/>
      <c r="P51" s="515">
        <v>0</v>
      </c>
      <c r="Q51" s="290"/>
      <c r="R51" s="473">
        <v>0</v>
      </c>
      <c r="S51" s="367"/>
      <c r="T51" s="473">
        <v>0</v>
      </c>
      <c r="U51" s="367"/>
      <c r="V51" s="473">
        <v>0</v>
      </c>
      <c r="W51" s="367"/>
      <c r="X51" s="381" t="str">
        <f>IF(tlInputBid4Price=0,"",(tlInputBid4Price-N51)/N51)</f>
        <v/>
      </c>
      <c r="Y51" s="545"/>
      <c r="Z51" s="289"/>
      <c r="AC51" s="263">
        <f>IF(xxYear=0,1,((xxYear-1)*9)+4)</f>
        <v>4</v>
      </c>
    </row>
    <row r="52" spans="1:29" ht="12.75">
      <c r="A52" s="284"/>
      <c r="C52" s="286"/>
      <c r="D52" s="288"/>
      <c r="E52" s="288"/>
      <c r="F52" s="472"/>
      <c r="G52" s="472"/>
      <c r="H52" s="472"/>
      <c r="I52" s="288"/>
      <c r="J52" s="290"/>
      <c r="K52" s="333" t="s">
        <v>1771</v>
      </c>
      <c r="L52" s="545">
        <f>IF(L51=0,0,(L51-tlInputBid4Price)/L51)</f>
        <v>1</v>
      </c>
      <c r="M52" s="288"/>
      <c r="N52" s="329"/>
      <c r="O52" s="288"/>
      <c r="P52" s="369"/>
      <c r="Q52" s="290"/>
      <c r="R52" s="367"/>
      <c r="S52" s="367"/>
      <c r="T52" s="367"/>
      <c r="U52" s="367"/>
      <c r="V52" s="367"/>
      <c r="W52" s="367"/>
      <c r="X52" s="424"/>
      <c r="Y52" s="424"/>
      <c r="Z52" s="289"/>
    </row>
    <row r="53" spans="1:29" ht="13.5" thickBot="1">
      <c r="A53" s="284"/>
      <c r="C53" s="286"/>
      <c r="D53" s="288"/>
      <c r="E53" s="288"/>
      <c r="F53" s="472"/>
      <c r="G53" s="472"/>
      <c r="H53" s="472"/>
      <c r="I53" s="288"/>
      <c r="J53" s="290"/>
      <c r="K53" s="288"/>
      <c r="L53" s="329"/>
      <c r="M53" s="288"/>
      <c r="N53" s="329"/>
      <c r="O53" s="288"/>
      <c r="P53" s="369"/>
      <c r="Q53" s="290"/>
      <c r="R53" s="367"/>
      <c r="S53" s="367"/>
      <c r="T53" s="367"/>
      <c r="U53" s="367"/>
      <c r="V53" s="367"/>
      <c r="W53" s="367"/>
      <c r="X53" s="424"/>
      <c r="Y53" s="424"/>
      <c r="Z53" s="289"/>
    </row>
    <row r="54" spans="1:29" ht="13.5" thickBot="1">
      <c r="A54" s="284"/>
      <c r="C54" s="286"/>
      <c r="D54" s="292"/>
      <c r="E54" s="288"/>
      <c r="F54" s="907" t="str">
        <f>"B: "&amp;VLOOKUP(toolBusinessB!$AC54,DataPageBPOData,2)</f>
        <v>B: Bartlet Processing</v>
      </c>
      <c r="G54" s="908"/>
      <c r="H54" s="909"/>
      <c r="I54" s="288"/>
      <c r="J54" s="294" t="s">
        <v>1593</v>
      </c>
      <c r="K54" s="288"/>
      <c r="L54" s="328">
        <f>VLOOKUP(toolBusinessB!$AC54,DataPageBPOData,3)/1000</f>
        <v>600000</v>
      </c>
      <c r="M54" s="288"/>
      <c r="N54" s="328">
        <f>VLOOKUP(toolBusinessB!$AC54,DataPageBPOData,4)/1000</f>
        <v>467329.3370819175</v>
      </c>
      <c r="O54" s="288"/>
      <c r="P54" s="515">
        <v>0</v>
      </c>
      <c r="Q54" s="290"/>
      <c r="R54" s="473">
        <v>0</v>
      </c>
      <c r="S54" s="367"/>
      <c r="T54" s="473">
        <v>0</v>
      </c>
      <c r="U54" s="367"/>
      <c r="V54" s="473">
        <v>0</v>
      </c>
      <c r="W54" s="367"/>
      <c r="X54" s="381" t="str">
        <f>IF(tlInputBid5Price=0,"",(tlInputBid5Price-N54)/N54)</f>
        <v/>
      </c>
      <c r="Y54" s="545"/>
      <c r="Z54" s="289"/>
      <c r="AC54" s="263">
        <f>IF(xxYear=0,1,((xxYear-1)*9)+5)</f>
        <v>5</v>
      </c>
    </row>
    <row r="55" spans="1:29" ht="12.75">
      <c r="A55" s="284"/>
      <c r="C55" s="286"/>
      <c r="D55" s="288"/>
      <c r="E55" s="288"/>
      <c r="F55" s="472"/>
      <c r="G55" s="472"/>
      <c r="H55" s="472"/>
      <c r="I55" s="288"/>
      <c r="J55" s="290"/>
      <c r="K55" s="333" t="s">
        <v>1771</v>
      </c>
      <c r="L55" s="545">
        <f>IF(L54=0,0,(L54-tlInputBid5Price)/L54)</f>
        <v>1</v>
      </c>
      <c r="M55" s="288"/>
      <c r="N55" s="329"/>
      <c r="O55" s="288"/>
      <c r="P55" s="369"/>
      <c r="Q55" s="290"/>
      <c r="R55" s="367"/>
      <c r="S55" s="367"/>
      <c r="T55" s="367"/>
      <c r="U55" s="367"/>
      <c r="V55" s="367"/>
      <c r="W55" s="367"/>
      <c r="X55" s="424"/>
      <c r="Y55" s="424"/>
      <c r="Z55" s="289"/>
    </row>
    <row r="56" spans="1:29" ht="13.5" thickBot="1">
      <c r="A56" s="284"/>
      <c r="C56" s="286"/>
      <c r="D56" s="288"/>
      <c r="E56" s="288"/>
      <c r="F56" s="472"/>
      <c r="G56" s="472"/>
      <c r="H56" s="472"/>
      <c r="I56" s="288"/>
      <c r="J56" s="290"/>
      <c r="K56" s="288"/>
      <c r="L56" s="329"/>
      <c r="M56" s="288"/>
      <c r="N56" s="329"/>
      <c r="O56" s="288"/>
      <c r="P56" s="369"/>
      <c r="Q56" s="290"/>
      <c r="R56" s="367"/>
      <c r="S56" s="367"/>
      <c r="T56" s="367"/>
      <c r="U56" s="367"/>
      <c r="V56" s="367"/>
      <c r="W56" s="367"/>
      <c r="X56" s="424"/>
      <c r="Y56" s="424"/>
      <c r="Z56" s="289"/>
    </row>
    <row r="57" spans="1:29" ht="13.5" thickBot="1">
      <c r="A57" s="284"/>
      <c r="C57" s="286"/>
      <c r="D57" s="292"/>
      <c r="E57" s="288"/>
      <c r="F57" s="907" t="str">
        <f>"C: "&amp;VLOOKUP(toolBusinessB!$AC57,DataPageBPOData,2)</f>
        <v>C: Northern Pacific</v>
      </c>
      <c r="G57" s="908"/>
      <c r="H57" s="909"/>
      <c r="I57" s="288"/>
      <c r="J57" s="295" t="s">
        <v>984</v>
      </c>
      <c r="K57" s="288"/>
      <c r="L57" s="328">
        <f>VLOOKUP(toolBusinessB!$AC57,DataPageBPOData,3)/1000</f>
        <v>200000</v>
      </c>
      <c r="M57" s="288"/>
      <c r="N57" s="328">
        <f>VLOOKUP(toolBusinessB!$AC57,DataPageBPOData,4)/1000</f>
        <v>146220.72618176523</v>
      </c>
      <c r="O57" s="288"/>
      <c r="P57" s="515">
        <v>0</v>
      </c>
      <c r="Q57" s="290"/>
      <c r="R57" s="473">
        <v>0</v>
      </c>
      <c r="S57" s="367"/>
      <c r="T57" s="473">
        <v>0</v>
      </c>
      <c r="U57" s="367"/>
      <c r="V57" s="473">
        <v>0</v>
      </c>
      <c r="W57" s="367"/>
      <c r="X57" s="381" t="str">
        <f>IF(tlInputBid6Price=0,"",(tlInputBid6Price-N57)/N57)</f>
        <v/>
      </c>
      <c r="Y57" s="545"/>
      <c r="Z57" s="289"/>
      <c r="AC57" s="263">
        <f>IF(xxYear=0,1,((xxYear-1)*9)+6)</f>
        <v>6</v>
      </c>
    </row>
    <row r="58" spans="1:29" ht="12.75">
      <c r="A58" s="284"/>
      <c r="C58" s="286"/>
      <c r="D58" s="288"/>
      <c r="E58" s="288"/>
      <c r="F58" s="288"/>
      <c r="G58" s="288"/>
      <c r="H58" s="288"/>
      <c r="I58" s="288"/>
      <c r="J58" s="288"/>
      <c r="K58" s="333" t="s">
        <v>1771</v>
      </c>
      <c r="L58" s="545">
        <f>IF(L57=0,0,(L57-tlInputBid6Price)/L57)</f>
        <v>1</v>
      </c>
      <c r="M58" s="288"/>
      <c r="N58" s="329"/>
      <c r="O58" s="288"/>
      <c r="P58" s="369"/>
      <c r="Q58" s="290"/>
      <c r="R58" s="367"/>
      <c r="S58" s="367"/>
      <c r="T58" s="367"/>
      <c r="U58" s="367"/>
      <c r="V58" s="367"/>
      <c r="W58" s="367"/>
      <c r="X58" s="424"/>
      <c r="Y58" s="424"/>
      <c r="Z58" s="289"/>
    </row>
    <row r="59" spans="1:29" ht="12.75">
      <c r="A59" s="284"/>
      <c r="C59" s="286"/>
      <c r="D59" s="288"/>
      <c r="E59" s="288"/>
      <c r="F59" s="288"/>
      <c r="G59" s="288"/>
      <c r="H59" s="288"/>
      <c r="I59" s="288"/>
      <c r="J59" s="288"/>
      <c r="K59" s="288"/>
      <c r="L59" s="545"/>
      <c r="M59" s="288"/>
      <c r="N59" s="329"/>
      <c r="O59" s="288"/>
      <c r="P59" s="369"/>
      <c r="Q59" s="290"/>
      <c r="R59" s="367"/>
      <c r="S59" s="367"/>
      <c r="T59" s="367"/>
      <c r="U59" s="367"/>
      <c r="V59" s="367"/>
      <c r="W59" s="367"/>
      <c r="X59" s="424"/>
      <c r="Y59" s="424"/>
      <c r="Z59" s="289"/>
    </row>
    <row r="60" spans="1:29" ht="15" customHeight="1">
      <c r="A60" s="284"/>
      <c r="C60" s="286"/>
      <c r="D60" s="288"/>
      <c r="E60" s="288"/>
      <c r="F60" s="904" t="s">
        <v>839</v>
      </c>
      <c r="G60" s="905"/>
      <c r="H60" s="906"/>
      <c r="I60" s="288"/>
      <c r="J60" s="288"/>
      <c r="K60" s="288"/>
      <c r="L60" s="329"/>
      <c r="M60" s="288"/>
      <c r="N60" s="329"/>
      <c r="O60" s="288"/>
      <c r="P60" s="369"/>
      <c r="Q60" s="290"/>
      <c r="R60" s="367"/>
      <c r="S60" s="367"/>
      <c r="T60" s="367"/>
      <c r="U60" s="367"/>
      <c r="V60" s="367"/>
      <c r="W60" s="367"/>
      <c r="X60" s="424"/>
      <c r="Y60" s="424"/>
      <c r="Z60" s="289"/>
    </row>
    <row r="61" spans="1:29" ht="6" customHeight="1" thickBot="1">
      <c r="A61" s="284"/>
      <c r="C61" s="286"/>
      <c r="D61" s="288"/>
      <c r="E61" s="288"/>
      <c r="F61" s="288"/>
      <c r="G61" s="288"/>
      <c r="H61" s="288"/>
      <c r="I61" s="288"/>
      <c r="J61" s="288"/>
      <c r="K61" s="288"/>
      <c r="L61" s="329"/>
      <c r="M61" s="288"/>
      <c r="N61" s="329"/>
      <c r="O61" s="288"/>
      <c r="P61" s="369"/>
      <c r="Q61" s="290"/>
      <c r="R61" s="367"/>
      <c r="S61" s="367"/>
      <c r="T61" s="367"/>
      <c r="U61" s="367"/>
      <c r="V61" s="367"/>
      <c r="W61" s="367"/>
      <c r="X61" s="424"/>
      <c r="Y61" s="424"/>
      <c r="Z61" s="289"/>
    </row>
    <row r="62" spans="1:29" ht="13.5" thickBot="1">
      <c r="A62" s="284"/>
      <c r="C62" s="286"/>
      <c r="D62" s="292"/>
      <c r="E62" s="288"/>
      <c r="F62" s="907" t="str">
        <f>"A: "&amp;VLOOKUP(toolBusinessB!$AC62,DataPageBPOData,2)</f>
        <v>A: Werham Hogg</v>
      </c>
      <c r="G62" s="908"/>
      <c r="H62" s="909"/>
      <c r="I62" s="288"/>
      <c r="J62" s="293" t="s">
        <v>4253</v>
      </c>
      <c r="K62" s="288"/>
      <c r="L62" s="328">
        <f>VLOOKUP(toolBusinessB!$AC62,DataPageBPOData,3)/1000</f>
        <v>400000</v>
      </c>
      <c r="M62" s="288"/>
      <c r="N62" s="328">
        <f>VLOOKUP(toolBusinessB!$AC62,DataPageBPOData,4)/1000</f>
        <v>304993.88314819901</v>
      </c>
      <c r="O62" s="288"/>
      <c r="P62" s="515">
        <v>0</v>
      </c>
      <c r="Q62" s="290"/>
      <c r="R62" s="473">
        <v>0</v>
      </c>
      <c r="S62" s="367"/>
      <c r="T62" s="473">
        <v>0</v>
      </c>
      <c r="U62" s="367"/>
      <c r="V62" s="473">
        <v>0</v>
      </c>
      <c r="W62" s="367"/>
      <c r="X62" s="381" t="str">
        <f>IF(tlInputBid7Price=0,"",(tlInputBid7Price-N62)/N62)</f>
        <v/>
      </c>
      <c r="Y62" s="545"/>
      <c r="Z62" s="289"/>
      <c r="AC62" s="263">
        <f>IF(xxYear=0,1,((xxYear-1)*9)+7)</f>
        <v>7</v>
      </c>
    </row>
    <row r="63" spans="1:29" ht="12.75">
      <c r="A63" s="284"/>
      <c r="C63" s="286"/>
      <c r="D63" s="288"/>
      <c r="E63" s="288"/>
      <c r="F63" s="472"/>
      <c r="G63" s="472"/>
      <c r="H63" s="472"/>
      <c r="I63" s="288"/>
      <c r="J63" s="290"/>
      <c r="K63" s="333" t="s">
        <v>1771</v>
      </c>
      <c r="L63" s="545">
        <f>IF(L62=0,0,(L62-tlInputBid7Price)/L62)</f>
        <v>1</v>
      </c>
      <c r="M63" s="288"/>
      <c r="N63" s="329"/>
      <c r="O63" s="288"/>
      <c r="P63" s="369"/>
      <c r="Q63" s="290"/>
      <c r="R63" s="367"/>
      <c r="S63" s="367"/>
      <c r="T63" s="367"/>
      <c r="U63" s="367"/>
      <c r="V63" s="367"/>
      <c r="W63" s="367"/>
      <c r="X63" s="424"/>
      <c r="Y63" s="424"/>
      <c r="Z63" s="289"/>
    </row>
    <row r="64" spans="1:29" ht="13.5" thickBot="1">
      <c r="A64" s="284"/>
      <c r="C64" s="286"/>
      <c r="D64" s="288"/>
      <c r="E64" s="288"/>
      <c r="F64" s="472"/>
      <c r="G64" s="472"/>
      <c r="H64" s="472"/>
      <c r="I64" s="288"/>
      <c r="J64" s="290"/>
      <c r="K64" s="288"/>
      <c r="L64" s="329"/>
      <c r="M64" s="288"/>
      <c r="N64" s="329"/>
      <c r="O64" s="288"/>
      <c r="P64" s="369"/>
      <c r="Q64" s="290"/>
      <c r="R64" s="367"/>
      <c r="S64" s="367"/>
      <c r="T64" s="367"/>
      <c r="U64" s="367"/>
      <c r="V64" s="367"/>
      <c r="W64" s="367"/>
      <c r="X64" s="424"/>
      <c r="Y64" s="424"/>
      <c r="Z64" s="289"/>
    </row>
    <row r="65" spans="1:29" ht="13.5" thickBot="1">
      <c r="A65" s="284"/>
      <c r="C65" s="286"/>
      <c r="D65" s="292"/>
      <c r="E65" s="288"/>
      <c r="F65" s="907" t="str">
        <f>"B: "&amp;VLOOKUP(toolBusinessB!$AC65,DataPageBPOData,2)</f>
        <v>B: Inventech</v>
      </c>
      <c r="G65" s="908"/>
      <c r="H65" s="909"/>
      <c r="I65" s="288"/>
      <c r="J65" s="294" t="s">
        <v>1593</v>
      </c>
      <c r="K65" s="288"/>
      <c r="L65" s="328">
        <f>VLOOKUP(toolBusinessB!$AC65,DataPageBPOData,3)/1000</f>
        <v>500000</v>
      </c>
      <c r="M65" s="288"/>
      <c r="N65" s="328">
        <f>VLOOKUP(toolBusinessB!$AC65,DataPageBPOData,4)/1000</f>
        <v>389441.11423493101</v>
      </c>
      <c r="O65" s="288"/>
      <c r="P65" s="515">
        <v>0</v>
      </c>
      <c r="Q65" s="290"/>
      <c r="R65" s="473">
        <v>0</v>
      </c>
      <c r="S65" s="367"/>
      <c r="T65" s="473">
        <v>0</v>
      </c>
      <c r="U65" s="367"/>
      <c r="V65" s="473">
        <v>0</v>
      </c>
      <c r="W65" s="367"/>
      <c r="X65" s="381" t="str">
        <f>IF(tlInputBid8Price=0,"",(tlInputBid8Price-N65)/N65)</f>
        <v/>
      </c>
      <c r="Y65" s="545"/>
      <c r="Z65" s="289"/>
      <c r="AC65" s="263">
        <f>IF(xxYear=0,1,((xxYear-1)*9)+8)</f>
        <v>8</v>
      </c>
    </row>
    <row r="66" spans="1:29" ht="12.75">
      <c r="A66" s="284"/>
      <c r="C66" s="286"/>
      <c r="D66" s="288"/>
      <c r="E66" s="288"/>
      <c r="F66" s="472"/>
      <c r="G66" s="472"/>
      <c r="H66" s="472"/>
      <c r="I66" s="288"/>
      <c r="J66" s="290"/>
      <c r="K66" s="333" t="s">
        <v>1771</v>
      </c>
      <c r="L66" s="545">
        <f>IF(L65=0,0,(L65-tlInputBid8Price)/L65)</f>
        <v>1</v>
      </c>
      <c r="M66" s="288"/>
      <c r="N66" s="329"/>
      <c r="O66" s="288"/>
      <c r="P66" s="369"/>
      <c r="Q66" s="290"/>
      <c r="R66" s="367"/>
      <c r="S66" s="367"/>
      <c r="T66" s="367"/>
      <c r="U66" s="367"/>
      <c r="V66" s="367"/>
      <c r="W66" s="367"/>
      <c r="X66" s="424"/>
      <c r="Y66" s="424"/>
      <c r="Z66" s="289"/>
    </row>
    <row r="67" spans="1:29" ht="13.5" thickBot="1">
      <c r="A67" s="284"/>
      <c r="C67" s="286"/>
      <c r="D67" s="288"/>
      <c r="E67" s="288"/>
      <c r="F67" s="472"/>
      <c r="G67" s="472"/>
      <c r="H67" s="472"/>
      <c r="I67" s="288"/>
      <c r="J67" s="290"/>
      <c r="K67" s="288"/>
      <c r="L67" s="329"/>
      <c r="M67" s="288"/>
      <c r="N67" s="329"/>
      <c r="O67" s="288"/>
      <c r="P67" s="369"/>
      <c r="Q67" s="290"/>
      <c r="R67" s="367"/>
      <c r="S67" s="367"/>
      <c r="T67" s="367"/>
      <c r="U67" s="367"/>
      <c r="V67" s="367"/>
      <c r="W67" s="367"/>
      <c r="X67" s="424"/>
      <c r="Y67" s="424"/>
      <c r="Z67" s="289"/>
    </row>
    <row r="68" spans="1:29" ht="13.5" customHeight="1" thickBot="1">
      <c r="A68" s="284"/>
      <c r="C68" s="286"/>
      <c r="D68" s="292"/>
      <c r="E68" s="288"/>
      <c r="F68" s="907" t="str">
        <f>"C: "&amp;VLOOKUP(toolBusinessB!$AC68,DataPageBPOData,2)</f>
        <v>C: Doodle Search</v>
      </c>
      <c r="G68" s="908"/>
      <c r="H68" s="909"/>
      <c r="I68" s="288"/>
      <c r="J68" s="295" t="s">
        <v>984</v>
      </c>
      <c r="K68" s="288"/>
      <c r="L68" s="328">
        <f>VLOOKUP(toolBusinessB!$AC68,DataPageBPOData,3)/1000</f>
        <v>150000</v>
      </c>
      <c r="M68" s="288"/>
      <c r="N68" s="328">
        <f>VLOOKUP(toolBusinessB!$AC68,DataPageBPOData,4)/1000</f>
        <v>106817.89274119274</v>
      </c>
      <c r="O68" s="288"/>
      <c r="P68" s="515">
        <v>0</v>
      </c>
      <c r="Q68" s="290"/>
      <c r="R68" s="473">
        <v>0</v>
      </c>
      <c r="S68" s="367"/>
      <c r="T68" s="473">
        <v>0</v>
      </c>
      <c r="U68" s="367"/>
      <c r="V68" s="473">
        <v>0</v>
      </c>
      <c r="W68" s="367"/>
      <c r="X68" s="381" t="str">
        <f>IF(tlInputBid9Price=0,"",(tlInputBid9Price-N68)/N68)</f>
        <v/>
      </c>
      <c r="Y68" s="545"/>
      <c r="Z68" s="289"/>
      <c r="AC68" s="263">
        <f>IF(xxYear=0,1,((xxYear-1)*9)+9)</f>
        <v>9</v>
      </c>
    </row>
    <row r="69" spans="1:29" ht="13.5" customHeight="1">
      <c r="A69" s="284"/>
      <c r="C69" s="286"/>
      <c r="D69" s="288"/>
      <c r="E69" s="288"/>
      <c r="F69" s="290"/>
      <c r="G69" s="290"/>
      <c r="H69" s="290"/>
      <c r="I69" s="290"/>
      <c r="J69" s="290"/>
      <c r="K69" s="333" t="s">
        <v>1771</v>
      </c>
      <c r="L69" s="545">
        <f>IF(L68=0,0,(L68-tlInputBid9Price)/L68)</f>
        <v>1</v>
      </c>
      <c r="M69" s="290"/>
      <c r="N69" s="290"/>
      <c r="O69" s="290"/>
      <c r="P69" s="290"/>
      <c r="Q69" s="290"/>
      <c r="R69" s="290"/>
      <c r="S69" s="290"/>
      <c r="T69" s="290"/>
      <c r="U69" s="290"/>
      <c r="V69" s="290"/>
      <c r="W69" s="290"/>
      <c r="X69" s="290"/>
      <c r="Y69" s="290"/>
      <c r="Z69" s="289"/>
    </row>
    <row r="70" spans="1:29" ht="3" customHeight="1">
      <c r="A70" s="284"/>
      <c r="C70" s="286"/>
      <c r="D70" s="288"/>
      <c r="E70" s="288"/>
      <c r="F70" s="290"/>
      <c r="G70" s="290"/>
      <c r="H70" s="290"/>
      <c r="I70" s="290"/>
      <c r="J70" s="290"/>
      <c r="K70" s="333"/>
      <c r="L70" s="545"/>
      <c r="M70" s="290"/>
      <c r="N70" s="290"/>
      <c r="O70" s="290"/>
      <c r="P70" s="290"/>
      <c r="Q70" s="290"/>
      <c r="R70" s="290"/>
      <c r="S70" s="290"/>
      <c r="T70" s="290"/>
      <c r="U70" s="290"/>
      <c r="V70" s="290"/>
      <c r="W70" s="290"/>
      <c r="X70" s="290"/>
      <c r="Y70" s="290"/>
      <c r="Z70" s="289"/>
    </row>
    <row r="71" spans="1:29" ht="6" customHeight="1" thickBot="1">
      <c r="A71" s="284"/>
      <c r="C71" s="541"/>
      <c r="D71" s="542"/>
      <c r="E71" s="542"/>
      <c r="F71" s="471"/>
      <c r="G71" s="471"/>
      <c r="H71" s="471"/>
      <c r="I71" s="471"/>
      <c r="J71" s="471"/>
      <c r="K71" s="471"/>
      <c r="L71" s="471"/>
      <c r="M71" s="471"/>
      <c r="N71" s="471"/>
      <c r="O71" s="471"/>
      <c r="P71" s="471"/>
      <c r="Q71" s="471"/>
      <c r="R71" s="471"/>
      <c r="S71" s="471"/>
      <c r="T71" s="471"/>
      <c r="U71" s="471"/>
      <c r="V71" s="471"/>
      <c r="W71" s="471"/>
      <c r="X71" s="471"/>
      <c r="Y71" s="786"/>
      <c r="Z71" s="543"/>
    </row>
    <row r="72" spans="1:29" ht="6" customHeight="1">
      <c r="A72" s="284"/>
      <c r="C72" s="701"/>
      <c r="D72" s="702"/>
      <c r="E72" s="702"/>
      <c r="F72" s="667"/>
      <c r="G72" s="667"/>
      <c r="H72" s="667"/>
      <c r="I72" s="667"/>
      <c r="J72" s="667"/>
      <c r="K72" s="667"/>
      <c r="L72" s="667"/>
      <c r="M72" s="667"/>
      <c r="N72" s="290"/>
      <c r="O72" s="290"/>
      <c r="P72" s="290"/>
      <c r="Q72" s="290"/>
      <c r="R72" s="290"/>
      <c r="S72" s="290"/>
      <c r="T72" s="290"/>
      <c r="U72" s="290"/>
      <c r="V72" s="290"/>
      <c r="W72" s="290"/>
      <c r="X72" s="290"/>
      <c r="Y72" s="290"/>
      <c r="Z72" s="289"/>
    </row>
    <row r="73" spans="1:29" ht="6" customHeight="1" thickBot="1">
      <c r="A73" s="284"/>
      <c r="C73" s="701"/>
      <c r="D73" s="702"/>
      <c r="E73" s="702"/>
      <c r="F73" s="667"/>
      <c r="G73" s="667"/>
      <c r="H73" s="667"/>
      <c r="I73" s="667"/>
      <c r="J73" s="667"/>
      <c r="K73" s="667"/>
      <c r="L73" s="667"/>
      <c r="M73" s="667"/>
      <c r="N73" s="290"/>
      <c r="O73" s="290"/>
      <c r="P73" s="290"/>
      <c r="Q73" s="290"/>
      <c r="R73" s="290"/>
      <c r="S73" s="290"/>
      <c r="T73" s="290"/>
      <c r="U73" s="290"/>
      <c r="V73" s="290"/>
      <c r="W73" s="290"/>
      <c r="X73" s="290"/>
      <c r="Y73" s="290"/>
      <c r="Z73" s="289"/>
    </row>
    <row r="74" spans="1:29" ht="6" customHeight="1">
      <c r="A74" s="284"/>
      <c r="C74" s="701"/>
      <c r="D74" s="702"/>
      <c r="E74" s="702"/>
      <c r="F74" s="667"/>
      <c r="G74" s="667"/>
      <c r="H74" s="667"/>
      <c r="I74" s="667"/>
      <c r="J74" s="667"/>
      <c r="K74" s="667"/>
      <c r="L74" s="787"/>
      <c r="M74" s="788"/>
      <c r="N74" s="789"/>
      <c r="O74" s="789"/>
      <c r="P74" s="789"/>
      <c r="Q74" s="789"/>
      <c r="R74" s="789"/>
      <c r="S74" s="789"/>
      <c r="T74" s="789"/>
      <c r="U74" s="789"/>
      <c r="V74" s="789"/>
      <c r="W74" s="789"/>
      <c r="X74" s="789"/>
      <c r="Y74" s="790"/>
      <c r="Z74" s="289"/>
    </row>
    <row r="75" spans="1:29" ht="6" customHeight="1">
      <c r="A75" s="284"/>
      <c r="C75" s="701"/>
      <c r="D75" s="702"/>
      <c r="E75" s="702"/>
      <c r="F75" s="667"/>
      <c r="G75" s="667"/>
      <c r="H75" s="667"/>
      <c r="I75" s="667"/>
      <c r="J75" s="667"/>
      <c r="K75" s="667"/>
      <c r="L75" s="791"/>
      <c r="M75" s="667"/>
      <c r="N75" s="290"/>
      <c r="O75" s="290"/>
      <c r="P75" s="290"/>
      <c r="Q75" s="290"/>
      <c r="R75" s="290"/>
      <c r="S75" s="290"/>
      <c r="T75" s="290"/>
      <c r="U75" s="290"/>
      <c r="V75" s="290"/>
      <c r="W75" s="290"/>
      <c r="X75" s="290"/>
      <c r="Y75" s="767"/>
      <c r="Z75" s="289"/>
    </row>
    <row r="76" spans="1:29" s="765" customFormat="1" ht="15" customHeight="1">
      <c r="A76" s="759"/>
      <c r="C76" s="760"/>
      <c r="D76" s="761"/>
      <c r="E76" s="762"/>
      <c r="F76" s="761"/>
      <c r="G76" s="709"/>
      <c r="H76" s="709"/>
      <c r="I76" s="709"/>
      <c r="J76" s="709"/>
      <c r="K76" s="763"/>
      <c r="L76" s="792"/>
      <c r="M76" s="709"/>
      <c r="N76" s="709"/>
      <c r="O76" s="709"/>
      <c r="P76" s="709" t="s">
        <v>1137</v>
      </c>
      <c r="Q76" s="709"/>
      <c r="R76" s="709" t="s">
        <v>4644</v>
      </c>
      <c r="S76" s="709"/>
      <c r="T76" s="762" t="s">
        <v>1241</v>
      </c>
      <c r="U76" s="709"/>
      <c r="V76" s="762" t="s">
        <v>1240</v>
      </c>
      <c r="W76" s="709"/>
      <c r="X76" s="709"/>
      <c r="Y76" s="793"/>
      <c r="Z76" s="764"/>
    </row>
    <row r="77" spans="1:29" s="765" customFormat="1" ht="15" customHeight="1">
      <c r="A77" s="759"/>
      <c r="C77" s="760"/>
      <c r="D77" s="761"/>
      <c r="E77" s="762"/>
      <c r="F77" s="761"/>
      <c r="G77" s="709"/>
      <c r="H77" s="709"/>
      <c r="I77" s="709"/>
      <c r="J77" s="762"/>
      <c r="K77" s="763"/>
      <c r="L77" s="792"/>
      <c r="M77" s="709"/>
      <c r="N77" s="763" t="s">
        <v>1242</v>
      </c>
      <c r="O77" s="709"/>
      <c r="P77" s="709" t="s">
        <v>4480</v>
      </c>
      <c r="Q77" s="709"/>
      <c r="R77" s="709" t="s">
        <v>4645</v>
      </c>
      <c r="S77" s="709"/>
      <c r="T77" s="709" t="s">
        <v>939</v>
      </c>
      <c r="U77" s="709"/>
      <c r="V77" s="709" t="s">
        <v>702</v>
      </c>
      <c r="W77" s="709"/>
      <c r="X77" s="709" t="s">
        <v>941</v>
      </c>
      <c r="Y77" s="793"/>
      <c r="Z77" s="764"/>
    </row>
    <row r="78" spans="1:29" ht="3" customHeight="1" thickBot="1">
      <c r="A78" s="284"/>
      <c r="C78" s="286"/>
      <c r="D78" s="288"/>
      <c r="E78" s="288"/>
      <c r="F78" s="290"/>
      <c r="G78" s="290"/>
      <c r="H78" s="290"/>
      <c r="I78" s="290"/>
      <c r="J78" s="290"/>
      <c r="K78" s="333"/>
      <c r="L78" s="771"/>
      <c r="M78" s="545"/>
      <c r="N78" s="545"/>
      <c r="O78" s="545"/>
      <c r="P78" s="290"/>
      <c r="Q78" s="290"/>
      <c r="R78" s="290"/>
      <c r="S78" s="290"/>
      <c r="T78" s="290"/>
      <c r="U78" s="290"/>
      <c r="V78" s="290"/>
      <c r="W78" s="290"/>
      <c r="X78" s="290"/>
      <c r="Y78" s="794"/>
      <c r="Z78" s="289"/>
    </row>
    <row r="79" spans="1:29" ht="13.5" customHeight="1" thickBot="1">
      <c r="A79" s="284"/>
      <c r="C79" s="286"/>
      <c r="D79" s="288"/>
      <c r="E79" s="288"/>
      <c r="F79" s="290"/>
      <c r="G79" s="290"/>
      <c r="H79" s="290"/>
      <c r="I79" s="290"/>
      <c r="J79" s="290"/>
      <c r="K79" s="333"/>
      <c r="L79" s="771"/>
      <c r="M79" s="290"/>
      <c r="N79" s="333" t="s">
        <v>1243</v>
      </c>
      <c r="O79" s="333"/>
      <c r="P79" s="470">
        <f>INDEX(IF(xxYear=1,0,IF(xxYear=2,capBusBY1OpsSavings,IF(xxYear=3,capBusBY2OpsSavings+capBusBY1OpsSavings))),xxIndexTeam)/1000</f>
        <v>0</v>
      </c>
      <c r="Q79" s="288"/>
      <c r="R79" s="278">
        <v>2700</v>
      </c>
      <c r="S79" s="367"/>
      <c r="T79" s="278">
        <v>4500</v>
      </c>
      <c r="U79" s="367"/>
      <c r="V79" s="278">
        <v>7200</v>
      </c>
      <c r="W79" s="367"/>
      <c r="X79" s="278">
        <v>3000</v>
      </c>
      <c r="Y79" s="794"/>
      <c r="Z79" s="289"/>
    </row>
    <row r="80" spans="1:29" ht="13.5" customHeight="1" thickBot="1">
      <c r="A80" s="284"/>
      <c r="C80" s="286"/>
      <c r="D80" s="288"/>
      <c r="E80" s="288"/>
      <c r="F80" s="290"/>
      <c r="G80" s="290"/>
      <c r="H80" s="290"/>
      <c r="I80" s="290"/>
      <c r="J80" s="290"/>
      <c r="K80" s="333"/>
      <c r="L80" s="795"/>
      <c r="M80" s="796"/>
      <c r="N80" s="768"/>
      <c r="O80" s="768"/>
      <c r="P80" s="769"/>
      <c r="Q80" s="769"/>
      <c r="R80" s="769"/>
      <c r="S80" s="769"/>
      <c r="T80" s="769"/>
      <c r="U80" s="769"/>
      <c r="V80" s="769"/>
      <c r="W80" s="769"/>
      <c r="X80" s="769"/>
      <c r="Y80" s="797"/>
      <c r="Z80" s="289"/>
    </row>
    <row r="81" spans="1:26" ht="9.9499999999999993" customHeight="1">
      <c r="A81" s="284"/>
      <c r="C81" s="286"/>
      <c r="D81" s="288"/>
      <c r="E81" s="288"/>
      <c r="F81" s="290"/>
      <c r="G81" s="290"/>
      <c r="H81" s="290"/>
      <c r="I81" s="290"/>
      <c r="J81" s="290"/>
      <c r="K81" s="333"/>
      <c r="L81" s="545"/>
      <c r="M81" s="290"/>
      <c r="N81" s="333"/>
      <c r="O81" s="333"/>
      <c r="P81" s="766"/>
      <c r="Q81" s="766"/>
      <c r="R81" s="766"/>
      <c r="S81" s="766"/>
      <c r="T81" s="766"/>
      <c r="U81" s="766"/>
      <c r="V81" s="766"/>
      <c r="W81" s="766"/>
      <c r="X81" s="766"/>
      <c r="Y81" s="766"/>
      <c r="Z81" s="289"/>
    </row>
    <row r="82" spans="1:26" ht="9.9499999999999993" customHeight="1" thickBot="1">
      <c r="A82" s="284"/>
      <c r="C82" s="541"/>
      <c r="D82" s="542"/>
      <c r="E82" s="542"/>
      <c r="F82" s="471"/>
      <c r="G82" s="471"/>
      <c r="H82" s="471"/>
      <c r="I82" s="471"/>
      <c r="J82" s="471"/>
      <c r="K82" s="471"/>
      <c r="L82" s="471"/>
      <c r="M82" s="471"/>
      <c r="N82" s="471"/>
      <c r="O82" s="471"/>
      <c r="P82" s="471"/>
      <c r="Q82" s="471"/>
      <c r="R82" s="471"/>
      <c r="S82" s="471"/>
      <c r="T82" s="471"/>
      <c r="U82" s="471"/>
      <c r="V82" s="471"/>
      <c r="W82" s="471"/>
      <c r="X82" s="471"/>
      <c r="Y82" s="786"/>
      <c r="Z82" s="543"/>
    </row>
    <row r="83" spans="1:26" ht="6" customHeight="1">
      <c r="A83" s="284"/>
      <c r="C83" s="286"/>
      <c r="D83" s="288"/>
      <c r="E83" s="288"/>
      <c r="F83" s="290"/>
      <c r="G83" s="290"/>
      <c r="H83" s="290"/>
      <c r="I83" s="290"/>
      <c r="J83" s="290"/>
      <c r="K83" s="290"/>
      <c r="L83" s="290"/>
      <c r="M83" s="290"/>
      <c r="N83" s="290"/>
      <c r="O83" s="290"/>
      <c r="P83" s="290"/>
      <c r="Q83" s="290"/>
      <c r="R83" s="290"/>
      <c r="S83" s="290"/>
      <c r="T83" s="290"/>
      <c r="U83" s="290"/>
      <c r="V83" s="290"/>
      <c r="W83" s="290"/>
      <c r="X83" s="290"/>
      <c r="Y83" s="290"/>
      <c r="Z83" s="289"/>
    </row>
    <row r="84" spans="1:26" ht="6" customHeight="1" thickBot="1">
      <c r="A84" s="284"/>
      <c r="C84" s="286"/>
      <c r="D84" s="288"/>
      <c r="E84" s="288"/>
      <c r="F84" s="290"/>
      <c r="G84" s="290"/>
      <c r="H84" s="290"/>
      <c r="I84" s="290"/>
      <c r="J84" s="290"/>
      <c r="K84" s="290"/>
      <c r="L84" s="290"/>
      <c r="M84" s="290"/>
      <c r="N84" s="290"/>
      <c r="O84" s="290"/>
      <c r="P84" s="290"/>
      <c r="Q84" s="290"/>
      <c r="R84" s="290"/>
      <c r="S84" s="290"/>
      <c r="T84" s="290"/>
      <c r="U84" s="290"/>
      <c r="V84" s="290"/>
      <c r="W84" s="290"/>
      <c r="X84" s="290"/>
      <c r="Y84" s="290"/>
      <c r="Z84" s="289"/>
    </row>
    <row r="85" spans="1:26" ht="6" customHeight="1">
      <c r="A85" s="284"/>
      <c r="C85" s="701"/>
      <c r="D85" s="702"/>
      <c r="E85" s="702"/>
      <c r="F85" s="667"/>
      <c r="G85" s="667"/>
      <c r="H85" s="667"/>
      <c r="I85" s="667"/>
      <c r="J85" s="667"/>
      <c r="K85" s="667"/>
      <c r="L85" s="787"/>
      <c r="M85" s="788"/>
      <c r="N85" s="789"/>
      <c r="O85" s="789"/>
      <c r="P85" s="789"/>
      <c r="Q85" s="789"/>
      <c r="R85" s="789"/>
      <c r="S85" s="789"/>
      <c r="T85" s="789"/>
      <c r="U85" s="789"/>
      <c r="V85" s="789"/>
      <c r="W85" s="789"/>
      <c r="X85" s="789"/>
      <c r="Y85" s="790"/>
      <c r="Z85" s="289"/>
    </row>
    <row r="86" spans="1:26" ht="11.25" customHeight="1">
      <c r="A86" s="284"/>
      <c r="C86" s="701"/>
      <c r="D86" s="726"/>
      <c r="E86" s="726"/>
      <c r="F86" s="726"/>
      <c r="G86" s="726"/>
      <c r="H86" s="726"/>
      <c r="I86" s="726"/>
      <c r="J86" s="726"/>
      <c r="K86" s="726"/>
      <c r="L86" s="798"/>
      <c r="M86" s="726"/>
      <c r="N86" s="799"/>
      <c r="O86" s="290"/>
      <c r="P86" s="290"/>
      <c r="Q86" s="290"/>
      <c r="R86" s="290" t="s">
        <v>4644</v>
      </c>
      <c r="S86" s="290"/>
      <c r="T86" s="288" t="s">
        <v>1241</v>
      </c>
      <c r="U86" s="290"/>
      <c r="V86" s="288" t="s">
        <v>1240</v>
      </c>
      <c r="W86" s="290"/>
      <c r="X86" s="290"/>
      <c r="Y86" s="767"/>
      <c r="Z86" s="289"/>
    </row>
    <row r="87" spans="1:26" ht="13.5" customHeight="1">
      <c r="A87" s="284"/>
      <c r="C87" s="701"/>
      <c r="D87" s="726"/>
      <c r="E87" s="726"/>
      <c r="F87" s="726"/>
      <c r="G87" s="726"/>
      <c r="H87" s="726"/>
      <c r="I87" s="726"/>
      <c r="J87" s="726"/>
      <c r="K87" s="726"/>
      <c r="L87" s="798"/>
      <c r="M87" s="726"/>
      <c r="N87" s="799"/>
      <c r="O87" s="290"/>
      <c r="P87" s="288"/>
      <c r="Q87" s="288"/>
      <c r="R87" s="290" t="s">
        <v>4645</v>
      </c>
      <c r="S87" s="290"/>
      <c r="T87" s="290" t="s">
        <v>939</v>
      </c>
      <c r="U87" s="290"/>
      <c r="V87" s="290" t="s">
        <v>702</v>
      </c>
      <c r="W87" s="290"/>
      <c r="X87" s="290" t="s">
        <v>941</v>
      </c>
      <c r="Y87" s="767"/>
      <c r="Z87" s="289"/>
    </row>
    <row r="88" spans="1:26" ht="3" customHeight="1" thickBot="1">
      <c r="A88" s="284"/>
      <c r="C88" s="701"/>
      <c r="D88" s="726"/>
      <c r="E88" s="726"/>
      <c r="F88" s="726"/>
      <c r="G88" s="726"/>
      <c r="H88" s="726"/>
      <c r="I88" s="726"/>
      <c r="J88" s="726"/>
      <c r="K88" s="726"/>
      <c r="L88" s="798"/>
      <c r="M88" s="726"/>
      <c r="N88" s="799"/>
      <c r="O88" s="290"/>
      <c r="P88" s="333" t="s">
        <v>853</v>
      </c>
      <c r="Q88" s="333" t="s">
        <v>853</v>
      </c>
      <c r="R88" s="333" t="s">
        <v>853</v>
      </c>
      <c r="S88" s="333" t="s">
        <v>853</v>
      </c>
      <c r="T88" s="333" t="s">
        <v>853</v>
      </c>
      <c r="U88" s="333" t="s">
        <v>853</v>
      </c>
      <c r="V88" s="333" t="s">
        <v>853</v>
      </c>
      <c r="W88" s="333" t="s">
        <v>853</v>
      </c>
      <c r="X88" s="333" t="s">
        <v>853</v>
      </c>
      <c r="Y88" s="794"/>
      <c r="Z88" s="289"/>
    </row>
    <row r="89" spans="1:26" ht="13.5" thickBot="1">
      <c r="A89" s="284"/>
      <c r="C89" s="701"/>
      <c r="D89" s="726"/>
      <c r="E89" s="726"/>
      <c r="F89" s="726"/>
      <c r="G89" s="726"/>
      <c r="H89" s="726"/>
      <c r="I89" s="726"/>
      <c r="J89" s="726"/>
      <c r="K89" s="726"/>
      <c r="L89" s="798"/>
      <c r="M89" s="726"/>
      <c r="N89" s="799"/>
      <c r="O89" s="288"/>
      <c r="P89" s="333" t="s">
        <v>1185</v>
      </c>
      <c r="Q89" s="288"/>
      <c r="R89" s="278">
        <v>0</v>
      </c>
      <c r="S89" s="367"/>
      <c r="T89" s="278">
        <v>0</v>
      </c>
      <c r="U89" s="367"/>
      <c r="V89" s="278">
        <v>0</v>
      </c>
      <c r="W89" s="367"/>
      <c r="X89" s="278">
        <v>0</v>
      </c>
      <c r="Y89" s="794"/>
      <c r="Z89" s="289"/>
    </row>
    <row r="90" spans="1:26" ht="3" customHeight="1" thickBot="1">
      <c r="A90" s="284"/>
      <c r="C90" s="701"/>
      <c r="D90" s="726"/>
      <c r="E90" s="726"/>
      <c r="F90" s="726"/>
      <c r="G90" s="726"/>
      <c r="H90" s="726"/>
      <c r="I90" s="726"/>
      <c r="J90" s="726"/>
      <c r="K90" s="726"/>
      <c r="L90" s="798"/>
      <c r="M90" s="726"/>
      <c r="N90" s="799"/>
      <c r="O90" s="333"/>
      <c r="P90" s="472"/>
      <c r="Q90" s="288"/>
      <c r="R90" s="288"/>
      <c r="S90" s="288"/>
      <c r="T90" s="288"/>
      <c r="U90" s="288"/>
      <c r="V90" s="288"/>
      <c r="W90" s="288"/>
      <c r="X90" s="288"/>
      <c r="Y90" s="794"/>
      <c r="Z90" s="289"/>
    </row>
    <row r="91" spans="1:26" ht="13.5" thickBot="1">
      <c r="A91" s="284"/>
      <c r="C91" s="701"/>
      <c r="D91" s="726"/>
      <c r="E91" s="726"/>
      <c r="F91" s="726"/>
      <c r="G91" s="726"/>
      <c r="H91" s="726"/>
      <c r="I91" s="726"/>
      <c r="J91" s="726"/>
      <c r="K91" s="726"/>
      <c r="L91" s="798"/>
      <c r="M91" s="726"/>
      <c r="N91" s="799"/>
      <c r="O91" s="333"/>
      <c r="P91" s="333" t="s">
        <v>1244</v>
      </c>
      <c r="Q91" s="288"/>
      <c r="R91" s="381">
        <f>INDEX(paramEmp4AttRate,xxIndexTeam)</f>
        <v>8.9941499999999994E-2</v>
      </c>
      <c r="S91" s="474"/>
      <c r="T91" s="381">
        <f>INDEX(paramEmp3AttRate,xxIndexTeam)</f>
        <v>0.14990249999999999</v>
      </c>
      <c r="U91" s="474"/>
      <c r="V91" s="381">
        <f>INDEX(paramEmp2AttRate,xxIndexTeam)</f>
        <v>0.19986999999999999</v>
      </c>
      <c r="W91" s="474"/>
      <c r="X91" s="381">
        <f>INDEX(paramEmp1AttRate,xxIndexTeam)</f>
        <v>0.24983749999999999</v>
      </c>
      <c r="Y91" s="794"/>
      <c r="Z91" s="289"/>
    </row>
    <row r="92" spans="1:26" ht="3" customHeight="1" thickBot="1">
      <c r="A92" s="284"/>
      <c r="C92" s="701"/>
      <c r="D92" s="726"/>
      <c r="E92" s="726"/>
      <c r="F92" s="726"/>
      <c r="G92" s="726"/>
      <c r="H92" s="726"/>
      <c r="I92" s="726"/>
      <c r="J92" s="726"/>
      <c r="K92" s="726"/>
      <c r="L92" s="798"/>
      <c r="M92" s="726"/>
      <c r="N92" s="799"/>
      <c r="O92" s="333"/>
      <c r="P92" s="290"/>
      <c r="Q92" s="288"/>
      <c r="R92" s="290"/>
      <c r="S92" s="290"/>
      <c r="T92" s="290"/>
      <c r="U92" s="290"/>
      <c r="V92" s="290"/>
      <c r="W92" s="290"/>
      <c r="X92" s="290"/>
      <c r="Y92" s="794"/>
      <c r="Z92" s="289"/>
    </row>
    <row r="93" spans="1:26" ht="13.5" thickBot="1">
      <c r="A93" s="284"/>
      <c r="C93" s="701"/>
      <c r="D93" s="726"/>
      <c r="E93" s="726"/>
      <c r="F93" s="726"/>
      <c r="G93" s="726"/>
      <c r="H93" s="726"/>
      <c r="I93" s="726"/>
      <c r="J93" s="726"/>
      <c r="K93" s="726"/>
      <c r="L93" s="798"/>
      <c r="M93" s="726"/>
      <c r="N93" s="799"/>
      <c r="O93" s="333"/>
      <c r="P93" s="333" t="s">
        <v>1245</v>
      </c>
      <c r="Q93" s="288"/>
      <c r="R93" s="475">
        <f>INDEX(cbalBusBEmp4,xxIndexTeam)</f>
        <v>11</v>
      </c>
      <c r="S93" s="290"/>
      <c r="T93" s="475">
        <f>INDEX(cbalBusBEmp3,xxIndexTeam)</f>
        <v>18</v>
      </c>
      <c r="U93" s="290"/>
      <c r="V93" s="475">
        <f>INDEX(cbalBusBEmp2,xxIndexTeam)</f>
        <v>18</v>
      </c>
      <c r="W93" s="290"/>
      <c r="X93" s="475">
        <f>INDEX(cbalBusBEmp1,xxIndexTeam)</f>
        <v>9</v>
      </c>
      <c r="Y93" s="794"/>
      <c r="Z93" s="289"/>
    </row>
    <row r="94" spans="1:26" s="102" customFormat="1" ht="9" customHeight="1">
      <c r="A94" s="178"/>
      <c r="C94" s="701"/>
      <c r="D94" s="252"/>
      <c r="E94" s="252"/>
      <c r="F94" s="252"/>
      <c r="G94" s="252"/>
      <c r="H94" s="252"/>
      <c r="I94" s="252"/>
      <c r="J94" s="252"/>
      <c r="K94" s="252"/>
      <c r="L94" s="800"/>
      <c r="M94" s="252"/>
      <c r="N94" s="252"/>
      <c r="O94" s="288"/>
      <c r="P94" s="290"/>
      <c r="Q94" s="288"/>
      <c r="R94" s="290"/>
      <c r="S94" s="290"/>
      <c r="T94" s="290"/>
      <c r="U94" s="290"/>
      <c r="V94" s="290"/>
      <c r="W94" s="290"/>
      <c r="X94" s="290"/>
      <c r="Y94" s="794"/>
      <c r="Z94" s="289"/>
    </row>
    <row r="95" spans="1:26" s="102" customFormat="1" ht="3" customHeight="1" thickBot="1">
      <c r="A95" s="178"/>
      <c r="C95" s="701"/>
      <c r="D95" s="252"/>
      <c r="E95" s="252"/>
      <c r="F95" s="252"/>
      <c r="G95" s="252"/>
      <c r="H95" s="252"/>
      <c r="I95" s="252"/>
      <c r="J95" s="252"/>
      <c r="K95" s="252"/>
      <c r="L95" s="801"/>
      <c r="M95" s="802"/>
      <c r="N95" s="802"/>
      <c r="O95" s="770"/>
      <c r="P95" s="796"/>
      <c r="Q95" s="770"/>
      <c r="R95" s="796"/>
      <c r="S95" s="796"/>
      <c r="T95" s="796"/>
      <c r="U95" s="796"/>
      <c r="V95" s="796"/>
      <c r="W95" s="796"/>
      <c r="X95" s="796"/>
      <c r="Y95" s="803"/>
      <c r="Z95" s="289"/>
    </row>
    <row r="96" spans="1:26" ht="20.100000000000001" customHeight="1">
      <c r="A96" s="284"/>
      <c r="C96" s="703"/>
      <c r="D96" s="704"/>
      <c r="E96" s="704"/>
      <c r="F96" s="704"/>
      <c r="G96" s="704"/>
      <c r="H96" s="704"/>
      <c r="I96" s="704"/>
      <c r="J96" s="704"/>
      <c r="K96" s="704"/>
      <c r="L96" s="704"/>
      <c r="M96" s="704"/>
      <c r="N96" s="308"/>
      <c r="O96" s="308"/>
      <c r="P96" s="308"/>
      <c r="Q96" s="308"/>
      <c r="R96" s="308"/>
      <c r="S96" s="308"/>
      <c r="T96" s="308"/>
      <c r="U96" s="308"/>
      <c r="V96" s="308"/>
      <c r="W96" s="308"/>
      <c r="X96" s="308"/>
      <c r="Y96" s="308"/>
      <c r="Z96" s="309"/>
    </row>
    <row r="97" spans="1:26" ht="12.75">
      <c r="A97" s="284"/>
      <c r="B97" s="284"/>
      <c r="C97" s="284"/>
      <c r="D97" s="284"/>
      <c r="E97" s="284"/>
      <c r="F97" s="284"/>
      <c r="G97" s="284"/>
      <c r="H97" s="284"/>
      <c r="I97" s="284"/>
      <c r="J97" s="284"/>
      <c r="K97" s="284"/>
      <c r="L97" s="284"/>
      <c r="M97" s="284"/>
      <c r="N97" s="284"/>
      <c r="O97" s="284"/>
      <c r="P97" s="284"/>
      <c r="Q97" s="284"/>
      <c r="R97" s="284"/>
      <c r="S97" s="284"/>
      <c r="T97" s="284"/>
      <c r="U97" s="284"/>
      <c r="V97" s="284"/>
      <c r="W97" s="284"/>
      <c r="X97" s="284"/>
      <c r="Y97" s="284"/>
      <c r="Z97" s="284"/>
    </row>
    <row r="98" spans="1:26" ht="12.75">
      <c r="A98" s="284"/>
      <c r="B98" s="284"/>
      <c r="C98" s="284"/>
      <c r="D98" s="284"/>
      <c r="E98" s="284"/>
      <c r="F98" s="284"/>
      <c r="G98" s="284"/>
      <c r="H98" s="284"/>
      <c r="I98" s="284"/>
      <c r="J98" s="284"/>
      <c r="K98" s="284"/>
      <c r="L98" s="284"/>
      <c r="M98" s="284"/>
      <c r="N98" s="284"/>
      <c r="O98" s="284"/>
      <c r="P98" s="284"/>
      <c r="Q98" s="284"/>
      <c r="R98" s="284"/>
      <c r="S98" s="284"/>
      <c r="T98" s="284"/>
      <c r="U98" s="284"/>
      <c r="V98" s="284"/>
      <c r="W98" s="284"/>
      <c r="X98" s="284"/>
      <c r="Y98" s="284"/>
      <c r="Z98" s="284"/>
    </row>
    <row r="99" spans="1:26" ht="12.75">
      <c r="A99" s="284"/>
      <c r="B99" s="284"/>
      <c r="C99" s="284"/>
      <c r="D99" s="284"/>
      <c r="E99" s="284"/>
      <c r="F99" s="284"/>
      <c r="G99" s="284"/>
      <c r="H99" s="284"/>
      <c r="I99" s="284"/>
      <c r="J99" s="284"/>
      <c r="K99" s="284"/>
      <c r="L99" s="284"/>
      <c r="M99" s="284"/>
      <c r="N99" s="284"/>
      <c r="O99" s="284"/>
      <c r="P99" s="284"/>
      <c r="Q99" s="284"/>
      <c r="R99" s="284"/>
      <c r="S99" s="284"/>
      <c r="T99" s="284"/>
      <c r="U99" s="284"/>
      <c r="V99" s="284"/>
      <c r="W99" s="284"/>
      <c r="X99" s="284"/>
      <c r="Y99" s="284"/>
      <c r="Z99" s="284"/>
    </row>
    <row r="100" spans="1:26" ht="12.75">
      <c r="A100" s="284"/>
      <c r="B100" s="284"/>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row>
    <row r="101" spans="1:26" ht="12.75">
      <c r="A101" s="284"/>
      <c r="B101" s="284"/>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row>
    <row r="102" spans="1:26" ht="12.75">
      <c r="A102" s="284"/>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row>
    <row r="103" spans="1:26" ht="12.75">
      <c r="A103" s="284"/>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row>
    <row r="104" spans="1:26" ht="12.75">
      <c r="A104" s="284"/>
      <c r="B104" s="284"/>
      <c r="C104" s="284"/>
      <c r="D104" s="284"/>
      <c r="E104" s="284"/>
      <c r="F104" s="284"/>
      <c r="G104" s="284"/>
      <c r="H104" s="284"/>
      <c r="I104" s="284"/>
      <c r="J104" s="284"/>
      <c r="K104" s="284"/>
      <c r="L104" s="284"/>
      <c r="M104" s="284"/>
      <c r="N104" s="284"/>
      <c r="O104" s="284"/>
      <c r="P104" s="284"/>
      <c r="Q104" s="284"/>
      <c r="R104" s="284"/>
      <c r="S104" s="284"/>
      <c r="T104" s="284"/>
      <c r="U104" s="284"/>
      <c r="V104" s="284"/>
      <c r="W104" s="284"/>
      <c r="X104" s="284"/>
      <c r="Y104" s="284"/>
      <c r="Z104" s="284"/>
    </row>
    <row r="105" spans="1:26" ht="12.75">
      <c r="M105" s="263"/>
      <c r="O105" s="263"/>
    </row>
    <row r="106" spans="1:26" ht="12.75"/>
    <row r="107" spans="1:26" ht="12.75"/>
    <row r="108" spans="1:26" ht="12.75"/>
    <row r="109" spans="1:26" ht="12.75"/>
    <row r="110" spans="1:26" ht="12.75"/>
    <row r="111" spans="1:26" ht="12.75"/>
    <row r="112" spans="1:26" ht="12.75"/>
    <row r="113" spans="29:30" ht="12.75"/>
    <row r="114" spans="29:30" ht="12.75">
      <c r="AD114" s="263" t="s">
        <v>1890</v>
      </c>
    </row>
    <row r="115" spans="29:30" ht="12.75">
      <c r="AC115" s="263" t="s">
        <v>1891</v>
      </c>
      <c r="AD115" s="263" t="b">
        <v>1</v>
      </c>
    </row>
    <row r="116" spans="29:30" ht="12.75">
      <c r="AC116" s="263" t="s">
        <v>1892</v>
      </c>
      <c r="AD116" s="263" t="b">
        <v>0</v>
      </c>
    </row>
    <row r="117" spans="29:30" ht="12.75">
      <c r="AC117" s="263" t="s">
        <v>1893</v>
      </c>
      <c r="AD117" s="263" t="b">
        <v>0</v>
      </c>
    </row>
    <row r="118" spans="29:30" ht="12.75">
      <c r="AC118" s="263" t="s">
        <v>1894</v>
      </c>
      <c r="AD118" s="263" t="b">
        <v>0</v>
      </c>
    </row>
    <row r="119" spans="29:30" ht="12.75">
      <c r="AC119" s="263" t="s">
        <v>1895</v>
      </c>
      <c r="AD119" s="263" t="b">
        <v>0</v>
      </c>
    </row>
    <row r="120" spans="29:30" ht="12.75">
      <c r="AC120" s="263" t="s">
        <v>1896</v>
      </c>
      <c r="AD120" s="263" t="b">
        <v>0</v>
      </c>
    </row>
    <row r="121" spans="29:30" ht="12.75">
      <c r="AC121" s="263" t="s">
        <v>1897</v>
      </c>
      <c r="AD121" s="263" t="b">
        <v>0</v>
      </c>
    </row>
    <row r="122" spans="29:30" ht="12.75">
      <c r="AC122" s="263" t="s">
        <v>1898</v>
      </c>
      <c r="AD122" s="263" t="b">
        <v>0</v>
      </c>
    </row>
    <row r="123" spans="29:30" ht="12.75">
      <c r="AC123" s="263" t="s">
        <v>1899</v>
      </c>
      <c r="AD123" s="263" t="b">
        <v>0</v>
      </c>
    </row>
  </sheetData>
  <mergeCells count="1">
    <mergeCell ref="D10:F11"/>
  </mergeCells>
  <phoneticPr fontId="0" type="noConversion"/>
  <conditionalFormatting sqref="R93 T93 V93 X93">
    <cfRule type="cellIs" dxfId="0" priority="3" stopIfTrue="1" operator="lessThanOrEqual">
      <formula>0</formula>
    </cfRule>
  </conditionalFormatting>
  <dataValidations disablePrompts="1" count="1">
    <dataValidation operator="greaterThanOrEqual" allowBlank="1" showInputMessage="1" showErrorMessage="1" error="Must be a positive number" sqref="H19"/>
  </dataValidations>
  <pageMargins left="0.75" right="0.75" top="1" bottom="1" header="0.5" footer="0.5"/>
  <pageSetup scale="7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701" r:id="rId4" name="Check Box 29">
              <controlPr defaultSize="0" autoFill="0" autoLine="0" autoPict="0" macro="[0]!ABid1">
                <anchor moveWithCells="1">
                  <from>
                    <xdr:col>2</xdr:col>
                    <xdr:colOff>28575</xdr:colOff>
                    <xdr:row>13</xdr:row>
                    <xdr:rowOff>142875</xdr:rowOff>
                  </from>
                  <to>
                    <xdr:col>3</xdr:col>
                    <xdr:colOff>9525</xdr:colOff>
                    <xdr:row>15</xdr:row>
                    <xdr:rowOff>38100</xdr:rowOff>
                  </to>
                </anchor>
              </controlPr>
            </control>
          </mc:Choice>
        </mc:AlternateContent>
        <mc:AlternateContent xmlns:mc="http://schemas.openxmlformats.org/markup-compatibility/2006">
          <mc:Choice Requires="x14">
            <control shapeId="28702" r:id="rId5" name="Check Box 30">
              <controlPr defaultSize="0" autoFill="0" autoLine="0" autoPict="0" macro="[0]!ABid2">
                <anchor moveWithCells="1">
                  <from>
                    <xdr:col>2</xdr:col>
                    <xdr:colOff>28575</xdr:colOff>
                    <xdr:row>15</xdr:row>
                    <xdr:rowOff>133350</xdr:rowOff>
                  </from>
                  <to>
                    <xdr:col>3</xdr:col>
                    <xdr:colOff>9525</xdr:colOff>
                    <xdr:row>17</xdr:row>
                    <xdr:rowOff>28575</xdr:rowOff>
                  </to>
                </anchor>
              </controlPr>
            </control>
          </mc:Choice>
        </mc:AlternateContent>
        <mc:AlternateContent xmlns:mc="http://schemas.openxmlformats.org/markup-compatibility/2006">
          <mc:Choice Requires="x14">
            <control shapeId="28703" r:id="rId6" name="Check Box 31">
              <controlPr defaultSize="0" autoFill="0" autoLine="0" autoPict="0" macro="[0]!ABid3">
                <anchor moveWithCells="1">
                  <from>
                    <xdr:col>2</xdr:col>
                    <xdr:colOff>28575</xdr:colOff>
                    <xdr:row>17</xdr:row>
                    <xdr:rowOff>123825</xdr:rowOff>
                  </from>
                  <to>
                    <xdr:col>3</xdr:col>
                    <xdr:colOff>9525</xdr:colOff>
                    <xdr:row>19</xdr:row>
                    <xdr:rowOff>19050</xdr:rowOff>
                  </to>
                </anchor>
              </controlPr>
            </control>
          </mc:Choice>
        </mc:AlternateContent>
        <mc:AlternateContent xmlns:mc="http://schemas.openxmlformats.org/markup-compatibility/2006">
          <mc:Choice Requires="x14">
            <control shapeId="28704" r:id="rId7" name="Check Box 32">
              <controlPr defaultSize="0" autoFill="0" autoLine="0" autoPict="0" macro="[0]!ABid7">
                <anchor moveWithCells="1">
                  <from>
                    <xdr:col>3</xdr:col>
                    <xdr:colOff>0</xdr:colOff>
                    <xdr:row>60</xdr:row>
                    <xdr:rowOff>47625</xdr:rowOff>
                  </from>
                  <to>
                    <xdr:col>3</xdr:col>
                    <xdr:colOff>304800</xdr:colOff>
                    <xdr:row>62</xdr:row>
                    <xdr:rowOff>19050</xdr:rowOff>
                  </to>
                </anchor>
              </controlPr>
            </control>
          </mc:Choice>
        </mc:AlternateContent>
        <mc:AlternateContent xmlns:mc="http://schemas.openxmlformats.org/markup-compatibility/2006">
          <mc:Choice Requires="x14">
            <control shapeId="28705" r:id="rId8" name="Check Box 33">
              <controlPr defaultSize="0" autoFill="0" autoLine="0" autoPict="0" macro="[0]!ABid4">
                <anchor moveWithCells="1">
                  <from>
                    <xdr:col>3</xdr:col>
                    <xdr:colOff>9525</xdr:colOff>
                    <xdr:row>49</xdr:row>
                    <xdr:rowOff>47625</xdr:rowOff>
                  </from>
                  <to>
                    <xdr:col>3</xdr:col>
                    <xdr:colOff>314325</xdr:colOff>
                    <xdr:row>51</xdr:row>
                    <xdr:rowOff>19050</xdr:rowOff>
                  </to>
                </anchor>
              </controlPr>
            </control>
          </mc:Choice>
        </mc:AlternateContent>
        <mc:AlternateContent xmlns:mc="http://schemas.openxmlformats.org/markup-compatibility/2006">
          <mc:Choice Requires="x14">
            <control shapeId="28706" r:id="rId9" name="Check Box 34">
              <controlPr defaultSize="0" autoFill="0" autoLine="0" autoPict="0" macro="[0]!ABid5">
                <anchor moveWithCells="1">
                  <from>
                    <xdr:col>3</xdr:col>
                    <xdr:colOff>0</xdr:colOff>
                    <xdr:row>52</xdr:row>
                    <xdr:rowOff>152400</xdr:rowOff>
                  </from>
                  <to>
                    <xdr:col>3</xdr:col>
                    <xdr:colOff>304800</xdr:colOff>
                    <xdr:row>54</xdr:row>
                    <xdr:rowOff>28575</xdr:rowOff>
                  </to>
                </anchor>
              </controlPr>
            </control>
          </mc:Choice>
        </mc:AlternateContent>
        <mc:AlternateContent xmlns:mc="http://schemas.openxmlformats.org/markup-compatibility/2006">
          <mc:Choice Requires="x14">
            <control shapeId="28707" r:id="rId10" name="Check Box 35">
              <controlPr defaultSize="0" autoFill="0" autoLine="0" autoPict="0" macro="[0]!ABid6">
                <anchor moveWithCells="1">
                  <from>
                    <xdr:col>3</xdr:col>
                    <xdr:colOff>0</xdr:colOff>
                    <xdr:row>55</xdr:row>
                    <xdr:rowOff>142875</xdr:rowOff>
                  </from>
                  <to>
                    <xdr:col>3</xdr:col>
                    <xdr:colOff>304800</xdr:colOff>
                    <xdr:row>57</xdr:row>
                    <xdr:rowOff>19050</xdr:rowOff>
                  </to>
                </anchor>
              </controlPr>
            </control>
          </mc:Choice>
        </mc:AlternateContent>
        <mc:AlternateContent xmlns:mc="http://schemas.openxmlformats.org/markup-compatibility/2006">
          <mc:Choice Requires="x14">
            <control shapeId="28708" r:id="rId11" name="Check Box 36">
              <controlPr defaultSize="0" autoFill="0" autoLine="0" autoPict="0" macro="[0]!ABid8">
                <anchor moveWithCells="1">
                  <from>
                    <xdr:col>3</xdr:col>
                    <xdr:colOff>0</xdr:colOff>
                    <xdr:row>63</xdr:row>
                    <xdr:rowOff>142875</xdr:rowOff>
                  </from>
                  <to>
                    <xdr:col>3</xdr:col>
                    <xdr:colOff>304800</xdr:colOff>
                    <xdr:row>65</xdr:row>
                    <xdr:rowOff>19050</xdr:rowOff>
                  </to>
                </anchor>
              </controlPr>
            </control>
          </mc:Choice>
        </mc:AlternateContent>
        <mc:AlternateContent xmlns:mc="http://schemas.openxmlformats.org/markup-compatibility/2006">
          <mc:Choice Requires="x14">
            <control shapeId="28709" r:id="rId12" name="Check Box 37">
              <controlPr defaultSize="0" autoFill="0" autoLine="0" autoPict="0" macro="[0]!ABid9">
                <anchor moveWithCells="1">
                  <from>
                    <xdr:col>3</xdr:col>
                    <xdr:colOff>0</xdr:colOff>
                    <xdr:row>66</xdr:row>
                    <xdr:rowOff>142875</xdr:rowOff>
                  </from>
                  <to>
                    <xdr:col>3</xdr:col>
                    <xdr:colOff>304800</xdr:colOff>
                    <xdr:row>68</xdr:row>
                    <xdr:rowOff>19050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0099"/>
  </sheetPr>
  <dimension ref="A1:AA60"/>
  <sheetViews>
    <sheetView showGridLines="0" tabSelected="1" zoomScale="155" zoomScaleNormal="155" workbookViewId="0">
      <pane ySplit="6" topLeftCell="A7" activePane="bottomLeft" state="frozen"/>
      <selection pane="bottomLeft" activeCell="F14" sqref="F14"/>
    </sheetView>
  </sheetViews>
  <sheetFormatPr defaultColWidth="18.83203125" defaultRowHeight="12.95" customHeight="1"/>
  <cols>
    <col min="1" max="1" width="2.5" style="263" customWidth="1"/>
    <col min="2" max="2" width="1.5" customWidth="1"/>
    <col min="3" max="3" width="13.1640625" customWidth="1"/>
    <col min="4" max="4" width="16.83203125" customWidth="1"/>
    <col min="5" max="5" width="2.83203125" customWidth="1"/>
    <col min="6" max="6" width="16.83203125" customWidth="1"/>
    <col min="7" max="7" width="2.83203125" customWidth="1"/>
    <col min="8" max="8" width="16.83203125" customWidth="1"/>
    <col min="9" max="9" width="2.83203125" customWidth="1"/>
    <col min="10" max="10" width="16.83203125" customWidth="1"/>
    <col min="11" max="11" width="2.83203125" customWidth="1"/>
    <col min="12" max="12" width="16.83203125" customWidth="1"/>
    <col min="13" max="13" width="2" customWidth="1"/>
    <col min="14" max="14" width="16.83203125" customWidth="1"/>
    <col min="15" max="15" width="2.83203125" customWidth="1"/>
    <col min="16" max="16" width="16.83203125" customWidth="1"/>
    <col min="17" max="17" width="2.83203125" customWidth="1"/>
    <col min="18" max="18" width="10.1640625" customWidth="1"/>
    <col min="19" max="19" width="1.6640625" customWidth="1"/>
    <col min="20" max="27" width="9.33203125" customWidth="1"/>
  </cols>
  <sheetData>
    <row r="1" spans="1:25" ht="12.75">
      <c r="A1" s="284"/>
      <c r="B1" s="284"/>
      <c r="C1" s="284"/>
      <c r="D1" s="284"/>
      <c r="E1" s="284"/>
      <c r="F1" s="284"/>
      <c r="G1" s="284"/>
      <c r="H1" s="284"/>
      <c r="I1" s="284"/>
      <c r="J1" s="284"/>
      <c r="K1" s="284"/>
      <c r="L1" s="284"/>
      <c r="M1" s="284"/>
      <c r="N1" s="284"/>
      <c r="O1" s="284"/>
      <c r="P1" s="284"/>
      <c r="Q1" s="284"/>
      <c r="R1" s="284"/>
      <c r="S1" s="284"/>
      <c r="T1" s="284"/>
      <c r="U1" s="284"/>
    </row>
    <row r="2" spans="1:25" ht="20.25" customHeight="1">
      <c r="A2" s="284"/>
      <c r="B2" s="284"/>
      <c r="C2" s="284"/>
      <c r="D2" s="284"/>
      <c r="E2" s="284"/>
      <c r="F2" s="284"/>
      <c r="G2" s="284"/>
      <c r="H2" s="284"/>
      <c r="I2" s="284"/>
      <c r="J2" s="284"/>
      <c r="K2" s="284"/>
      <c r="L2" s="284"/>
      <c r="M2" s="284"/>
      <c r="N2" s="284"/>
      <c r="O2" s="284"/>
      <c r="P2" s="284"/>
      <c r="Q2" s="284"/>
      <c r="R2" s="284"/>
      <c r="S2" s="284"/>
      <c r="T2" s="284"/>
      <c r="U2" s="284"/>
    </row>
    <row r="3" spans="1:25" s="263" customFormat="1" ht="27" customHeight="1">
      <c r="A3" s="284"/>
      <c r="B3" s="1548" t="str">
        <f>xxDashboard</f>
        <v>Bookings: $338.8M       Bookings CAGR: 0.0%       Revenues: $200.5M       GM: 34.8%       OM: -73.2%</v>
      </c>
      <c r="C3" s="1549"/>
      <c r="D3" s="1549"/>
      <c r="E3" s="1549"/>
      <c r="F3" s="1549"/>
      <c r="G3" s="1549"/>
      <c r="H3" s="1549"/>
      <c r="I3" s="1549"/>
      <c r="J3" s="1549"/>
      <c r="K3" s="1549"/>
      <c r="L3" s="1549"/>
      <c r="M3" s="1549"/>
      <c r="N3" s="1549"/>
      <c r="O3" s="1549"/>
      <c r="P3" s="1549"/>
      <c r="Q3" s="1549"/>
      <c r="R3" s="1549"/>
      <c r="S3" s="1550"/>
      <c r="T3" s="284"/>
      <c r="U3" s="284"/>
      <c r="V3"/>
      <c r="W3"/>
      <c r="X3"/>
      <c r="Y3" s="284"/>
    </row>
    <row r="4" spans="1:25" s="263" customFormat="1" ht="15">
      <c r="A4" s="284"/>
      <c r="B4" s="1551" t="str">
        <f>xxDashboardBusB</f>
        <v>(Outsourcing Time Demand)  Acc. Leader: 25.7%   Sr. Manager/Manager: 28.5%    Consultant/Analyst: 39.6%    Solutions WF: 40.6%</v>
      </c>
      <c r="C4" s="1549"/>
      <c r="D4" s="1549"/>
      <c r="E4" s="1549"/>
      <c r="F4" s="1549"/>
      <c r="G4" s="1549"/>
      <c r="H4" s="1549"/>
      <c r="I4" s="1549"/>
      <c r="J4" s="1549"/>
      <c r="K4" s="1549"/>
      <c r="L4" s="1549"/>
      <c r="M4" s="1549"/>
      <c r="N4" s="1549"/>
      <c r="O4" s="1549"/>
      <c r="P4" s="1549"/>
      <c r="Q4" s="1549"/>
      <c r="R4" s="1549"/>
      <c r="S4" s="1550"/>
      <c r="T4" s="284"/>
      <c r="U4" s="284"/>
      <c r="V4"/>
      <c r="W4"/>
      <c r="X4"/>
      <c r="Y4" s="284"/>
    </row>
    <row r="5" spans="1:25" s="263" customFormat="1" ht="15.75" customHeight="1">
      <c r="A5" s="284"/>
      <c r="B5" s="1552" t="str">
        <f>xxDashboardBusA2</f>
        <v>(Consulting Time Demand)   Acc. Leader: 50.6%    Sr. Manager/Manager: 46.2%    Consultant/Analyst: 47.7%</v>
      </c>
      <c r="C5" s="1549"/>
      <c r="D5" s="1549"/>
      <c r="E5" s="1549"/>
      <c r="F5" s="1549"/>
      <c r="G5" s="1549"/>
      <c r="H5" s="1549"/>
      <c r="I5" s="1549"/>
      <c r="J5" s="1549"/>
      <c r="K5" s="1549"/>
      <c r="L5" s="1549"/>
      <c r="M5" s="1549"/>
      <c r="N5" s="1549"/>
      <c r="O5" s="1549"/>
      <c r="P5" s="1549"/>
      <c r="Q5" s="1549"/>
      <c r="R5" s="1549"/>
      <c r="S5" s="1550"/>
      <c r="T5" s="284"/>
      <c r="U5" s="284"/>
      <c r="V5"/>
      <c r="W5"/>
      <c r="X5"/>
      <c r="Y5" s="284"/>
    </row>
    <row r="6" spans="1:25" s="102" customFormat="1" ht="15">
      <c r="A6" s="178"/>
      <c r="B6" s="1553" t="str">
        <f>xxDashboardBusA2SIT</f>
        <v>(SI&amp;T Time Demand)   Acc. Leader: 91.2%    Sr. Manager/Manager: 101.8%    Consultant/Analyst: 81.2%    Solutions WF: 20.4%</v>
      </c>
      <c r="C6" s="1549"/>
      <c r="D6" s="1549"/>
      <c r="E6" s="1549"/>
      <c r="F6" s="1549"/>
      <c r="G6" s="1549"/>
      <c r="H6" s="1549"/>
      <c r="I6" s="1549"/>
      <c r="J6" s="1549"/>
      <c r="K6" s="1549"/>
      <c r="L6" s="1549"/>
      <c r="M6" s="1549"/>
      <c r="N6" s="1549"/>
      <c r="O6" s="1549"/>
      <c r="P6" s="1549"/>
      <c r="Q6" s="1549"/>
      <c r="R6" s="1549"/>
      <c r="S6" s="1550"/>
    </row>
    <row r="7" spans="1:25" ht="12.75">
      <c r="A7" s="284"/>
      <c r="B7" s="284"/>
      <c r="C7" s="284"/>
      <c r="D7" s="284"/>
      <c r="E7" s="284"/>
      <c r="F7" s="284"/>
      <c r="G7" s="284"/>
      <c r="H7" s="284"/>
      <c r="I7" s="284"/>
      <c r="J7" s="284"/>
      <c r="K7" s="284"/>
      <c r="L7" s="284"/>
      <c r="M7" s="284"/>
      <c r="N7" s="284"/>
      <c r="O7" s="284"/>
      <c r="P7" s="284"/>
      <c r="Q7" s="284"/>
      <c r="R7" s="284"/>
      <c r="S7" s="284"/>
      <c r="T7" s="284"/>
      <c r="U7" s="284"/>
    </row>
    <row r="8" spans="1:25" ht="18" customHeight="1">
      <c r="A8" s="284"/>
      <c r="B8" s="817" t="s">
        <v>1840</v>
      </c>
      <c r="C8" s="821"/>
      <c r="D8" s="821"/>
      <c r="E8" s="821"/>
      <c r="F8" s="821"/>
      <c r="G8" s="821"/>
      <c r="H8" s="821"/>
      <c r="I8" s="821"/>
      <c r="J8" s="821"/>
      <c r="K8" s="821"/>
      <c r="L8" s="821"/>
      <c r="M8" s="821"/>
      <c r="N8" s="821"/>
      <c r="O8" s="821"/>
      <c r="P8" s="821"/>
      <c r="Q8" s="821"/>
      <c r="R8" s="821"/>
      <c r="S8" s="822"/>
      <c r="T8" s="284"/>
      <c r="U8" s="284"/>
    </row>
    <row r="9" spans="1:25" s="263" customFormat="1" ht="13.5" thickBot="1">
      <c r="A9" s="284"/>
      <c r="B9" s="286"/>
      <c r="C9" s="288"/>
      <c r="D9" s="288"/>
      <c r="E9" s="288"/>
      <c r="F9" s="288"/>
      <c r="G9" s="288"/>
      <c r="H9" s="288"/>
      <c r="I9" s="288"/>
      <c r="J9" s="288"/>
      <c r="K9" s="288"/>
      <c r="L9" s="288"/>
      <c r="M9" s="288"/>
      <c r="N9" s="288"/>
      <c r="O9" s="288"/>
      <c r="P9" s="288"/>
      <c r="Q9" s="288"/>
      <c r="R9" s="288"/>
      <c r="S9" s="289"/>
      <c r="T9" s="284"/>
      <c r="U9" s="284"/>
    </row>
    <row r="10" spans="1:25" s="263" customFormat="1" ht="15.75">
      <c r="A10" s="284"/>
      <c r="B10" s="286"/>
      <c r="C10" s="287" t="s">
        <v>4332</v>
      </c>
      <c r="D10" s="288"/>
      <c r="E10" s="288"/>
      <c r="F10" s="288"/>
      <c r="G10" s="288"/>
      <c r="H10" s="288"/>
      <c r="I10" s="288"/>
      <c r="J10" s="288"/>
      <c r="K10" s="288"/>
      <c r="L10" s="288"/>
      <c r="M10" s="288"/>
      <c r="N10" s="296"/>
      <c r="O10" s="297"/>
      <c r="P10" s="297"/>
      <c r="Q10" s="297"/>
      <c r="R10" s="298"/>
      <c r="S10" s="289"/>
      <c r="T10" s="284"/>
      <c r="U10" s="284"/>
    </row>
    <row r="11" spans="1:25" s="263" customFormat="1" ht="13.5" thickBot="1">
      <c r="A11" s="284"/>
      <c r="B11" s="286"/>
      <c r="C11" s="288"/>
      <c r="D11" s="288"/>
      <c r="E11" s="288"/>
      <c r="F11" s="288"/>
      <c r="G11" s="288"/>
      <c r="H11" s="288"/>
      <c r="I11" s="288"/>
      <c r="J11" s="288"/>
      <c r="K11" s="288"/>
      <c r="L11" s="290" t="s">
        <v>4029</v>
      </c>
      <c r="M11" s="288"/>
      <c r="N11" s="299"/>
      <c r="O11" s="300"/>
      <c r="P11" s="300"/>
      <c r="Q11" s="300"/>
      <c r="R11" s="301"/>
      <c r="S11" s="289"/>
      <c r="T11" s="284"/>
      <c r="U11" s="284"/>
    </row>
    <row r="12" spans="1:25" s="263" customFormat="1" ht="13.5" thickBot="1">
      <c r="A12" s="284"/>
      <c r="B12" s="286"/>
      <c r="C12" s="288"/>
      <c r="D12" s="288"/>
      <c r="E12" s="288"/>
      <c r="F12" s="302" t="s">
        <v>837</v>
      </c>
      <c r="G12" s="290"/>
      <c r="H12" s="302" t="s">
        <v>838</v>
      </c>
      <c r="I12" s="290"/>
      <c r="J12" s="302" t="s">
        <v>839</v>
      </c>
      <c r="K12" s="288"/>
      <c r="L12" s="290" t="s">
        <v>3636</v>
      </c>
      <c r="M12" s="288"/>
      <c r="N12" s="299"/>
      <c r="O12" s="300"/>
      <c r="P12" s="300"/>
      <c r="Q12" s="300"/>
      <c r="R12" s="301"/>
      <c r="S12" s="289"/>
      <c r="T12" s="284"/>
      <c r="U12" s="284"/>
    </row>
    <row r="13" spans="1:25" s="263" customFormat="1" ht="6" customHeight="1" thickBot="1">
      <c r="A13" s="284"/>
      <c r="B13" s="286"/>
      <c r="C13" s="288"/>
      <c r="D13" s="288"/>
      <c r="E13" s="288"/>
      <c r="F13" s="288"/>
      <c r="G13" s="288"/>
      <c r="H13" s="288"/>
      <c r="I13" s="288"/>
      <c r="J13" s="288"/>
      <c r="K13" s="288"/>
      <c r="L13" s="288"/>
      <c r="M13" s="288"/>
      <c r="N13" s="299"/>
      <c r="O13" s="300"/>
      <c r="P13" s="300"/>
      <c r="Q13" s="300"/>
      <c r="R13" s="301"/>
      <c r="S13" s="289"/>
      <c r="T13" s="284"/>
      <c r="U13" s="284"/>
    </row>
    <row r="14" spans="1:25" s="263" customFormat="1" ht="13.5" thickBot="1">
      <c r="A14" s="284"/>
      <c r="B14" s="286"/>
      <c r="C14" s="288"/>
      <c r="D14" s="293" t="s">
        <v>4253</v>
      </c>
      <c r="E14" s="288"/>
      <c r="F14" s="359">
        <v>0</v>
      </c>
      <c r="G14" s="303"/>
      <c r="H14" s="359">
        <v>0</v>
      </c>
      <c r="I14" s="303"/>
      <c r="J14" s="359">
        <v>0</v>
      </c>
      <c r="K14" s="288"/>
      <c r="L14" s="293">
        <f>INDEX(cbalH1Competency,xxIndexTeam)</f>
        <v>10</v>
      </c>
      <c r="M14" s="288"/>
      <c r="N14" s="299"/>
      <c r="O14" s="300"/>
      <c r="P14" s="300"/>
      <c r="Q14" s="300"/>
      <c r="R14" s="301"/>
      <c r="S14" s="289"/>
      <c r="T14" s="284"/>
      <c r="U14" s="284"/>
    </row>
    <row r="15" spans="1:25" s="263" customFormat="1" ht="13.5" thickBot="1">
      <c r="A15" s="284"/>
      <c r="B15" s="286"/>
      <c r="C15" s="288"/>
      <c r="D15" s="290"/>
      <c r="E15" s="288"/>
      <c r="F15" s="303"/>
      <c r="G15" s="303"/>
      <c r="H15" s="303"/>
      <c r="I15" s="303"/>
      <c r="J15" s="303"/>
      <c r="K15" s="288"/>
      <c r="L15" s="290"/>
      <c r="M15" s="288"/>
      <c r="N15" s="299"/>
      <c r="O15" s="300"/>
      <c r="P15" s="300"/>
      <c r="Q15" s="300"/>
      <c r="R15" s="301"/>
      <c r="S15" s="289"/>
      <c r="T15" s="284"/>
      <c r="U15" s="284"/>
    </row>
    <row r="16" spans="1:25" s="263" customFormat="1" ht="13.5" thickBot="1">
      <c r="A16" s="284"/>
      <c r="B16" s="286"/>
      <c r="C16" s="288"/>
      <c r="D16" s="294" t="s">
        <v>1593</v>
      </c>
      <c r="E16" s="288"/>
      <c r="F16" s="359">
        <v>0</v>
      </c>
      <c r="G16" s="303"/>
      <c r="H16" s="359">
        <v>0</v>
      </c>
      <c r="I16" s="303"/>
      <c r="J16" s="359">
        <v>0</v>
      </c>
      <c r="K16" s="288"/>
      <c r="L16" s="294">
        <f>INDEX(cbalH2Competency,xxIndexTeam)</f>
        <v>8</v>
      </c>
      <c r="M16" s="288"/>
      <c r="N16" s="299"/>
      <c r="O16" s="300"/>
      <c r="P16" s="300"/>
      <c r="Q16" s="300"/>
      <c r="R16" s="301"/>
      <c r="S16" s="289"/>
      <c r="T16" s="284"/>
      <c r="U16" s="284"/>
    </row>
    <row r="17" spans="1:21" s="263" customFormat="1" ht="13.5" thickBot="1">
      <c r="A17" s="284"/>
      <c r="B17" s="286"/>
      <c r="C17" s="288"/>
      <c r="D17" s="290"/>
      <c r="E17" s="288"/>
      <c r="F17" s="303"/>
      <c r="G17" s="303"/>
      <c r="H17" s="303"/>
      <c r="I17" s="303"/>
      <c r="J17" s="303"/>
      <c r="K17" s="288"/>
      <c r="L17" s="290"/>
      <c r="M17" s="288"/>
      <c r="N17" s="299"/>
      <c r="O17" s="300"/>
      <c r="P17" s="300"/>
      <c r="Q17" s="300"/>
      <c r="R17" s="301"/>
      <c r="S17" s="289"/>
      <c r="T17" s="284"/>
      <c r="U17" s="284"/>
    </row>
    <row r="18" spans="1:21" s="263" customFormat="1" ht="13.5" thickBot="1">
      <c r="A18" s="284"/>
      <c r="B18" s="286"/>
      <c r="C18" s="288"/>
      <c r="D18" s="295" t="s">
        <v>984</v>
      </c>
      <c r="E18" s="288"/>
      <c r="F18" s="359">
        <v>0</v>
      </c>
      <c r="G18" s="303"/>
      <c r="H18" s="359">
        <v>0</v>
      </c>
      <c r="I18" s="303"/>
      <c r="J18" s="359">
        <v>0</v>
      </c>
      <c r="K18" s="288"/>
      <c r="L18" s="295">
        <f>INDEX(cbalH3Competency,xxIndexTeam)</f>
        <v>6</v>
      </c>
      <c r="M18" s="288"/>
      <c r="N18" s="299"/>
      <c r="O18" s="300"/>
      <c r="P18" s="300"/>
      <c r="Q18" s="300"/>
      <c r="R18" s="301"/>
      <c r="S18" s="289"/>
      <c r="T18" s="284"/>
      <c r="U18" s="284"/>
    </row>
    <row r="19" spans="1:21" s="263" customFormat="1" ht="6" customHeight="1">
      <c r="A19" s="284"/>
      <c r="B19" s="286"/>
      <c r="C19" s="288"/>
      <c r="D19" s="290"/>
      <c r="E19" s="288"/>
      <c r="F19" s="290"/>
      <c r="G19" s="290"/>
      <c r="H19" s="290"/>
      <c r="I19" s="290"/>
      <c r="J19" s="290"/>
      <c r="K19" s="290"/>
      <c r="L19" s="290"/>
      <c r="M19" s="288"/>
      <c r="N19" s="299"/>
      <c r="O19" s="300"/>
      <c r="P19" s="300"/>
      <c r="Q19" s="300"/>
      <c r="R19" s="301"/>
      <c r="S19" s="289"/>
      <c r="T19" s="284"/>
      <c r="U19" s="284"/>
    </row>
    <row r="20" spans="1:21" s="263" customFormat="1" ht="13.5" thickBot="1">
      <c r="A20" s="284"/>
      <c r="B20" s="286"/>
      <c r="C20" s="288"/>
      <c r="D20" s="290" t="s">
        <v>700</v>
      </c>
      <c r="E20" s="288"/>
      <c r="F20" s="288"/>
      <c r="G20" s="288"/>
      <c r="H20" s="288"/>
      <c r="I20" s="288"/>
      <c r="J20" s="288"/>
      <c r="K20" s="288"/>
      <c r="L20" s="288"/>
      <c r="M20" s="288"/>
      <c r="N20" s="299"/>
      <c r="O20" s="300"/>
      <c r="P20" s="300"/>
      <c r="Q20" s="300"/>
      <c r="R20" s="301"/>
      <c r="S20" s="289"/>
      <c r="T20" s="284"/>
      <c r="U20" s="284"/>
    </row>
    <row r="21" spans="1:21" s="263" customFormat="1" ht="13.5" thickBot="1">
      <c r="A21" s="284"/>
      <c r="B21" s="286"/>
      <c r="C21" s="288"/>
      <c r="D21" s="290" t="s">
        <v>3636</v>
      </c>
      <c r="E21" s="288"/>
      <c r="F21" s="283">
        <f>INDEX(cbalV1Competency,xxIndexTeam)</f>
        <v>10</v>
      </c>
      <c r="G21" s="288"/>
      <c r="H21" s="283">
        <f>INDEX(cbalV2Competency,xxIndexTeam)</f>
        <v>4</v>
      </c>
      <c r="I21" s="288"/>
      <c r="J21" s="283">
        <f>INDEX(cbalV3Competency,xxIndexTeam)</f>
        <v>10</v>
      </c>
      <c r="K21" s="288"/>
      <c r="L21" s="288"/>
      <c r="M21" s="288"/>
      <c r="N21" s="299"/>
      <c r="O21" s="300"/>
      <c r="P21" s="300"/>
      <c r="Q21" s="300"/>
      <c r="R21" s="301"/>
      <c r="S21" s="289"/>
      <c r="T21" s="284"/>
      <c r="U21" s="284"/>
    </row>
    <row r="22" spans="1:21" s="263" customFormat="1" ht="5.25" customHeight="1">
      <c r="A22" s="284"/>
      <c r="B22" s="286"/>
      <c r="C22" s="288"/>
      <c r="D22" s="288"/>
      <c r="E22" s="288"/>
      <c r="F22" s="288"/>
      <c r="G22" s="288"/>
      <c r="H22" s="288"/>
      <c r="I22" s="288"/>
      <c r="J22" s="288"/>
      <c r="K22" s="288"/>
      <c r="L22" s="288"/>
      <c r="M22" s="288"/>
      <c r="N22" s="299"/>
      <c r="O22" s="300"/>
      <c r="P22" s="300"/>
      <c r="Q22" s="300"/>
      <c r="R22" s="301"/>
      <c r="S22" s="289"/>
      <c r="T22" s="284"/>
      <c r="U22" s="284"/>
    </row>
    <row r="23" spans="1:21" s="263" customFormat="1" ht="12.75">
      <c r="A23" s="284"/>
      <c r="B23" s="286"/>
      <c r="C23" s="288"/>
      <c r="D23" s="308"/>
      <c r="E23" s="308"/>
      <c r="F23" s="308"/>
      <c r="G23" s="291" t="s">
        <v>2012</v>
      </c>
      <c r="H23" s="308"/>
      <c r="I23" s="308"/>
      <c r="J23" s="308"/>
      <c r="K23" s="288"/>
      <c r="L23" s="291" t="s">
        <v>407</v>
      </c>
      <c r="M23" s="288"/>
      <c r="N23" s="299"/>
      <c r="O23" s="300"/>
      <c r="P23" s="300"/>
      <c r="Q23" s="300"/>
      <c r="R23" s="301"/>
      <c r="S23" s="289"/>
      <c r="T23" s="284"/>
      <c r="U23" s="284"/>
    </row>
    <row r="24" spans="1:21" s="263" customFormat="1" ht="12.75">
      <c r="A24" s="284"/>
      <c r="B24" s="286"/>
      <c r="C24" s="288"/>
      <c r="D24" s="255"/>
      <c r="E24" s="252"/>
      <c r="F24" s="255" t="s">
        <v>400</v>
      </c>
      <c r="G24" s="252"/>
      <c r="H24" s="255" t="s">
        <v>1240</v>
      </c>
      <c r="I24" s="255"/>
      <c r="J24" s="255"/>
      <c r="K24" s="288"/>
      <c r="L24" s="290" t="s">
        <v>4479</v>
      </c>
      <c r="M24" s="288"/>
      <c r="N24" s="299"/>
      <c r="O24" s="300"/>
      <c r="P24" s="300"/>
      <c r="Q24" s="300"/>
      <c r="R24" s="301"/>
      <c r="S24" s="289"/>
      <c r="T24" s="284"/>
      <c r="U24" s="284"/>
    </row>
    <row r="25" spans="1:21" s="263" customFormat="1" ht="12.75">
      <c r="A25" s="284"/>
      <c r="B25" s="286"/>
      <c r="C25" s="288"/>
      <c r="D25" s="288" t="s">
        <v>4642</v>
      </c>
      <c r="E25" s="288"/>
      <c r="F25" s="290" t="s">
        <v>939</v>
      </c>
      <c r="G25" s="288"/>
      <c r="H25" s="290" t="s">
        <v>702</v>
      </c>
      <c r="I25" s="288"/>
      <c r="J25" s="288" t="s">
        <v>2022</v>
      </c>
      <c r="K25" s="288"/>
      <c r="L25" s="288"/>
      <c r="M25" s="288"/>
      <c r="N25" s="299"/>
      <c r="O25" s="300"/>
      <c r="P25" s="300"/>
      <c r="Q25" s="300"/>
      <c r="R25" s="301"/>
      <c r="S25" s="289"/>
      <c r="T25" s="284"/>
      <c r="U25" s="284"/>
    </row>
    <row r="26" spans="1:21" s="263" customFormat="1" ht="3" customHeight="1" thickBot="1">
      <c r="A26" s="284"/>
      <c r="B26" s="286"/>
      <c r="C26" s="288"/>
      <c r="D26" s="364"/>
      <c r="E26" s="364"/>
      <c r="F26" s="364"/>
      <c r="G26" s="364"/>
      <c r="H26" s="364"/>
      <c r="I26" s="364"/>
      <c r="J26" s="364"/>
      <c r="K26" s="288"/>
      <c r="L26" s="329"/>
      <c r="M26" s="288"/>
      <c r="N26" s="299"/>
      <c r="O26" s="300"/>
      <c r="P26" s="300"/>
      <c r="Q26" s="300"/>
      <c r="R26" s="301"/>
      <c r="S26" s="289"/>
      <c r="T26" s="284"/>
      <c r="U26" s="284"/>
    </row>
    <row r="27" spans="1:21" s="263" customFormat="1" ht="13.5" thickBot="1">
      <c r="A27" s="284"/>
      <c r="B27" s="286"/>
      <c r="C27" s="288"/>
      <c r="D27" s="363">
        <f>INDEX(capBusBEmp4CompDevTtlHrReq,xxIndexTeam)</f>
        <v>0</v>
      </c>
      <c r="E27" s="364"/>
      <c r="F27" s="363">
        <f>INDEX(capBusBEmp3CompDevTtlHrReq,xxIndexTeam)</f>
        <v>0</v>
      </c>
      <c r="G27" s="364"/>
      <c r="H27" s="363">
        <f>INDEX(capBusBEmp2CompDevTtlHrReq,xxIndexTeam)</f>
        <v>0</v>
      </c>
      <c r="I27" s="364"/>
      <c r="J27" s="363">
        <f>INDEX(capBusBEmp1CompDevTtlHrReq,xxIndexTeam)</f>
        <v>0</v>
      </c>
      <c r="K27" s="288"/>
      <c r="L27" s="1406">
        <v>0</v>
      </c>
      <c r="M27" s="288"/>
      <c r="N27" s="304"/>
      <c r="O27" s="305"/>
      <c r="P27" s="305"/>
      <c r="Q27" s="305"/>
      <c r="R27" s="306"/>
      <c r="S27" s="289"/>
      <c r="T27" s="284"/>
      <c r="U27" s="284"/>
    </row>
    <row r="28" spans="1:21" s="263" customFormat="1" ht="12.75">
      <c r="A28" s="284"/>
      <c r="B28" s="286"/>
      <c r="C28" s="288"/>
      <c r="D28" s="288"/>
      <c r="E28" s="288"/>
      <c r="F28" s="288"/>
      <c r="G28" s="288"/>
      <c r="H28" s="288"/>
      <c r="I28" s="288"/>
      <c r="J28" s="288"/>
      <c r="K28" s="288"/>
      <c r="L28" s="288"/>
      <c r="M28" s="288"/>
      <c r="N28" s="288"/>
      <c r="O28" s="288"/>
      <c r="P28" s="288"/>
      <c r="Q28" s="288"/>
      <c r="R28" s="288"/>
      <c r="S28" s="289"/>
      <c r="T28" s="284"/>
      <c r="U28" s="284"/>
    </row>
    <row r="29" spans="1:21" ht="12.75"/>
    <row r="30" spans="1:21" ht="12.75"/>
    <row r="31" spans="1:21" ht="12.75"/>
    <row r="32" spans="1:21" ht="12.75"/>
    <row r="33" spans="1:27" ht="12.75"/>
    <row r="34" spans="1:27" ht="12.75"/>
    <row r="35" spans="1:27" ht="12.75"/>
    <row r="36" spans="1:27" ht="12.75"/>
    <row r="37" spans="1:27" ht="12.75"/>
    <row r="38" spans="1:27" ht="12.75"/>
    <row r="39" spans="1:27" ht="12.75"/>
    <row r="40" spans="1:27" ht="12.75"/>
    <row r="41" spans="1:27" ht="12.75"/>
    <row r="42" spans="1:27" ht="12.75"/>
    <row r="43" spans="1:27" ht="12.75"/>
    <row r="44" spans="1:27" ht="12.75"/>
    <row r="45" spans="1:27" ht="12.75">
      <c r="A45" s="284"/>
      <c r="B45" s="284"/>
      <c r="C45" s="284"/>
      <c r="D45" s="284"/>
      <c r="E45" s="284"/>
      <c r="F45" s="284"/>
      <c r="G45" s="284"/>
      <c r="H45" s="284"/>
      <c r="I45" s="284"/>
      <c r="J45" s="284"/>
      <c r="K45" s="284"/>
      <c r="L45" s="284"/>
      <c r="M45" s="284"/>
      <c r="N45" s="284"/>
      <c r="O45" s="284"/>
      <c r="P45" s="284"/>
      <c r="Q45" s="284"/>
      <c r="R45" s="284"/>
      <c r="S45" s="284"/>
      <c r="T45" s="284"/>
      <c r="U45" s="284"/>
    </row>
    <row r="46" spans="1:27" ht="12.75">
      <c r="A46" s="284"/>
      <c r="B46" s="284"/>
      <c r="C46" s="284"/>
      <c r="D46" s="284"/>
      <c r="E46" s="284"/>
      <c r="F46" s="284"/>
      <c r="G46" s="284"/>
      <c r="H46" s="284"/>
      <c r="I46" s="284"/>
      <c r="J46" s="284"/>
      <c r="K46" s="284"/>
      <c r="L46" s="284"/>
      <c r="M46" s="284"/>
      <c r="N46" s="284"/>
      <c r="O46" s="284"/>
      <c r="P46" s="284"/>
      <c r="Q46" s="284"/>
      <c r="R46" s="284"/>
      <c r="S46" s="284"/>
      <c r="T46" s="284"/>
      <c r="U46" s="284"/>
    </row>
    <row r="47" spans="1:27" ht="12.75">
      <c r="A47" s="284"/>
      <c r="B47" s="284"/>
      <c r="C47" s="284"/>
      <c r="D47" s="284"/>
      <c r="E47" s="284"/>
      <c r="F47" s="284"/>
      <c r="G47" s="284"/>
      <c r="H47" s="284"/>
      <c r="I47" s="284"/>
      <c r="J47" s="284"/>
      <c r="K47" s="284"/>
      <c r="L47" s="284"/>
      <c r="M47" s="284"/>
      <c r="N47" s="284"/>
      <c r="O47" s="284"/>
      <c r="P47" s="284"/>
      <c r="Q47" s="284"/>
      <c r="R47" s="284"/>
      <c r="S47" s="284"/>
      <c r="T47" s="284"/>
      <c r="U47" s="284"/>
      <c r="W47" s="784"/>
      <c r="X47" s="784"/>
      <c r="Y47" s="784"/>
      <c r="Z47" s="784"/>
      <c r="AA47" s="784"/>
    </row>
    <row r="48" spans="1:27" ht="12.75">
      <c r="A48" s="284"/>
      <c r="B48" s="284"/>
      <c r="C48" s="284"/>
      <c r="D48" s="284"/>
      <c r="E48" s="284"/>
      <c r="F48" s="284"/>
      <c r="G48" s="284"/>
      <c r="H48" s="284"/>
      <c r="I48" s="284"/>
      <c r="J48" s="284"/>
      <c r="K48" s="284"/>
      <c r="L48" s="284"/>
      <c r="M48" s="284"/>
      <c r="N48" s="284"/>
      <c r="O48" s="284"/>
      <c r="P48" s="284"/>
      <c r="Q48" s="284"/>
      <c r="R48" s="284"/>
      <c r="S48" s="284"/>
      <c r="T48" s="284"/>
      <c r="U48" s="284"/>
      <c r="W48" s="784"/>
      <c r="X48" s="784"/>
      <c r="Y48" s="784"/>
      <c r="Z48" s="784"/>
      <c r="AA48" s="784"/>
    </row>
    <row r="49" spans="1:27" ht="12.75">
      <c r="A49" s="284"/>
      <c r="B49" s="284"/>
      <c r="C49" s="284"/>
      <c r="D49" s="284"/>
      <c r="E49" s="284"/>
      <c r="F49" s="284"/>
      <c r="G49" s="284"/>
      <c r="H49" s="284"/>
      <c r="I49" s="284"/>
      <c r="J49" s="284"/>
      <c r="K49" s="284"/>
      <c r="L49" s="284"/>
      <c r="M49" s="284"/>
      <c r="N49" s="284"/>
      <c r="O49" s="284"/>
      <c r="P49" s="284"/>
      <c r="Q49" s="284"/>
      <c r="R49" s="284"/>
      <c r="S49" s="284"/>
      <c r="T49" s="284"/>
      <c r="U49" s="284"/>
      <c r="W49" s="785"/>
      <c r="X49" s="785"/>
      <c r="Y49" s="785" t="s">
        <v>837</v>
      </c>
      <c r="Z49" s="785" t="s">
        <v>838</v>
      </c>
      <c r="AA49" s="785" t="s">
        <v>839</v>
      </c>
    </row>
    <row r="50" spans="1:27" ht="12.75">
      <c r="A50" s="284"/>
      <c r="B50" s="284"/>
      <c r="C50" s="284"/>
      <c r="D50" s="284"/>
      <c r="E50" s="284"/>
      <c r="F50" s="284"/>
      <c r="G50" s="284"/>
      <c r="H50" s="284"/>
      <c r="I50" s="284"/>
      <c r="J50" s="284"/>
      <c r="K50" s="284"/>
      <c r="L50" s="284"/>
      <c r="M50" s="284"/>
      <c r="N50" s="284"/>
      <c r="O50" s="284"/>
      <c r="P50" s="284"/>
      <c r="Q50" s="284"/>
      <c r="R50" s="284"/>
      <c r="S50" s="284"/>
      <c r="T50" s="284"/>
      <c r="U50" s="284"/>
      <c r="W50" s="785"/>
      <c r="X50" s="785" t="s">
        <v>4253</v>
      </c>
      <c r="Y50" s="785">
        <f>INDEX(cbalV1H1Comp,xxIndexTeam)</f>
        <v>4</v>
      </c>
      <c r="Z50" s="785">
        <f>INDEX(cbalV2H1Comp,xxIndexTeam)</f>
        <v>0</v>
      </c>
      <c r="AA50" s="785">
        <f>INDEX(cbalV3H1Comp,xxIndexTeam)</f>
        <v>6</v>
      </c>
    </row>
    <row r="51" spans="1:27" ht="12.75">
      <c r="W51" s="785"/>
      <c r="X51" s="785" t="s">
        <v>1593</v>
      </c>
      <c r="Y51" s="785">
        <f>INDEX(cbalV1H2Comp,xxIndexTeam)</f>
        <v>4</v>
      </c>
      <c r="Z51" s="785">
        <f>INDEX(cbalV2H2Comp,xxIndexTeam)</f>
        <v>2</v>
      </c>
      <c r="AA51" s="785">
        <f>INDEX(cbalV3H2Comp,xxIndexTeam)</f>
        <v>2</v>
      </c>
    </row>
    <row r="52" spans="1:27" ht="12.75">
      <c r="W52" s="785"/>
      <c r="X52" s="785" t="s">
        <v>984</v>
      </c>
      <c r="Y52" s="785">
        <f>INDEX(cbalV1H3Comp,xxIndexTeam)</f>
        <v>2</v>
      </c>
      <c r="Z52" s="785">
        <f>INDEX(cbalV2H3Comp,xxIndexTeam)</f>
        <v>2</v>
      </c>
      <c r="AA52" s="785">
        <f>INDEX(cbalV3H3Comp,xxIndexTeam)</f>
        <v>2</v>
      </c>
    </row>
    <row r="53" spans="1:27" ht="12.75">
      <c r="W53" s="785"/>
      <c r="X53" s="785"/>
      <c r="Y53" s="785"/>
      <c r="Z53" s="785"/>
      <c r="AA53" s="785"/>
    </row>
    <row r="54" spans="1:27" ht="12.75">
      <c r="W54" s="785"/>
      <c r="X54" s="785"/>
      <c r="Y54" s="785" t="s">
        <v>315</v>
      </c>
      <c r="Z54" s="785"/>
      <c r="AA54" s="785"/>
    </row>
    <row r="55" spans="1:27" ht="12.75">
      <c r="W55" s="785"/>
      <c r="X55" s="785"/>
      <c r="Y55" s="785"/>
      <c r="Z55" s="785">
        <v>0</v>
      </c>
      <c r="AA55" s="785"/>
    </row>
    <row r="56" spans="1:27" ht="12.75">
      <c r="W56" s="785"/>
      <c r="X56" s="785"/>
      <c r="Y56" s="785"/>
      <c r="Z56" s="785">
        <v>1</v>
      </c>
      <c r="AA56" s="785"/>
    </row>
    <row r="57" spans="1:27" ht="12.75">
      <c r="W57" s="785"/>
      <c r="X57" s="785"/>
      <c r="Y57" s="785"/>
      <c r="Z57" s="785">
        <v>2</v>
      </c>
      <c r="AA57" s="785"/>
    </row>
    <row r="58" spans="1:27" ht="12.75">
      <c r="W58" s="785"/>
      <c r="X58" s="785"/>
      <c r="Y58" s="785"/>
      <c r="Z58" s="785">
        <v>3</v>
      </c>
      <c r="AA58" s="785"/>
    </row>
    <row r="59" spans="1:27" ht="12.75">
      <c r="W59" s="785"/>
      <c r="X59" s="785"/>
      <c r="Y59" s="785"/>
      <c r="Z59" s="785">
        <v>4</v>
      </c>
      <c r="AA59" s="785"/>
    </row>
    <row r="60" spans="1:27" ht="12.75">
      <c r="W60" s="785"/>
      <c r="X60" s="785"/>
      <c r="Y60" s="785"/>
      <c r="Z60" s="785">
        <v>5</v>
      </c>
      <c r="AA60" s="785"/>
    </row>
  </sheetData>
  <mergeCells count="4">
    <mergeCell ref="B3:S3"/>
    <mergeCell ref="B4:S4"/>
    <mergeCell ref="B5:S5"/>
    <mergeCell ref="B6:S6"/>
  </mergeCells>
  <phoneticPr fontId="0" type="noConversion"/>
  <dataValidations count="1">
    <dataValidation type="list" allowBlank="1" showInputMessage="1" showErrorMessage="1" sqref="J18 J16 J14 H18 H16 H14 F18 F16 F14">
      <formula1>$Z$55:$Z$60</formula1>
    </dataValidation>
  </dataValidations>
  <pageMargins left="0.75" right="0.75" top="1" bottom="1" header="0.5" footer="0.5"/>
  <pageSetup orientation="portrait" r:id="rId1"/>
  <headerFooter alignWithMargins="0"/>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tIndex"/>
  <dimension ref="A1:I1"/>
  <sheetViews>
    <sheetView workbookViewId="0">
      <selection activeCell="K10" sqref="K10"/>
    </sheetView>
  </sheetViews>
  <sheetFormatPr defaultColWidth="18.83203125" defaultRowHeight="12.75" customHeight="1"/>
  <cols>
    <col min="1" max="9" width="9.33203125" customWidth="1"/>
  </cols>
  <sheetData>
    <row r="1" spans="1:9" s="93" customFormat="1" ht="15.75">
      <c r="A1" s="116" t="s">
        <v>2176</v>
      </c>
      <c r="E1" s="91" t="s">
        <v>470</v>
      </c>
      <c r="F1" s="91" t="s">
        <v>471</v>
      </c>
      <c r="G1" s="91" t="s">
        <v>472</v>
      </c>
      <c r="H1" s="91" t="s">
        <v>473</v>
      </c>
      <c r="I1" s="91" t="s">
        <v>474</v>
      </c>
    </row>
  </sheetData>
  <phoneticPr fontId="0" type="noConversion"/>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idData"/>
  <dimension ref="A1:J12"/>
  <sheetViews>
    <sheetView workbookViewId="0"/>
  </sheetViews>
  <sheetFormatPr defaultColWidth="18.83203125" defaultRowHeight="12.75" customHeight="1"/>
  <cols>
    <col min="1" max="4" width="9.33203125" customWidth="1"/>
    <col min="5" max="9" width="9.5" bestFit="1" customWidth="1"/>
    <col min="10" max="10" width="9.33203125" customWidth="1"/>
  </cols>
  <sheetData>
    <row r="1" spans="1:10" ht="11.25">
      <c r="A1" t="s">
        <v>341</v>
      </c>
    </row>
    <row r="2" spans="1:10" ht="11.25"/>
    <row r="3" spans="1:10" ht="11.25">
      <c r="E3" t="str">
        <f>decTeamName</f>
        <v>Entrevard</v>
      </c>
      <c r="F3" t="str">
        <f>decTeamName</f>
        <v>Entrevard</v>
      </c>
      <c r="G3" t="str">
        <f>decTeamName</f>
        <v>Entrevard</v>
      </c>
      <c r="H3" t="str">
        <f>decTeamName</f>
        <v>Entrevard</v>
      </c>
      <c r="I3" t="str">
        <f>decTeamName</f>
        <v>Entrevard</v>
      </c>
    </row>
    <row r="4" spans="1:10" ht="11.25">
      <c r="E4">
        <v>1</v>
      </c>
      <c r="F4">
        <v>2</v>
      </c>
      <c r="G4">
        <v>3</v>
      </c>
      <c r="H4">
        <v>4</v>
      </c>
      <c r="I4">
        <v>5</v>
      </c>
    </row>
    <row r="5" spans="1:10" ht="11.25">
      <c r="D5" t="str">
        <f>"Price " &amp; DataNameProd4 &amp; " Bid 1"</f>
        <v>Price Industry 3 Bid 1</v>
      </c>
      <c r="E5" s="173"/>
      <c r="F5" s="173"/>
      <c r="G5" s="173"/>
      <c r="H5" s="173"/>
      <c r="I5" s="173"/>
      <c r="J5" t="s">
        <v>3716</v>
      </c>
    </row>
    <row r="6" spans="1:10" ht="11.25">
      <c r="D6" t="str">
        <f>"Price " &amp; DataNameProd4 &amp; " Bid 2"</f>
        <v>Price Industry 3 Bid 2</v>
      </c>
      <c r="E6" s="173"/>
      <c r="F6" s="173"/>
      <c r="G6" s="173"/>
      <c r="H6" s="173"/>
      <c r="I6" s="173"/>
      <c r="J6" t="s">
        <v>3717</v>
      </c>
    </row>
    <row r="7" spans="1:10" ht="11.25">
      <c r="D7" t="str">
        <f>"Price " &amp; DataNameProd4 &amp; " Bid 3"</f>
        <v>Price Industry 3 Bid 3</v>
      </c>
      <c r="E7" s="173"/>
      <c r="F7" s="173"/>
      <c r="G7" s="173"/>
      <c r="H7" s="173"/>
      <c r="I7" s="173"/>
      <c r="J7" t="s">
        <v>3718</v>
      </c>
    </row>
    <row r="8" spans="1:10" ht="11.25">
      <c r="D8" t="str">
        <f>"Price " &amp; DataNameProd4 &amp; " Bid 4"</f>
        <v>Price Industry 3 Bid 4</v>
      </c>
      <c r="E8" s="173"/>
      <c r="F8" s="173"/>
      <c r="G8" s="173"/>
      <c r="H8" s="173"/>
      <c r="I8" s="173"/>
      <c r="J8" t="s">
        <v>3170</v>
      </c>
    </row>
    <row r="9" spans="1:10" ht="11.25">
      <c r="D9" t="str">
        <f>"Bid Won " &amp; DataNameProd4 &amp; " Bid 1"</f>
        <v>Bid Won Industry 3 Bid 1</v>
      </c>
      <c r="E9" s="173"/>
      <c r="F9" s="173"/>
      <c r="G9" s="173"/>
      <c r="H9" s="173"/>
      <c r="I9" s="173"/>
      <c r="J9" t="s">
        <v>3248</v>
      </c>
    </row>
    <row r="10" spans="1:10" ht="11.25">
      <c r="D10" t="str">
        <f>"Bid Won " &amp; DataNameProd4 &amp; " Bid 2"</f>
        <v>Bid Won Industry 3 Bid 2</v>
      </c>
      <c r="E10" s="173"/>
      <c r="F10" s="173"/>
      <c r="G10" s="173"/>
      <c r="H10" s="173"/>
      <c r="I10" s="173"/>
      <c r="J10" t="s">
        <v>3111</v>
      </c>
    </row>
    <row r="11" spans="1:10" ht="11.25">
      <c r="D11" t="str">
        <f>"Bid Won " &amp; DataNameProd4 &amp; " Bid 3"</f>
        <v>Bid Won Industry 3 Bid 3</v>
      </c>
      <c r="E11" s="173"/>
      <c r="F11" s="173"/>
      <c r="G11" s="173"/>
      <c r="H11" s="173"/>
      <c r="I11" s="173"/>
      <c r="J11" t="s">
        <v>1304</v>
      </c>
    </row>
    <row r="12" spans="1:10" ht="11.25">
      <c r="D12" t="str">
        <f>"Bid Won " &amp; DataNameProd4 &amp; " Bid 4"</f>
        <v>Bid Won Industry 3 Bid 4</v>
      </c>
      <c r="E12" s="173"/>
      <c r="F12" s="173"/>
      <c r="G12" s="173"/>
      <c r="H12" s="173"/>
      <c r="I12" s="173"/>
      <c r="J12" t="s">
        <v>3247</v>
      </c>
    </row>
  </sheetData>
  <phoneticPr fontId="0" type="noConversion"/>
  <pageMargins left="0.75" right="0.75" top="1" bottom="1" header="0.5" footer="0.5"/>
  <headerFooter alignWithMargins="0"/>
</worksheet>
</file>

<file path=customUI/customUI14.xml><?xml version="1.0" encoding="utf-8"?>
<customUI xmlns="http://schemas.microsoft.com/office/2009/07/customui" onLoad="RibbonOnLoad">
  <commands>
    <command idMso="FileSendAsAttachment" onAction="PopupQAT"/>
  </commands>
  <ribbon startFromScratch="true">
    <qat>
      <documentControls>
        <button idQ="FileSendAsAttachment" getVisible="GetVisible" imageMso="ResultsPaneStartFindAndReplace" screentip="Simulation Menu"/>
      </documentControls>
    </qat>
    <tabs>
      <tab idMso="TabInsert" getVisible="GetVisible"/>
      <tab idMso="TabPageLayoutExcel" getVisible="GetVisible"/>
      <tab idMso="TabFormulas" getVisible="GetVisible"/>
      <tab idMso="TabData" getVisible="GetVisible"/>
      <tab idMso="TabView" getVisible="GetVisible"/>
      <tab idMso="TabHome" getVisible="GetVisible">
        <group id="RedoUndo" label="-" insertAfterMso="GroupClipboard">
          <control idMso="Undo"/>
          <control idMso="Redo"/>
        </group>
      </tab>
      <tab idMso="TabDeveloper" getVisible="GetVisible"/>
      <tab idMso="TabReview" getVisible="GetVisible"/>
      <tab idMso="TabTeam" getVisible="GetVisible"/>
      <tab idMso="TabAddIns" getVisible="GetVisible" insertAfterMso="TabHome" label="Simulation Menu"/>
    </tabs>
  </ribbon>
  <backstage>
    <button id="DupFileSave" label="Save" visible="true" imageMso="FileSave" onAction="RIBFileSave" isDefinitive="true" keytip="S"/>
    <button id="DupFileSaveAs" label="SaveAs" getVisible="GetVisible" imageMso="FileSaveAs" onAction="RIBFileSaveAs" isDefinitive="true" keytip="A"/>
    <button id="DupFileOpen" label="Open" getVisible="GetVisible" imageMso="FileOpen" onAction="RIBFileOpen" isDefinitive="true" keytip="O"/>
    <button id="DupFileClose" label="Close" getVisible="GetVisible" imageMso="FileClose" onAction="RIBFileClose" isDefinitive="true" keytip="C"/>
    <button id="DupFileInfo" label="Info" getVisible="GetVisible" imageMso="GroupReportTools" onAction="RIBFileInfo" isDefinitive="true" keytip="I"/>
    <button id="DupFileNew" label="New" getVisible="GetVisible" imageMso="FileNew" onAction="RIBFileNew" isDefinitive="true" keytip="N"/>
    <button id="DupFilePrint" label="Print" getVisible="GetVisible" imageMso="FilePrint" onAction="RIBFilePrint" isDefinitive="true" keytip="P"/>
    <button id="DupFileSaveSend" label="Save and Send" getVisible="GetVisible" imageMso="GroupShareEmail" onAction="RIBFileSaveAndSend" isDefinitive="true" keytip="D"/>
    <button id="DupFileHelp" label="Help" getVisible="GetVisible" imageMso="HelpLaunch" onAction="RIBFileHelp" isDefinitive="true" keytip="H"/>
    <button id="DupFileOptions" label="Options" getVisible="GetVisible" imageMso="ApplicationOptionsDialog" onAction="RIBFileOptions" isDefinitive="true" keytip="T"/>
    <button id="DupFileExit" label="Exit" getVisible="GetVisible" imageMso="CancelEditing" onAction="RIBFileExit" isDefinitive="true" keytip="X"/>
    <button idMso="FileSave" visible="false"/>
    <button idMso="FileSaveAs" visible="false"/>
    <button idMso="FileOpen" visible="false"/>
    <button idMso="FileClose" visible="false"/>
    <button idMso="ApplicationOptionsDialog" visible="false"/>
    <button idMso="FileExit" visible="false"/>
    <tab idMso="TabInfo" visible="false"/>
    <tab idMso="TabRecent" visible="false"/>
    <tab idMso="TabNew" visible="false"/>
    <tab idMso="TabPrint" visible="false"/>
    <tab idMso="TabShare" visible="false"/>
    <tab idMso="TabHelp" visible="false"/>
    <tab id="SimMenu" insertBeforeMso="FileSave" label="BTS Menu" columnWidthPercent="50" getVisible="GetVisible">
      <firstColumn>
        <taskFormGroup id="DecTasksFormGroup">
          <category id="dectasks1" label="Processing" getVisible="GetVisD">
            <task id="dectasks2" description="Select a task:" imageMso="ActiveXCheckBox">
              <group id="dectasksgroup">
                <topItems>
                  <button id="Button121" getLabel="Process1" onAction="RIBProcess1" imageMso="ControlSpecialEffectRaised" isDefinitive="true" style="borderless" getVisible="GetVisP1" getEnabled="GetEnabledP1"/>
                  <button id="Button122" getLabel="Process2" onAction="RIBProcess2" imageMso="ControlSpecialEffectRaised" isDefinitive="true" style="borderless" getVisible="GetVisP2" getEnabled="GetEnabledP2"/>
                  <button id="Button123" getLabel="Process3" onAction="RIBProcess3" imageMso="ControlSpecialEffectRaised" isDefinitive="true" style="borderless" getVisible="GetVisP3" getEnabled="GetEnabledP3"/>
                  <button id="Button124" getLabel="Process4" onAction="RIBProcess4" imageMso="ControlSpecialEffectRaised" isDefinitive="true" style="borderless" getVisible="GetVisP4" getEnabled="GetEnabledP4"/>
                  <button id="Button125" getLabel="Process5" onAction="RIBProcess5" imageMso="ControlSpecialEffectRaised" isDefinitive="true" style="borderless" getVisible="GetVisP5" getEnabled="GetEnabledP5"/>
                  <button id="Button126" getLabel="Process6" onAction="RIBProcess6" imageMso="ControlSpecialEffectRaised" isDefinitive="true" style="borderless" getVisible="GetVisP6" getEnabled="GetEnabledP6"/>
                  <button id="Button127" getLabel="Process7" onAction="RIBProcess7" imageMso="ControlSpecialEffectRaised" isDefinitive="true" style="borderless" getVisible="GetVisP7" getEnabled="GetEnabledP7"/>
                  <button id="Button128" getLabel="Process8" onAction="RIBProcess8" imageMso="ControlSpecialEffectRaised" isDefinitive="true" style="borderless" getVisible="GetVisP8" getEnabled="GetEnabledP8"/>
                  <button id="Button129" getLabel="Process9" onAction="RIBProcess9" imageMso="ControlSpecialEffectRaised" isDefinitive="true" style="borderless" getVisible="GetVisP9" getEnabled="GetEnabledP9"/>
                  <button id="Button130" getLabel="Process10" onAction="RIBProcess10" imageMso="ControlSpecialEffectRaised" isDefinitive="true" style="borderless" getVisible="GetVisP10" getEnabled="GetEnabledP10"/>
                </topItems>
              </group>
            </task>
          </category>
          <category id="dectasks11" label="Setup" getVisible="GetVisD">
            <task id="dectasks12" description="Configure Simulation:" imageMso="AccessFormWizard">
              <group id="dectasksgroup2">
                <topItems>
                  <button id="Button131" getLabel="Configure1" onAction="RIBConfigure1" imageMso="ControlSpecialEffectRaised" isDefinitive="true" style="borderless" getVisible="GetVisCon1" getEnabled="GetEnabledCon1"/>
                  <button id="Button132" getLabel="Configure2" onAction="RIBConfigure2" imageMso="ControlSpecialEffectRaised" isDefinitive="true" style="borderless" getVisible="GetVisCon2" getEnabled="GetEnabledCon2"/>
                  <button id="Button133" getLabel="Configure3" onAction="RIBConfigure3" imageMso="ControlSpecialEffectRaised" isDefinitive="true" style="borderless" getVisible="GetVisCon3" getEnabled="GetEnabledCon3"/>
                  <button id="Button134" getLabel="Configure4" onAction="RIBConfigure4" imageMso="ControlSpecialEffectRaised" isDefinitive="true" style="borderless" getVisible="GetVisCon4" getEnabled="GetEnabledCon4"/>
                  <button id="Button135" getLabel="Configure5" onAction="RIBConfigure5" imageMso="ControlSpecialEffectRaised" isDefinitive="true" style="borderless" getVisible="GetVisCon5" getEnabled="GetEnabledCon5"/>
                  <button id="Button136" getLabel="Configure6" onAction="RIBConfigure6" imageMso="ControlSpecialEffectRaised" isDefinitive="true" style="borderless" getVisible="GetVisCon6" getEnabled="GetEnabledCon6"/>
                  <button id="Button137" getLabel="Configure7" onAction="RIBConfigure7" imageMso="ControlSpecialEffectRaised" isDefinitive="true" style="borderless" getVisible="GetVisCon7" getEnabled="GetEnabledCon7"/>
                  <button id="Button138" getLabel="Configure8" onAction="RIBConfigure8" imageMso="ControlSpecialEffectRaised" isDefinitive="true" style="borderless" getVisible="GetVisCon8" getEnabled="GetEnabledCon8"/>
                  <button id="Button139" getLabel="Configure9" onAction="RIBConfigure9" imageMso="ControlSpecialEffectRaised" isDefinitive="true" style="borderless" getVisible="GetVisCon9" getEnabled="GetEnabledCon9"/>
                  <button id="Button140" getLabel="Configure10" onAction="RIBConfigure10" imageMso="ControlSpecialEffectRaised" isDefinitive="true" style="borderless" getVisible="GetVisCon10" getEnabled="GetEnabledCon10"/>
                  <button id="Button142" getLabel="Configure11" onAction="RIBConfigure11" imageMso="ControlSpecialEffectRaised" isDefinitive="true" style="borderless" getVisible="GetVisCon11" getEnabled="GetEnabledCon11"/>
                </topItems>
              </group>
            </task>
          </category>
        </taskFormGroup>
      </firstColumn>
      <secondColumn>
        <group id="DecisionsGrp2" label="Developer Tools" getVisible="GetVisA">
          <topItems>
            <layoutContainer id="layout212" layoutChildren="vertical">
              <button id="Button151" getLabel="Tools1" onAction="RIBTools1" isDefinitive="true" imageMso="ControlSpecialEffectRaised" style="borderless" getVisible="GetVisTools1" getEnabled="GetEnabledTools1"/>
              <button id="Button152" getLabel="Tools2" onAction="RIBTools2" isDefinitive="true" imageMso="ControlSpecialEffectRaised" style="borderless" getVisible="GetVisTools2" getEnabled="GetEnabledTools2"/>
              <button id="Button153" getLabel="Tools3" onAction="RIBTools3" isDefinitive="true" imageMso="ControlSpecialEffectRaised" style="borderless" getVisible="GetVisTools3" getEnabled="GetEnabledTools3"/>
              <button id="Button154" getLabel="Tools4" onAction="RIBTools4" isDefinitive="true" imageMso="ControlSpecialEffectRaised" style="borderless" getVisible="GetVisTools4" getEnabled="GetEnabledTools4"/>
              <button id="Button155" getLabel="Tools5" onAction="RIBTools5" isDefinitive="true" imageMso="ControlSpecialEffectRaised" style="borderless" getVisible="GetVisTools5" getEnabled="GetEnabledTools5"/>
              <button id="Button156" getLabel="Tools6" onAction="RIBTools6" isDefinitive="true" imageMso="ControlSpecialEffectRaised" style="borderless" getVisible="GetVisTools6" getEnabled="GetEnabledTools6"/>
              <button id="Button157" getLabel="Tools7" onAction="RIBTools7" isDefinitive="true" imageMso="ControlSpecialEffectRaised" style="borderless" getVisible="GetVisTools7" getEnabled="GetEnabledTools7"/>
              <button id="Button158" getLabel="Tools8" onAction="RIBTools8" isDefinitive="true" imageMso="ControlSpecialEffectRaised" style="borderless" getVisible="GetVisTools8" getEnabled="GetEnabledTools8"/>
              <button id="Button159" getLabel="Tools9" onAction="RIBTools9" isDefinitive="true" imageMso="ControlSpecialEffectRaised" style="borderless" getVisible="GetVisTools9" getEnabled="GetEnabledTools9"/>
            </layoutContainer>
          </topItems>
        </group>
      </secondColumn>
    </tab>
    <tab id="FileMenuBar" insertBeforeMso="FileSave" label="Simulation Menu" columnWidthPercent="50" getVisible="GetVisible">
      <firstColumn>
        <taskFormGroup id="teamTaskFormGroup">
          <category id="engineeringTeamCategory" label="Decisions" getVisible="GetVisD">
            <task id="engineeringTeamTasks" description="Please select a decision screen:" imageMso="PropertySheet">
              <group id="engineeringTeamTasksGroup">
                <topItems>
                  <button id="Button1" getLabel="Decisions1" onAction="RIBDecisions1" imageMso="ControlSpecialEffectRaised" isDefinitive="true" style="borderless" getVisible="GetVisD1" getEnabled="GetEnabledD1"/>
                  <button id="Button2" getLabel="Decisions2" onAction="RIBDecisions2" imageMso="ControlSpecialEffectRaised" isDefinitive="true" style="borderless" getVisible="GetVisD2" getEnabled="GetEnabledD2"/>
                  <button id="Button3" getLabel="Decisions3" onAction="RIBDecisions3" imageMso="ControlSpecialEffectRaised" isDefinitive="true" style="borderless" getVisible="GetVisD3" getEnabled="GetEnabledD3"/>
                  <button id="Button4" getLabel="Decisions4" onAction="RIBDecisions4" imageMso="ControlSpecialEffectRaised" isDefinitive="true" style="borderless" getVisible="GetVisD4" getEnabled="GetEnabledD4"/>
                  <button id="Button5" getLabel="Decisions5" onAction="RIBDecisions5" imageMso="ControlSpecialEffectRaised" isDefinitive="true" style="borderless" getVisible="GetVisD5" getEnabled="GetEnabledD5"/>
                  <button id="Button6" getLabel="Decisions6" onAction="RIBDecisions6" imageMso="ControlSpecialEffectRaised" isDefinitive="true" style="borderless" getVisible="GetVisD6" getEnabled="GetEnabledD6"/>
                  <button id="Button7" getLabel="Decisions7" onAction="RIBDecisions7" imageMso="ControlSpecialEffectRaised" isDefinitive="true" style="borderless" getVisible="GetVisD7" getEnabled="GetEnabledD7"/>
                  <button id="Button8" getLabel="Decisions8" onAction="RIBDecisions8" imageMso="ControlSpecialEffectRaised" isDefinitive="true" style="borderless" getVisible="GetVisD8" getEnabled="GetEnabledD8"/>
                </topItems>
              </group>
            </task>
          </category>
          <category id="manufacturingTeamCategory" label="Reports" getVisible="GetVisR">
            <task id="manufacturingTeamTasks" description="Select a report to view:" imageMso="ReadingViewShowPrintedPage">
              <group id="manufacturingTeamTasksGroup" getStyle="GetReportsStyle" getHelperText="GetReportsHelperText">
                <topItems>
                  <button id="Button61" getLabel="Reports1" onAction="RIBReports1" imageMso="ControlSpecialEffectRaised" isDefinitive="true" style="borderless" getVisible="GetVisR1" getEnabled="GetEnabledR1"/>
                  <button id="Button62" getLabel="Reports2" onAction="RIBReports2" imageMso="ControlSpecialEffectRaised" isDefinitive="true" style="borderless" getVisible="GetVisR2" getEnabled="GetEnabledR2"/>
                  <button id="Button63" getLabel="Reports3" onAction="RIBReports3" imageMso="ControlSpecialEffectRaised" isDefinitive="true" style="borderless" getVisible="GetVisR3" getEnabled="GetEnabledR3"/>
                </topItems>
              </group>
            </task>
          </category>
          <category id="marketingTeamCategory" label="Trees" getVisible="GetVisT">
            <task id="marketingTeamTasks" description="Select a tree to view:" imageMso="AdpDiagramArrangeTables">
              <group id="marketingTeamTasksGroup">
                <topItems>
                  <button id="concepts" getLabel="Trees1" onAction="RIBTrees1" imageMso="ControlSpecialEffectRaised" isDefinitive="true" style="borderless"/>
                </topItems>
              </group>
            </task>
          </category>
        </taskFormGroup>
      </firstColumn>
      <secondColumn>
        <group id="DecisionsGrp" label="Actions" getVisible="GetVisA">
          <topItems>
            <layoutContainer id="layout1" layoutChildren="vertical">
              <button id="Button41" getLabel="Actions1" onAction="RIBActions1" isDefinitive="true" imageMso="ControlSpecialEffectRaised" style="borderless" getVisible="GetVisA1" getEnabled="GetEnabledA1"/>
              <button id="Button42" getLabel="Actions2" onAction="RIBActions2" isDefinitive="true" imageMso="ControlSpecialEffectRaised" style="borderless" getVisible="GetVisA2" getEnabled="GetEnabledA2"/>
              <button id="Button43" getLabel="Actions3" onAction="RIBActions3" isDefinitive="true" imageMso="ControlSpecialEffectRaised" style="borderless" getVisible="GetVisA3" getEnabled="GetEnabledA3"/>
              <button id="Button44" getLabel="Actions4" onAction="RIBActions4" isDefinitive="true" imageMso="ControlSpecialEffectRaised" style="borderless" getVisible="GetVisA4" getEnabled="GetEnabledA4"/>
              <button id="Button45" getLabel="Actions5" onAction="RIBActions5" isDefinitive="true" imageMso="ControlSpecialEffectRaised" style="borderless" getVisible="GetVisA5" getEnabled="GetEnabledA5"/>
              <button id="Button47" getLabel="Actions6" onAction="RIBActions6" isDefinitive="true" imageMso="ControlSpecialEffectRaised" style="borderless" getVisible="GetVisA6" getEnabled="GetEnabledA6"/>
            </layoutContainer>
          </topItems>
        </group>
        <group id="CommentsGrp" label="Comments" getVisible="GetVisC">
          <topItems>
            <layoutContainer id="layout11" layoutChildren="horizontal">
              <button id="Button111" getLabel="Comments1" onAction="RIBComments1" isDefinitive="true" imageMso="ControlSpecialEffectRaised" style="borderless" getVisible="GetVisC1" getEnabled="GetEnabledC1"/>
              <button id="Button112" getLabel="Comments2" onAction="RIBComments2" isDefinitive="true" imageMso="ControlSpecialEffectRaised" style="borderless" getVisible="GetVisC2" getEnabled="GetEnabledC2"/>
            </layoutContainer>
          </topItems>
        </group>
        <group id="ScenariosGrp" label="Scenarios" getVisible="GetVisS">
          <bottomItems>
            <layoutContainer id="layout7" layoutChildren="horizontal">
              <button id="Button71" getLabel="Scenarios1" onAction="RIBScenarios1" isDefinitive="true" imageMso="ControlSpecialEffectRaised" style="borderless" getVisible="GetVisS1" getEnabled="GetEnabledS1"/>
            </layoutContainer>
            <layoutContainer id="layout8" layoutChildren="horizontal">
              <button id="Button81" getLabel="Scenarios2" onAction="RIBScenarios2" isDefinitive="true" imageMso="ControlSpecialEffectRaised" style="borderless" getVisible="GetVisS2" getEnabled="GetEnabledS2"/>
              <button id="Button82" getLabel="Scenarios3" onAction="RIBScenarios3" isDefinitive="true" imageMso="ControlSpecialEffectRaised" style="borderless" getVisible="GetVisS3" getEnabled="GetEnabledS3"/>
            </layoutContainer>
            <layoutContainer id="layout9" layoutChildren="horizontal">
              <button id="Button91" getLabel="Scenarios4" onAction="RIBScenarios4" isDefinitive="true" imageMso="ControlSpecialEffectRaised" style="borderless" getVisible="GetVisS4" getEnabled="GetEnabledS4"/>
              <button id="Button92" getLabel="Scenarios5" onAction="RIBActions1" isDefinitive="true" imageMso="ControlSpecialEffectRaised" style="borderless" getVisible="GetVisS5" getEnabled="GetEnabledS5"/>
            </layoutContainer>
            <layoutContainer id="layout10" layoutChildren="horizontal">
              <button id="Button101" getLabel="Scenarios6" onAction="RIBScenariso6" isDefinitive="true" imageMso="ControlSpecialEffectRaised" style="borderless" getVisible="GetVisS6" getEnabled="GetEnabledS6"/>
              <button id="Button102" getLabel="Scenarios7" onAction="RIBScenarios7" isDefinitive="true" imageMso="ControlSpecialEffectRaised" style="borderless" getVisible="GetVisS7" getEnabled="GetEnabledS7"/>
            </layoutContainer>
          </bottomItems>
        </group>
      </second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5647</vt:i4>
      </vt:variant>
    </vt:vector>
  </HeadingPairs>
  <TitlesOfParts>
    <vt:vector size="5685" baseType="lpstr">
      <vt:lpstr>ChangeLog</vt:lpstr>
      <vt:lpstr>_tlOutputNamer</vt:lpstr>
      <vt:lpstr>ImportExportCSV</vt:lpstr>
      <vt:lpstr>obal_csv_export</vt:lpstr>
      <vt:lpstr>Controls</vt:lpstr>
      <vt:lpstr>20050219DevConfNotes</vt:lpstr>
      <vt:lpstr>frmNavControls</vt:lpstr>
      <vt:lpstr>toolIntro</vt:lpstr>
      <vt:lpstr>toolDecSummary</vt:lpstr>
      <vt:lpstr>tlBusinessA</vt:lpstr>
      <vt:lpstr>tlBusAPrac1</vt:lpstr>
      <vt:lpstr>tlBusAPrac2</vt:lpstr>
      <vt:lpstr>tlBusAPrac3</vt:lpstr>
      <vt:lpstr>tlPeople</vt:lpstr>
      <vt:lpstr>tlInitiatives</vt:lpstr>
      <vt:lpstr>tlPNLBusA</vt:lpstr>
      <vt:lpstr>ProcessingInstructions</vt:lpstr>
      <vt:lpstr>ManualAdjustments</vt:lpstr>
      <vt:lpstr>obal</vt:lpstr>
      <vt:lpstr>cbal</vt:lpstr>
      <vt:lpstr>dec</vt:lpstr>
      <vt:lpstr>cap</vt:lpstr>
      <vt:lpstr>fin</vt:lpstr>
      <vt:lpstr>tlGraphs</vt:lpstr>
      <vt:lpstr>DataPage</vt:lpstr>
      <vt:lpstr>param</vt:lpstr>
      <vt:lpstr>adj</vt:lpstr>
      <vt:lpstr>CompetitorReport</vt:lpstr>
      <vt:lpstr>toolPNL</vt:lpstr>
      <vt:lpstr>toolBalSheet</vt:lpstr>
      <vt:lpstr>toolCashFlow</vt:lpstr>
      <vt:lpstr>toolHRReport</vt:lpstr>
      <vt:lpstr>toolBPOReport</vt:lpstr>
      <vt:lpstr>toolPNLBusB</vt:lpstr>
      <vt:lpstr>toolBusinessB</vt:lpstr>
      <vt:lpstr>toolCompDev</vt:lpstr>
      <vt:lpstr>satIndex</vt:lpstr>
      <vt:lpstr>bidData</vt:lpstr>
      <vt:lpstr>_tlOutputNamer_Color</vt:lpstr>
      <vt:lpstr>_tlOutputNamer_ScreenName</vt:lpstr>
      <vt:lpstr>_tlOutputNamer_SheetPre</vt:lpstr>
      <vt:lpstr>AReporttoolCompetitor</vt:lpstr>
      <vt:lpstr>AReporttoolDecSummary</vt:lpstr>
      <vt:lpstr>AreporttoolPNLBusA</vt:lpstr>
      <vt:lpstr>bidProd4Seg1BidWon</vt:lpstr>
      <vt:lpstr>bidProd4Seg2BidWon</vt:lpstr>
      <vt:lpstr>bidProd4Seg3BidWon</vt:lpstr>
      <vt:lpstr>bidProd4Seg4BidWon</vt:lpstr>
      <vt:lpstr>button1_visible</vt:lpstr>
      <vt:lpstr>button10_visible</vt:lpstr>
      <vt:lpstr>button11_visible</vt:lpstr>
      <vt:lpstr>button12_visible</vt:lpstr>
      <vt:lpstr>button13_visible</vt:lpstr>
      <vt:lpstr>button14_visible</vt:lpstr>
      <vt:lpstr>button15_visible</vt:lpstr>
      <vt:lpstr>button16_visible</vt:lpstr>
      <vt:lpstr>button17_visible</vt:lpstr>
      <vt:lpstr>button18_visible</vt:lpstr>
      <vt:lpstr>button19_visible</vt:lpstr>
      <vt:lpstr>button2_visible</vt:lpstr>
      <vt:lpstr>button20_visible</vt:lpstr>
      <vt:lpstr>button21_visible</vt:lpstr>
      <vt:lpstr>button22_visible</vt:lpstr>
      <vt:lpstr>button23_visible</vt:lpstr>
      <vt:lpstr>button24_visible</vt:lpstr>
      <vt:lpstr>button25_visible</vt:lpstr>
      <vt:lpstr>button26_visible</vt:lpstr>
      <vt:lpstr>button27_visible</vt:lpstr>
      <vt:lpstr>button28_visible</vt:lpstr>
      <vt:lpstr>button29_visible</vt:lpstr>
      <vt:lpstr>button3_visible</vt:lpstr>
      <vt:lpstr>button30_visible</vt:lpstr>
      <vt:lpstr>button31_visible</vt:lpstr>
      <vt:lpstr>button32_visible</vt:lpstr>
      <vt:lpstr>button33_visible</vt:lpstr>
      <vt:lpstr>button34_visible</vt:lpstr>
      <vt:lpstr>button35_visible</vt:lpstr>
      <vt:lpstr>button36_visible</vt:lpstr>
      <vt:lpstr>button37_visible</vt:lpstr>
      <vt:lpstr>button38_visible</vt:lpstr>
      <vt:lpstr>button39_visible</vt:lpstr>
      <vt:lpstr>button4_visible</vt:lpstr>
      <vt:lpstr>button40_visible</vt:lpstr>
      <vt:lpstr>button41_visible</vt:lpstr>
      <vt:lpstr>button42_visible</vt:lpstr>
      <vt:lpstr>button43_visible</vt:lpstr>
      <vt:lpstr>button44_visible</vt:lpstr>
      <vt:lpstr>button45_visible</vt:lpstr>
      <vt:lpstr>button46_visible</vt:lpstr>
      <vt:lpstr>button47_visible</vt:lpstr>
      <vt:lpstr>button48_visible</vt:lpstr>
      <vt:lpstr>button49_visible</vt:lpstr>
      <vt:lpstr>button5_visible</vt:lpstr>
      <vt:lpstr>button50_visible</vt:lpstr>
      <vt:lpstr>button51_visible</vt:lpstr>
      <vt:lpstr>button52_visible</vt:lpstr>
      <vt:lpstr>button53_visible</vt:lpstr>
      <vt:lpstr>button54_visible</vt:lpstr>
      <vt:lpstr>button55_visible</vt:lpstr>
      <vt:lpstr>button56_visible</vt:lpstr>
      <vt:lpstr>button57_visible</vt:lpstr>
      <vt:lpstr>button58_visible</vt:lpstr>
      <vt:lpstr>button59_visible</vt:lpstr>
      <vt:lpstr>button6_visible</vt:lpstr>
      <vt:lpstr>button60_visible</vt:lpstr>
      <vt:lpstr>button61_visible</vt:lpstr>
      <vt:lpstr>button62_visible</vt:lpstr>
      <vt:lpstr>button63_visible</vt:lpstr>
      <vt:lpstr>button64_visible</vt:lpstr>
      <vt:lpstr>button65_visible</vt:lpstr>
      <vt:lpstr>button66_visible</vt:lpstr>
      <vt:lpstr>button67_visible</vt:lpstr>
      <vt:lpstr>button68_visible</vt:lpstr>
      <vt:lpstr>button69_visible</vt:lpstr>
      <vt:lpstr>button7_visible</vt:lpstr>
      <vt:lpstr>button70_visible</vt:lpstr>
      <vt:lpstr>button71_visible</vt:lpstr>
      <vt:lpstr>button72_visible</vt:lpstr>
      <vt:lpstr>button8_visible</vt:lpstr>
      <vt:lpstr>button9_visible</vt:lpstr>
      <vt:lpstr>capBCTestPctResult1</vt:lpstr>
      <vt:lpstr>capBCTestPctResult2</vt:lpstr>
      <vt:lpstr>capBCTestPctResult3</vt:lpstr>
      <vt:lpstr>capBCTestResult1</vt:lpstr>
      <vt:lpstr>capBCTestResult2</vt:lpstr>
      <vt:lpstr>capBid10Visible</vt:lpstr>
      <vt:lpstr>capBid11Visible</vt:lpstr>
      <vt:lpstr>capBid12Visible</vt:lpstr>
      <vt:lpstr>capBid1Emp2HrsRFQ</vt:lpstr>
      <vt:lpstr>capBid1Emp3HrsRFQ</vt:lpstr>
      <vt:lpstr>capBid1Emp4HrsRFQ</vt:lpstr>
      <vt:lpstr>capBid1Price</vt:lpstr>
      <vt:lpstr>capBid2Emp2HrsRFQ</vt:lpstr>
      <vt:lpstr>capBid2Emp3HrsRFQ</vt:lpstr>
      <vt:lpstr>capBid2Emp4HrsRFQ</vt:lpstr>
      <vt:lpstr>capBid2Price</vt:lpstr>
      <vt:lpstr>capBid3Emp2HrsRFQ</vt:lpstr>
      <vt:lpstr>capBid3Emp3HrsRFQ</vt:lpstr>
      <vt:lpstr>capBid3Emp4HrsRFQ</vt:lpstr>
      <vt:lpstr>capBid3Price</vt:lpstr>
      <vt:lpstr>capBid3Visible</vt:lpstr>
      <vt:lpstr>capBid4Emp2HrsRFQ</vt:lpstr>
      <vt:lpstr>capBid4Emp3HrsRFQ</vt:lpstr>
      <vt:lpstr>capBid4Emp4HrsRFQ</vt:lpstr>
      <vt:lpstr>capBid4Price</vt:lpstr>
      <vt:lpstr>capBid4Visible</vt:lpstr>
      <vt:lpstr>capBid5Emp2HrsRFQ</vt:lpstr>
      <vt:lpstr>capBid5Emp3HrsRFQ</vt:lpstr>
      <vt:lpstr>capBid5Emp4HrsRFQ</vt:lpstr>
      <vt:lpstr>capBid5Price</vt:lpstr>
      <vt:lpstr>capBid5Visible</vt:lpstr>
      <vt:lpstr>capBid6Emp2HrsRFQ</vt:lpstr>
      <vt:lpstr>capBid6Emp3HrsRFQ</vt:lpstr>
      <vt:lpstr>capBid6Emp4HrsRFQ</vt:lpstr>
      <vt:lpstr>capBid6Price</vt:lpstr>
      <vt:lpstr>capBid6Visible</vt:lpstr>
      <vt:lpstr>capBid7Emp2HrsRFQ</vt:lpstr>
      <vt:lpstr>capBid7Emp3HrsRFQ</vt:lpstr>
      <vt:lpstr>capBid7Emp4HrsRFQ</vt:lpstr>
      <vt:lpstr>capBid7Price</vt:lpstr>
      <vt:lpstr>capBid7Visible</vt:lpstr>
      <vt:lpstr>capBid8Emp2HrsRFQ</vt:lpstr>
      <vt:lpstr>capBid8Emp3HrsRFQ</vt:lpstr>
      <vt:lpstr>capBid8Emp4HrsRFQ</vt:lpstr>
      <vt:lpstr>capBid8Price</vt:lpstr>
      <vt:lpstr>capBid8Visible</vt:lpstr>
      <vt:lpstr>capBid9Emp2HrsRFQ</vt:lpstr>
      <vt:lpstr>capBid9Emp3HrsRFQ</vt:lpstr>
      <vt:lpstr>capBid9Emp4HrsRFQ</vt:lpstr>
      <vt:lpstr>capBid9Price</vt:lpstr>
      <vt:lpstr>capBid9Visible</vt:lpstr>
      <vt:lpstr>capBusABusDevNonPayrollBud</vt:lpstr>
      <vt:lpstr>capBusACurrProjV1Emp1Output</vt:lpstr>
      <vt:lpstr>capBusACurrProjV1Emp2Output</vt:lpstr>
      <vt:lpstr>capBusACurrProjV1Emp3Output</vt:lpstr>
      <vt:lpstr>capBusACurrProjV1Emp4Output</vt:lpstr>
      <vt:lpstr>capBusACurrProjV1Emp5Output</vt:lpstr>
      <vt:lpstr>capBusACurrProjV1Emp7Output</vt:lpstr>
      <vt:lpstr>capBusACurrProjV1Emp8Output</vt:lpstr>
      <vt:lpstr>capBusACurrProjV1Emp9Output</vt:lpstr>
      <vt:lpstr>capBusACurrProjV1HrsReq</vt:lpstr>
      <vt:lpstr>capBusACurrProjV1HrsReqBookings</vt:lpstr>
      <vt:lpstr>capBusACurrProjV1PctStaffed</vt:lpstr>
      <vt:lpstr>capBusACurrProjV2Emp1Output</vt:lpstr>
      <vt:lpstr>capBusACurrProjV2Emp2Output</vt:lpstr>
      <vt:lpstr>capBusACurrProjV2Emp3Output</vt:lpstr>
      <vt:lpstr>capBusACurrProjV2Emp4Output</vt:lpstr>
      <vt:lpstr>capBusACurrProjV2Emp5Output</vt:lpstr>
      <vt:lpstr>capBusACurrProjV2Emp7Output</vt:lpstr>
      <vt:lpstr>capBusACurrProjV2Emp8Output</vt:lpstr>
      <vt:lpstr>capBusACurrProjV2Emp9Output</vt:lpstr>
      <vt:lpstr>capBusACurrProjV2HrsReq</vt:lpstr>
      <vt:lpstr>capBusACurrProjV2HrsReqBookings</vt:lpstr>
      <vt:lpstr>capBusACurrProjV2PctStaffed</vt:lpstr>
      <vt:lpstr>capBusACurrProjV3Emp1Output</vt:lpstr>
      <vt:lpstr>capBusACurrProjV3Emp2Output</vt:lpstr>
      <vt:lpstr>capBusACurrProjV3Emp3Output</vt:lpstr>
      <vt:lpstr>capBusACurrProjV3Emp4Output</vt:lpstr>
      <vt:lpstr>capBusACurrProjV3Emp5Output</vt:lpstr>
      <vt:lpstr>capBusACurrProjV3Emp7Output</vt:lpstr>
      <vt:lpstr>capBusACurrProjV3Emp8Output</vt:lpstr>
      <vt:lpstr>capBusACurrProjV3Emp9Output</vt:lpstr>
      <vt:lpstr>capBusACurrProjV3HrsReq</vt:lpstr>
      <vt:lpstr>capBusACurrProjV3HrsReqBookings</vt:lpstr>
      <vt:lpstr>capBusACurrProjV3PctStaffed</vt:lpstr>
      <vt:lpstr>capBusAEmp1Att</vt:lpstr>
      <vt:lpstr>capBusAEmp1BaseExp</vt:lpstr>
      <vt:lpstr>capBusAEmp1CompDevTtlHrReq</vt:lpstr>
      <vt:lpstr>capBusAEmp1End</vt:lpstr>
      <vt:lpstr>capBusAEmp1EndHrsAvailable</vt:lpstr>
      <vt:lpstr>capBusAEmp1HrsCurrProj</vt:lpstr>
      <vt:lpstr>capBusAEmp1HrsCurrProjV2</vt:lpstr>
      <vt:lpstr>capBusAEmp1HrsCurrProjV3</vt:lpstr>
      <vt:lpstr>capBusAEmp1PureHrsAvail</vt:lpstr>
      <vt:lpstr>capBusAEmp1Req</vt:lpstr>
      <vt:lpstr>capBusAEmp1Utiliz</vt:lpstr>
      <vt:lpstr>capBusAEmp2Att</vt:lpstr>
      <vt:lpstr>capBusAEmp2BaseExp</vt:lpstr>
      <vt:lpstr>capBusAEmp2CompDevTtlHrReq</vt:lpstr>
      <vt:lpstr>capBusAEmp2End</vt:lpstr>
      <vt:lpstr>capBusAEmp2EndHrsAvailable</vt:lpstr>
      <vt:lpstr>capBusAEmp2PureHrsAvail</vt:lpstr>
      <vt:lpstr>capBusAEmp2Req</vt:lpstr>
      <vt:lpstr>capBusAEmp2Utiliz</vt:lpstr>
      <vt:lpstr>capBusAEmp3Att</vt:lpstr>
      <vt:lpstr>capBusAEmp3BaseExp</vt:lpstr>
      <vt:lpstr>capBusAEmp3CompDevTtlHrReq</vt:lpstr>
      <vt:lpstr>capBusAEmp3End</vt:lpstr>
      <vt:lpstr>capBusAEmp3EndHrsAvailable</vt:lpstr>
      <vt:lpstr>capBusAEmp3HrsSales</vt:lpstr>
      <vt:lpstr>capBusAEmp3HrsSalesV2</vt:lpstr>
      <vt:lpstr>capBusAEmp3HrsSalesV3</vt:lpstr>
      <vt:lpstr>capBusAEmp3PureHrsAvail</vt:lpstr>
      <vt:lpstr>capBusAEmp3Req</vt:lpstr>
      <vt:lpstr>capBusAEmp3Utiliz</vt:lpstr>
      <vt:lpstr>capBusAEmp4Att</vt:lpstr>
      <vt:lpstr>capBusAEmp4BaseExp</vt:lpstr>
      <vt:lpstr>capBusAEmp4CompDevTtlHrReq</vt:lpstr>
      <vt:lpstr>capBusAEmp4End</vt:lpstr>
      <vt:lpstr>capBusAEmp4EndHrsAvailable</vt:lpstr>
      <vt:lpstr>capBusAEmp4PureHrsAvail</vt:lpstr>
      <vt:lpstr>capBusAEmp4Req</vt:lpstr>
      <vt:lpstr>capBusAEmp4Utiliz</vt:lpstr>
      <vt:lpstr>capBusAEmp7Att</vt:lpstr>
      <vt:lpstr>capBusAEmp7BaseExp</vt:lpstr>
      <vt:lpstr>capBusAEmp7CompDevTtlHrReq</vt:lpstr>
      <vt:lpstr>capBusAEmp7End</vt:lpstr>
      <vt:lpstr>capBusAEmp7EndHrsAvailable</vt:lpstr>
      <vt:lpstr>capBusAEmp7Req</vt:lpstr>
      <vt:lpstr>capBusAEmp7Utiliz</vt:lpstr>
      <vt:lpstr>capBusAEmp8Att</vt:lpstr>
      <vt:lpstr>capBusAEmp8BaseExp</vt:lpstr>
      <vt:lpstr>capBusAEmp8CompDevTtlHrReq</vt:lpstr>
      <vt:lpstr>capBusAEmp8End</vt:lpstr>
      <vt:lpstr>capBusAEmp8EndHrsAvailable</vt:lpstr>
      <vt:lpstr>capBusAEmp8Req</vt:lpstr>
      <vt:lpstr>capBusAEmp8Utiliz</vt:lpstr>
      <vt:lpstr>capBusAEmp9Att</vt:lpstr>
      <vt:lpstr>capBusAEmp9BaseExp</vt:lpstr>
      <vt:lpstr>capBusAEmp9CompDevTtlHrReq</vt:lpstr>
      <vt:lpstr>capBusAEmp9End</vt:lpstr>
      <vt:lpstr>capBusAEmp9EndHrsAvailable</vt:lpstr>
      <vt:lpstr>capBusAEmp9Req</vt:lpstr>
      <vt:lpstr>capBusAEmp9Utiliz</vt:lpstr>
      <vt:lpstr>capBusALocalPerCostReduce</vt:lpstr>
      <vt:lpstr>capBusAOverallConsChargeablitiy</vt:lpstr>
      <vt:lpstr>capBusAOverallConsUtil</vt:lpstr>
      <vt:lpstr>capBusAOverallSITChargeablitiy</vt:lpstr>
      <vt:lpstr>capBusAOverallSolnWFChargeablitiy</vt:lpstr>
      <vt:lpstr>capBusAOverallSolnWFUtil</vt:lpstr>
      <vt:lpstr>capBusAQualityCostAdj</vt:lpstr>
      <vt:lpstr>capBusARelationReduceLocal</vt:lpstr>
      <vt:lpstr>capBusARiskUtiliz</vt:lpstr>
      <vt:lpstr>capBusAtotalCostOfQualityIncrease</vt:lpstr>
      <vt:lpstr>capBusATotalForecastPctStaffed</vt:lpstr>
      <vt:lpstr>capBusATotalForecastRev</vt:lpstr>
      <vt:lpstr>capBusAtotalLoadExpSaved</vt:lpstr>
      <vt:lpstr>capBusATotalOutput</vt:lpstr>
      <vt:lpstr>capBusATotalRevFromPullThru</vt:lpstr>
      <vt:lpstr>capBusAV1BusDevWAvgSalesOutput</vt:lpstr>
      <vt:lpstr>capBusAV1BusDevWAvgSalesOutputRank</vt:lpstr>
      <vt:lpstr>capBusAV1CostOfQualityIncrease</vt:lpstr>
      <vt:lpstr>capBusAV1Emp1CompDevTtlHrReq</vt:lpstr>
      <vt:lpstr>capBusAV1Emp2CompDevTtlHrReq</vt:lpstr>
      <vt:lpstr>capBusAV1Emp3CompDevTtlHrReq</vt:lpstr>
      <vt:lpstr>capBusAV1Emp4CompDevTtlHrReq</vt:lpstr>
      <vt:lpstr>capBusAV1Emp7CompDevTtlHrReq</vt:lpstr>
      <vt:lpstr>capBusAV1Emp8CompDevTtlHrReq</vt:lpstr>
      <vt:lpstr>capBusAV1Emp9CompDevTtlHrReq</vt:lpstr>
      <vt:lpstr>capBusAV1ForecastRev</vt:lpstr>
      <vt:lpstr>capBusAV1H1Y1RevFromPullThru</vt:lpstr>
      <vt:lpstr>capBusAV1H1Y2RevFromPullThru</vt:lpstr>
      <vt:lpstr>capBusAV1H1Y3RevFromPullThru</vt:lpstr>
      <vt:lpstr>capBusAV1H2Y1RevFromPullThru</vt:lpstr>
      <vt:lpstr>capBusAV1H2Y2RevFromPullThru</vt:lpstr>
      <vt:lpstr>capBusAV1H2Y3RevFromPullThru</vt:lpstr>
      <vt:lpstr>capBusAV1H3Y1RevFromPullThru</vt:lpstr>
      <vt:lpstr>capBusAV1H3Y2RevFromPullThru</vt:lpstr>
      <vt:lpstr>capBusAV1H3Y3RevFromPullThru</vt:lpstr>
      <vt:lpstr>capBusAV1LoadExpSaved</vt:lpstr>
      <vt:lpstr>capBusAV1RelationshipScore</vt:lpstr>
      <vt:lpstr>capBusAV1Y1RevFromPullThru</vt:lpstr>
      <vt:lpstr>capBusAV1Y2RevFromPullThru</vt:lpstr>
      <vt:lpstr>capBusAV1Y3RevFromPullThru</vt:lpstr>
      <vt:lpstr>capBusAV2BusDevWAvgSalesOutput</vt:lpstr>
      <vt:lpstr>capBusAV2BusDevWAvgSalesOutputRank</vt:lpstr>
      <vt:lpstr>capBusAV2CostOfQualityIncrease</vt:lpstr>
      <vt:lpstr>capBusAV2Emp1CompDevTtlHrReq</vt:lpstr>
      <vt:lpstr>capBusAV2Emp2CompDevTtlHrReq</vt:lpstr>
      <vt:lpstr>capBusAV2Emp3CompDevTtlHrReq</vt:lpstr>
      <vt:lpstr>capBusAV2Emp4CompDevTtlHrReq</vt:lpstr>
      <vt:lpstr>capBusAV2Emp7CompDevTtlHrReq</vt:lpstr>
      <vt:lpstr>capBusAV2Emp8CompDevTtlHrReq</vt:lpstr>
      <vt:lpstr>capBusAV2Emp9CompDevTtlHrReq</vt:lpstr>
      <vt:lpstr>capBusAV2ForecastRev</vt:lpstr>
      <vt:lpstr>capBusAV2H1Y1RevFromPullThru</vt:lpstr>
      <vt:lpstr>capBusAV2H1Y2RevFromPullThru</vt:lpstr>
      <vt:lpstr>capBusAV2H1Y3RevFromPullThru</vt:lpstr>
      <vt:lpstr>capBusAV2H2Y1RevFromPullThru</vt:lpstr>
      <vt:lpstr>capBusAV2H2Y2RevFromPullThru</vt:lpstr>
      <vt:lpstr>capBusAV2H2Y3RevFromPullThru</vt:lpstr>
      <vt:lpstr>capBusAV2H3Y1RevFromPullThru</vt:lpstr>
      <vt:lpstr>capBusAV2H3Y2RevFromPullThru</vt:lpstr>
      <vt:lpstr>capBusAV2H3Y3RevFromPullThru</vt:lpstr>
      <vt:lpstr>capBusAV2LoadExpSaved</vt:lpstr>
      <vt:lpstr>capBusAV2RelationshipScore</vt:lpstr>
      <vt:lpstr>capBusAV2Y1RevFromPullThru</vt:lpstr>
      <vt:lpstr>capBusAV2Y2RevFromPullThru</vt:lpstr>
      <vt:lpstr>capBusAV2Y3RevFromPullThru</vt:lpstr>
      <vt:lpstr>capBusAV3BusDevWAvgSalesOutput</vt:lpstr>
      <vt:lpstr>capBusAV3BusDevWAvgSalesOutputRank</vt:lpstr>
      <vt:lpstr>capBusAV3CostOfQualityIncrease</vt:lpstr>
      <vt:lpstr>capBusAV3Emp1CompDevTtlHrReq</vt:lpstr>
      <vt:lpstr>capBusAV3Emp2CompDevTtlHrReq</vt:lpstr>
      <vt:lpstr>capBusAV3Emp3CompDevTtlHrReq</vt:lpstr>
      <vt:lpstr>capBusAV3Emp4CompDevTtlHrReq</vt:lpstr>
      <vt:lpstr>capBusAV3Emp7CompDevTtlHrReq</vt:lpstr>
      <vt:lpstr>capBusAV3Emp8CompDevTtlHrReq</vt:lpstr>
      <vt:lpstr>capBusAV3Emp9CompDevTtlHrReq</vt:lpstr>
      <vt:lpstr>capBusAV3ForecastRev</vt:lpstr>
      <vt:lpstr>capBusAV3H1Y1RevFromPullThru</vt:lpstr>
      <vt:lpstr>capBusAV3H1Y2RevFromPullThru</vt:lpstr>
      <vt:lpstr>capBusAV3H1Y3RevFromPullThru</vt:lpstr>
      <vt:lpstr>capBusAV3H2Y1RevFromPullThru</vt:lpstr>
      <vt:lpstr>capBusAV3H2Y2RevFromPullThru</vt:lpstr>
      <vt:lpstr>capBusAV3H2Y3RevFromPullThru</vt:lpstr>
      <vt:lpstr>capBusAV3H3Y1RevFromPullThru</vt:lpstr>
      <vt:lpstr>capBusAV3H3Y2RevFromPullThru</vt:lpstr>
      <vt:lpstr>capBusAV3H3Y3RevFromPullThru</vt:lpstr>
      <vt:lpstr>capBusAV3LoadExpSaved</vt:lpstr>
      <vt:lpstr>capBusAV3RelationshipScore</vt:lpstr>
      <vt:lpstr>capBusAV3Y1RevFromPullThru</vt:lpstr>
      <vt:lpstr>capBusAV3Y2RevFromPullThru</vt:lpstr>
      <vt:lpstr>capBusAV3Y3RevFromPullThru</vt:lpstr>
      <vt:lpstr>capBusBBusDevNonPayrollBud</vt:lpstr>
      <vt:lpstr>capBusBEmp1Att</vt:lpstr>
      <vt:lpstr>capBusBEmp1BaseExp</vt:lpstr>
      <vt:lpstr>capBusBEmp1CompDevTtlHrReq</vt:lpstr>
      <vt:lpstr>capBusBEmp1End</vt:lpstr>
      <vt:lpstr>capBusBEmp1EndHrsAvailable</vt:lpstr>
      <vt:lpstr>capBusBEmp1Req</vt:lpstr>
      <vt:lpstr>capBusBEmp1Utiliz</vt:lpstr>
      <vt:lpstr>capBusBEmp2Att</vt:lpstr>
      <vt:lpstr>capBusBEmp2BaseExp</vt:lpstr>
      <vt:lpstr>capBusBEmp2CompDevTtlHrReq</vt:lpstr>
      <vt:lpstr>capBusBEmp2End</vt:lpstr>
      <vt:lpstr>capBusBEmp2EndHrsAvailable</vt:lpstr>
      <vt:lpstr>capBusBEmp2Req</vt:lpstr>
      <vt:lpstr>capBusBEmp2Utiliz</vt:lpstr>
      <vt:lpstr>capBusBEmp3Att</vt:lpstr>
      <vt:lpstr>capBusBEmp3BaseExp</vt:lpstr>
      <vt:lpstr>capBusBEmp3CompDevTtlHrReq</vt:lpstr>
      <vt:lpstr>capBusBEmp3End</vt:lpstr>
      <vt:lpstr>capBusBEmp3EndHrsAvailable</vt:lpstr>
      <vt:lpstr>capBusBEmp3Req</vt:lpstr>
      <vt:lpstr>capBusBEmp3Utiliz</vt:lpstr>
      <vt:lpstr>capBusBEmp4Att</vt:lpstr>
      <vt:lpstr>capBusBEmp4BaseExp</vt:lpstr>
      <vt:lpstr>capBusBEmp4CompDevTtlHrReq</vt:lpstr>
      <vt:lpstr>capBusBEmp4End</vt:lpstr>
      <vt:lpstr>capBusBEmp4EndHrsAvailable</vt:lpstr>
      <vt:lpstr>capBusBEmp4Req</vt:lpstr>
      <vt:lpstr>capBusBEmp4Utiliz</vt:lpstr>
      <vt:lpstr>capBusBForecastRevBid1</vt:lpstr>
      <vt:lpstr>capBusBForecastRevBid2</vt:lpstr>
      <vt:lpstr>capBusBForecastRevBid3</vt:lpstr>
      <vt:lpstr>capBusBForecastRevBid4</vt:lpstr>
      <vt:lpstr>capBusBForecastRevBid5</vt:lpstr>
      <vt:lpstr>capBusBForecastRevBid6</vt:lpstr>
      <vt:lpstr>capBusBForecastRevBid7</vt:lpstr>
      <vt:lpstr>capBusBForecastRevBid8</vt:lpstr>
      <vt:lpstr>capBusBForecastRevBid9</vt:lpstr>
      <vt:lpstr>capBusBGenOpsPctCostReduce</vt:lpstr>
      <vt:lpstr>capBusBOverallConsUtil</vt:lpstr>
      <vt:lpstr>capBusBOverallSolnWFUtil</vt:lpstr>
      <vt:lpstr>capBusBQualityCostAdj</vt:lpstr>
      <vt:lpstr>capBusBTotalForecastRev</vt:lpstr>
      <vt:lpstr>capBusBTotalH1Rev</vt:lpstr>
      <vt:lpstr>capBusBTotalH2Rev</vt:lpstr>
      <vt:lpstr>capBusBTotalH3Rev</vt:lpstr>
      <vt:lpstr>capBusBTotalV1Rev</vt:lpstr>
      <vt:lpstr>capBusBTotalV2Rev</vt:lpstr>
      <vt:lpstr>capBusBTotalV3Rev</vt:lpstr>
      <vt:lpstr>capBusBV1CompDevExpAllocPct</vt:lpstr>
      <vt:lpstr>capBusBV1Emp1CompDevTtlHrReq</vt:lpstr>
      <vt:lpstr>capBusBV1Emp2CompDevTtlHrReq</vt:lpstr>
      <vt:lpstr>capBusBV1Emp3CompDevTtlHrReq</vt:lpstr>
      <vt:lpstr>capBusBV1Emp4CompDevTtlHrReq</vt:lpstr>
      <vt:lpstr>capBusBV1H1BusDevWAvgSalesOutput</vt:lpstr>
      <vt:lpstr>capBusBV1H1BusDevWAvgSalesOutputRank</vt:lpstr>
      <vt:lpstr>capBusBV1H2BusDevWAvgSalesOutput</vt:lpstr>
      <vt:lpstr>capBusBV1H2BusDevWAvgSalesOutputRank</vt:lpstr>
      <vt:lpstr>capBusBV1H3BusDevWAvgSalesOutput</vt:lpstr>
      <vt:lpstr>capBusBV1H3BusDevWAvgSalesOutputRank</vt:lpstr>
      <vt:lpstr>capBusBV2CompDevExpAllocPct</vt:lpstr>
      <vt:lpstr>capBusBV2Emp1CompDevTtlHrReq</vt:lpstr>
      <vt:lpstr>capBusBV2Emp2CompDevTtlHrReq</vt:lpstr>
      <vt:lpstr>capBusBV2Emp3CompDevTtlHrReq</vt:lpstr>
      <vt:lpstr>capBusBV2Emp4CompDevTtlHrReq</vt:lpstr>
      <vt:lpstr>capBusBV2H1BusDevWAvgSalesOutput</vt:lpstr>
      <vt:lpstr>capBusBV2H1BusDevWAvgSalesOutputRank</vt:lpstr>
      <vt:lpstr>capBusBV2H2BusDevWAvgSalesOutput</vt:lpstr>
      <vt:lpstr>capBusBV2H2BusDevWAvgSalesOutputRank</vt:lpstr>
      <vt:lpstr>capBusBV2H3BusDevWAvgSalesOutput</vt:lpstr>
      <vt:lpstr>capBusBV2H3BusDevWAvgSalesOutputRank</vt:lpstr>
      <vt:lpstr>capBusBV3CompDevExpAllocPct</vt:lpstr>
      <vt:lpstr>capBusBV3Emp1CompDevTtlHrReq</vt:lpstr>
      <vt:lpstr>capBusBV3Emp2CompDevTtlHrReq</vt:lpstr>
      <vt:lpstr>capBusBV3Emp3CompDevTtlHrReq</vt:lpstr>
      <vt:lpstr>capBusBV3Emp4CompDevTtlHrReq</vt:lpstr>
      <vt:lpstr>capBusBV3H1BusDevWAvgSalesOutput</vt:lpstr>
      <vt:lpstr>capBusBV3H1BusDevWAvgSalesOutputRank</vt:lpstr>
      <vt:lpstr>capBusBV3H2BusDevWAvgSalesOutput</vt:lpstr>
      <vt:lpstr>capBusBV3H2BusDevWAvgSalesOutputRank</vt:lpstr>
      <vt:lpstr>capBusBV3H3BusDevWAvgSalesOutput</vt:lpstr>
      <vt:lpstr>capBusBV3H3BusDevWAvgSalesOutputRank</vt:lpstr>
      <vt:lpstr>capBusBY1OpsSavings</vt:lpstr>
      <vt:lpstr>capBusBY1V1H1OpsSavings</vt:lpstr>
      <vt:lpstr>capBusBY1V1H2OpsSavings</vt:lpstr>
      <vt:lpstr>capBusBY1V1H3OpsSavings</vt:lpstr>
      <vt:lpstr>capBusBY1V1OpsSavings</vt:lpstr>
      <vt:lpstr>capBusBY1V2H1OpsSavings</vt:lpstr>
      <vt:lpstr>capBusBY1V2H2OpsSavings</vt:lpstr>
      <vt:lpstr>capBusBY1V2H3OpsSavings</vt:lpstr>
      <vt:lpstr>capBusBY1V2OpsSavings</vt:lpstr>
      <vt:lpstr>capBusBY1V3H1OpsSavings</vt:lpstr>
      <vt:lpstr>capBusBY1V3H2OpsSavings</vt:lpstr>
      <vt:lpstr>capBusBY1V3H3OpsSavings</vt:lpstr>
      <vt:lpstr>capBusBY1V3OpsSavings</vt:lpstr>
      <vt:lpstr>capBusBY2OpsSavings</vt:lpstr>
      <vt:lpstr>capBusBY2V1H1OpsSavings</vt:lpstr>
      <vt:lpstr>capBusBY2V1H2OpsSavings</vt:lpstr>
      <vt:lpstr>capBusBY2V1H3OpsSavings</vt:lpstr>
      <vt:lpstr>capBusBY2V1OpsSavings</vt:lpstr>
      <vt:lpstr>capBusBY2V2H1OpsSavings</vt:lpstr>
      <vt:lpstr>capBusBY2V2H2OpsSavings</vt:lpstr>
      <vt:lpstr>capBusBY2V2H3OpsSavings</vt:lpstr>
      <vt:lpstr>capBusBY2V2OpsSavings</vt:lpstr>
      <vt:lpstr>capBusBY2V3H1OpsSavings</vt:lpstr>
      <vt:lpstr>capBusBY2V3H2OpsSavings</vt:lpstr>
      <vt:lpstr>capBusBY2V3H3OpsSavings</vt:lpstr>
      <vt:lpstr>capBusBY2V3OpsSavings</vt:lpstr>
      <vt:lpstr>capBusBY3OpsSavings</vt:lpstr>
      <vt:lpstr>capBusBY3V1H1OpsSavings</vt:lpstr>
      <vt:lpstr>capBusBY3V1H2OpsSavings</vt:lpstr>
      <vt:lpstr>capBusBY3V1H3OpsSavings</vt:lpstr>
      <vt:lpstr>capBusBY3V1OpsSavings</vt:lpstr>
      <vt:lpstr>capBusBY3V2H1OpsSavings</vt:lpstr>
      <vt:lpstr>capBusBY3V2H2OpsSavings</vt:lpstr>
      <vt:lpstr>capBusBY3V2H3OpsSavings</vt:lpstr>
      <vt:lpstr>capBusBY3V2OpsSavings</vt:lpstr>
      <vt:lpstr>capBusBY3V3H1OpsSavings</vt:lpstr>
      <vt:lpstr>capBusBY3V3H2OpsSavings</vt:lpstr>
      <vt:lpstr>capBusBY3V3H3OpsSavings</vt:lpstr>
      <vt:lpstr>capBusBY3V3OpsSavings</vt:lpstr>
      <vt:lpstr>capCSATEnd</vt:lpstr>
      <vt:lpstr>capEmp1AdminExp</vt:lpstr>
      <vt:lpstr>capEmp1Att</vt:lpstr>
      <vt:lpstr>capEmp1BusAAdminExp</vt:lpstr>
      <vt:lpstr>capEmp1BusACompDevAlloc</vt:lpstr>
      <vt:lpstr>capEmp1BusACompDevExp</vt:lpstr>
      <vt:lpstr>capEmp1BusAGeneralTrainingAlloc</vt:lpstr>
      <vt:lpstr>capEmp1BusAGeneralTrainingExp</vt:lpstr>
      <vt:lpstr>capEmp1BusAGeneralTrainingHrs</vt:lpstr>
      <vt:lpstr>capEmp1BusAInitHrsAlloc</vt:lpstr>
      <vt:lpstr>capEmp1BusAInitHrsExp</vt:lpstr>
      <vt:lpstr>capEmp1BusANonBillAlloc</vt:lpstr>
      <vt:lpstr>capEmp1BusANonBillExp</vt:lpstr>
      <vt:lpstr>capEmp1BusARecDismExp</vt:lpstr>
      <vt:lpstr>capEmp1BusAV1Alloc</vt:lpstr>
      <vt:lpstr>capEmp1BusAV1AllocSalesV1</vt:lpstr>
      <vt:lpstr>capEmp1BusAV1AllocSalesV2</vt:lpstr>
      <vt:lpstr>capEmp1BusAV1AllocSalesV3</vt:lpstr>
      <vt:lpstr>capEmp1BusAV1Exp</vt:lpstr>
      <vt:lpstr>capEmp1BusAV1SalesExp</vt:lpstr>
      <vt:lpstr>capEmp1BusAV2Alloc</vt:lpstr>
      <vt:lpstr>capEmp1BusAV2Exp</vt:lpstr>
      <vt:lpstr>capEmp1BusAV2SalesExp</vt:lpstr>
      <vt:lpstr>capEmp1BusAV3Alloc</vt:lpstr>
      <vt:lpstr>capEmp1BusAV3Exp</vt:lpstr>
      <vt:lpstr>capEmp1BusAV3SalesExp</vt:lpstr>
      <vt:lpstr>capEmp1BusBAdminExp</vt:lpstr>
      <vt:lpstr>capEmp1BusBCompDevAlloc</vt:lpstr>
      <vt:lpstr>capEmp1BusBCompDevAllocExp</vt:lpstr>
      <vt:lpstr>capEmp1BusBGeneralTrainingAlloc</vt:lpstr>
      <vt:lpstr>capEmp1BusBGeneralTrainingAllocExp</vt:lpstr>
      <vt:lpstr>capEmp1BusBGeneralTrainingHrs</vt:lpstr>
      <vt:lpstr>capEmp1BusBInitHrsAlloc</vt:lpstr>
      <vt:lpstr>capEmp1BusBInitHrsExp</vt:lpstr>
      <vt:lpstr>capEmp1BusBNonBillAlloc</vt:lpstr>
      <vt:lpstr>capEmp1BusBNonBillExp</vt:lpstr>
      <vt:lpstr>capEmp1BusBOpsImprovement</vt:lpstr>
      <vt:lpstr>capEmp1BusBOpsImprovementExp</vt:lpstr>
      <vt:lpstr>capEmp1BusBRecDismExp</vt:lpstr>
      <vt:lpstr>capEmp1Change</vt:lpstr>
      <vt:lpstr>capEmp1Exp</vt:lpstr>
      <vt:lpstr>capEmp1GeneralTrainingHrsAvailNextYr</vt:lpstr>
      <vt:lpstr>capEmp1RecDismExp</vt:lpstr>
      <vt:lpstr>capEmp1Req</vt:lpstr>
      <vt:lpstr>capEmp1Salary</vt:lpstr>
      <vt:lpstr>capEmp1TotalDismiss</vt:lpstr>
      <vt:lpstr>capEmp1Utiliz</vt:lpstr>
      <vt:lpstr>capEmp2AdminExp</vt:lpstr>
      <vt:lpstr>capEmp2BusAAdminExp</vt:lpstr>
      <vt:lpstr>capEmp2BusACompDevAlloc</vt:lpstr>
      <vt:lpstr>capEmp2BusACompDevExp</vt:lpstr>
      <vt:lpstr>capEmp2BusAGeneralTrainingAlloc</vt:lpstr>
      <vt:lpstr>capEmp2BusAGeneralTrainingExp</vt:lpstr>
      <vt:lpstr>capEmp2BusAGeneralTrainingHrs</vt:lpstr>
      <vt:lpstr>capEmp2BusAInitHrsAlloc</vt:lpstr>
      <vt:lpstr>capEmp2BusAInitHrsExp</vt:lpstr>
      <vt:lpstr>capEmp2BusANonBillAlloc</vt:lpstr>
      <vt:lpstr>capEmp2BusANonBillExp</vt:lpstr>
      <vt:lpstr>capEmp2BusARecDismExp</vt:lpstr>
      <vt:lpstr>capEmp2BusAV1Alloc</vt:lpstr>
      <vt:lpstr>capEmp2BusAV1AllocSalesV1</vt:lpstr>
      <vt:lpstr>capEmp2BusAV1AllocSalesV2</vt:lpstr>
      <vt:lpstr>capEmp2BusAV1AllocSalesV3</vt:lpstr>
      <vt:lpstr>capEmp2BusAV1Exp</vt:lpstr>
      <vt:lpstr>capEmp2BusAV1SalesExp</vt:lpstr>
      <vt:lpstr>capEmp2BusAV2Alloc</vt:lpstr>
      <vt:lpstr>capEmp2BusAV2Exp</vt:lpstr>
      <vt:lpstr>capEmp2BusAV2SalesExp</vt:lpstr>
      <vt:lpstr>capEmp2BusAV3Alloc</vt:lpstr>
      <vt:lpstr>capEmp2BusAV3Exp</vt:lpstr>
      <vt:lpstr>capEmp2BusAV3SalesExp</vt:lpstr>
      <vt:lpstr>capEmp2BusBAdminExp</vt:lpstr>
      <vt:lpstr>capEmp2BusBCompDevAlloc</vt:lpstr>
      <vt:lpstr>capEmp2BusBCompDevAllocExp</vt:lpstr>
      <vt:lpstr>capEmp2BusBGeneralTrainingAlloc</vt:lpstr>
      <vt:lpstr>capEmp2BusBGeneralTrainingAllocExp</vt:lpstr>
      <vt:lpstr>capEmp2BusBGeneralTrainingHrs</vt:lpstr>
      <vt:lpstr>capEmp2BusBInitHrsAlloc</vt:lpstr>
      <vt:lpstr>capEmp2BusBInitHrsExp</vt:lpstr>
      <vt:lpstr>capEmp2BusBNonBillAlloc</vt:lpstr>
      <vt:lpstr>capEmp2BusBNonBillExp</vt:lpstr>
      <vt:lpstr>capEmp2BusBOpsImprovement</vt:lpstr>
      <vt:lpstr>capEmp2BusBOpsImprovementExp</vt:lpstr>
      <vt:lpstr>capEmp2BusBRecDismExp</vt:lpstr>
      <vt:lpstr>capEmp2BusBV1Alloc</vt:lpstr>
      <vt:lpstr>capEmp2BusBV1Exp</vt:lpstr>
      <vt:lpstr>capEmp2BusBV2Alloc</vt:lpstr>
      <vt:lpstr>capEmp2BusBV2Exp</vt:lpstr>
      <vt:lpstr>capEmp2BusBV3Alloc</vt:lpstr>
      <vt:lpstr>capEmp2BusBV3Exp</vt:lpstr>
      <vt:lpstr>capEmp2Change</vt:lpstr>
      <vt:lpstr>capEmp2Exp</vt:lpstr>
      <vt:lpstr>capEmp2GeneralTrainingHrsAvailNextYr</vt:lpstr>
      <vt:lpstr>capEmp2RecDismExp</vt:lpstr>
      <vt:lpstr>capEmp2Req</vt:lpstr>
      <vt:lpstr>capEmp2Salary</vt:lpstr>
      <vt:lpstr>capEmp2TotalDismiss</vt:lpstr>
      <vt:lpstr>capEmp2Utiliz</vt:lpstr>
      <vt:lpstr>capEmp3AdminExp</vt:lpstr>
      <vt:lpstr>capEmp3Att</vt:lpstr>
      <vt:lpstr>capEmp3BusAAdminExp</vt:lpstr>
      <vt:lpstr>capEmp3BusACompDevAlloc</vt:lpstr>
      <vt:lpstr>capEmp3BusACompDevExp</vt:lpstr>
      <vt:lpstr>capEmp3BusAGeneralTrainingAlloc</vt:lpstr>
      <vt:lpstr>capEmp3BusAGeneralTrainingExp</vt:lpstr>
      <vt:lpstr>capEmp3BusAGeneralTrainingHrs</vt:lpstr>
      <vt:lpstr>capEmp3BusAInitHrsAlloc</vt:lpstr>
      <vt:lpstr>capEmp3BusAInitHrsExp</vt:lpstr>
      <vt:lpstr>capEmp3BusANonBillAlloc</vt:lpstr>
      <vt:lpstr>capEmp3BusANonBillExp</vt:lpstr>
      <vt:lpstr>capEmp3BusARecDismExp</vt:lpstr>
      <vt:lpstr>capEmp3BusAV1Alloc</vt:lpstr>
      <vt:lpstr>capEmp3BusAV1AllocSalesV1</vt:lpstr>
      <vt:lpstr>capEmp3BusAV1AllocSalesV2</vt:lpstr>
      <vt:lpstr>capEmp3BusAV1AllocSalesV3</vt:lpstr>
      <vt:lpstr>capEmp3BusAV1Exp</vt:lpstr>
      <vt:lpstr>capEmp3BusAV1SalesExp</vt:lpstr>
      <vt:lpstr>capEmp3BusAV2Alloc</vt:lpstr>
      <vt:lpstr>capEmp3BusAV2Exp</vt:lpstr>
      <vt:lpstr>capEmp3BusAV2SalesExp</vt:lpstr>
      <vt:lpstr>capEmp3BusAV3Alloc</vt:lpstr>
      <vt:lpstr>capEmp3BusAV3Exp</vt:lpstr>
      <vt:lpstr>capEmp3BusAV3SalesExp</vt:lpstr>
      <vt:lpstr>capEmp3BusBAdminExp</vt:lpstr>
      <vt:lpstr>capEmp3BusBCompDevAlloc</vt:lpstr>
      <vt:lpstr>capEmp3BusBCompDevAllocExp</vt:lpstr>
      <vt:lpstr>capEmp3BusBGeneralTrainingAlloc</vt:lpstr>
      <vt:lpstr>capEmp3BusBGeneralTrainingAllocExp</vt:lpstr>
      <vt:lpstr>capEmp3BusBGeneralTrainingHrs</vt:lpstr>
      <vt:lpstr>capEmp3BusBInitHrsAlloc</vt:lpstr>
      <vt:lpstr>capEmp3BusBInitHrsExp</vt:lpstr>
      <vt:lpstr>capEmp3BusBNonBillAlloc</vt:lpstr>
      <vt:lpstr>capEmp3BusBNonBillExp</vt:lpstr>
      <vt:lpstr>capEmp3BusBOpsImprovement</vt:lpstr>
      <vt:lpstr>capEmp3BusBOpsImprovementExp</vt:lpstr>
      <vt:lpstr>capEmp3BusBRecDismExp</vt:lpstr>
      <vt:lpstr>capEmp3BusBV1Alloc</vt:lpstr>
      <vt:lpstr>capEmp3BusBV1Exp</vt:lpstr>
      <vt:lpstr>capEmp3BusBV2Alloc</vt:lpstr>
      <vt:lpstr>capEmp3BusBV2Exp</vt:lpstr>
      <vt:lpstr>capEmp3BusBV3Alloc</vt:lpstr>
      <vt:lpstr>capEmp3BusBV3Exp</vt:lpstr>
      <vt:lpstr>capEmp3Change</vt:lpstr>
      <vt:lpstr>capEmp3Exp</vt:lpstr>
      <vt:lpstr>capEmp3GeneralTrainingHrsAvailNextYr</vt:lpstr>
      <vt:lpstr>capEmp3RecDismExp</vt:lpstr>
      <vt:lpstr>capEmp3Req</vt:lpstr>
      <vt:lpstr>capEmp3Salary</vt:lpstr>
      <vt:lpstr>capEmp3TotalDismiss</vt:lpstr>
      <vt:lpstr>capEmp3Utiliz</vt:lpstr>
      <vt:lpstr>capEmp4AdminExp</vt:lpstr>
      <vt:lpstr>capEmp4Att</vt:lpstr>
      <vt:lpstr>capEmp4BusAAdminExp</vt:lpstr>
      <vt:lpstr>capEmp4BusACompDevAlloc</vt:lpstr>
      <vt:lpstr>capEmp4BusACompDevExp</vt:lpstr>
      <vt:lpstr>capEmp4BusAGeneralTrainingAlloc</vt:lpstr>
      <vt:lpstr>capEmp4BusAGeneralTrainingExp</vt:lpstr>
      <vt:lpstr>capEmp4BusAGeneralTrainingHrs</vt:lpstr>
      <vt:lpstr>capEmp4BusAInitHrsAlloc</vt:lpstr>
      <vt:lpstr>capEmp4BusAInitHrsExp</vt:lpstr>
      <vt:lpstr>capEmp4BusANonBillAlloc</vt:lpstr>
      <vt:lpstr>capEmp4BusANonBillExp</vt:lpstr>
      <vt:lpstr>capEmp4BusARecDismExp</vt:lpstr>
      <vt:lpstr>capEmp4BusAV1Alloc</vt:lpstr>
      <vt:lpstr>capEmp4BusAV1AllocSalesV1</vt:lpstr>
      <vt:lpstr>capEmp4BusAV1AllocSalesV2</vt:lpstr>
      <vt:lpstr>capEmp4BusAV1AllocSalesV3</vt:lpstr>
      <vt:lpstr>capEmp4BusAV1Exp</vt:lpstr>
      <vt:lpstr>capEmp4BusAV1SalesExp</vt:lpstr>
      <vt:lpstr>capEmp4BusAV2Alloc</vt:lpstr>
      <vt:lpstr>capEmp4BusAV2Exp</vt:lpstr>
      <vt:lpstr>capEmp4BusAV2SalesExp</vt:lpstr>
      <vt:lpstr>capEmp4BusAV3Alloc</vt:lpstr>
      <vt:lpstr>capEmp4BusAV3Exp</vt:lpstr>
      <vt:lpstr>capEmp4BusAV3SalesExp</vt:lpstr>
      <vt:lpstr>capEmp4BusBAdminExp</vt:lpstr>
      <vt:lpstr>capEmp4BusBCompDevAlloc</vt:lpstr>
      <vt:lpstr>capEmp4BusBCompDevAllocExp</vt:lpstr>
      <vt:lpstr>capEmp4BusBGeneralTrainingAlloc</vt:lpstr>
      <vt:lpstr>capEmp4BusBGeneralTrainingAllocExp</vt:lpstr>
      <vt:lpstr>capEmp4BusBGeneralTrainingHrs</vt:lpstr>
      <vt:lpstr>capEmp4BusBInitHrsAlloc</vt:lpstr>
      <vt:lpstr>capEmp4BusBInitHrsExp</vt:lpstr>
      <vt:lpstr>capEmp4BusBNonBillAlloc</vt:lpstr>
      <vt:lpstr>capEmp4BusBNonBillExp</vt:lpstr>
      <vt:lpstr>capEmp4BusBOpsImprovement</vt:lpstr>
      <vt:lpstr>capEmp4BusBOpsImprovementExp</vt:lpstr>
      <vt:lpstr>capEmp4BusBRecDismExp</vt:lpstr>
      <vt:lpstr>capEmp4BusBV1Alloc</vt:lpstr>
      <vt:lpstr>capEmp4BusBV1Exp</vt:lpstr>
      <vt:lpstr>capEmp4BusBV2Alloc</vt:lpstr>
      <vt:lpstr>capEmp4BusBV2Exp</vt:lpstr>
      <vt:lpstr>capEmp4BusBV3Alloc</vt:lpstr>
      <vt:lpstr>capEmp4BusBV3Exp</vt:lpstr>
      <vt:lpstr>capEmp4Change</vt:lpstr>
      <vt:lpstr>capEmp4Exp</vt:lpstr>
      <vt:lpstr>capEmp4GeneralTrainingHrsAvailNextYr</vt:lpstr>
      <vt:lpstr>capEmp4RecDismExp</vt:lpstr>
      <vt:lpstr>capEmp4Req</vt:lpstr>
      <vt:lpstr>capEmp4Salary</vt:lpstr>
      <vt:lpstr>capEmp4TotalDismiss</vt:lpstr>
      <vt:lpstr>capEmp4Utiliz</vt:lpstr>
      <vt:lpstr>capEmp6AdminExp</vt:lpstr>
      <vt:lpstr>capEmp6Att</vt:lpstr>
      <vt:lpstr>capEmp6BusBGeneralTrainingHrs</vt:lpstr>
      <vt:lpstr>capEmp6End</vt:lpstr>
      <vt:lpstr>capEmp6ExCapCost</vt:lpstr>
      <vt:lpstr>capEmp6Exp</vt:lpstr>
      <vt:lpstr>capEmp6ForecastUtil</vt:lpstr>
      <vt:lpstr>capEmp6GeneralTrainingHrsAvailNextYr</vt:lpstr>
      <vt:lpstr>capEmp6HrsRequired</vt:lpstr>
      <vt:lpstr>capEmp6OTCost</vt:lpstr>
      <vt:lpstr>capEmp6PctOverUtilized</vt:lpstr>
      <vt:lpstr>capEmp6RecDismExp</vt:lpstr>
      <vt:lpstr>capEmp6TotalForecastHours</vt:lpstr>
      <vt:lpstr>capEmp6Utiliz</vt:lpstr>
      <vt:lpstr>capEmp7AdminExp</vt:lpstr>
      <vt:lpstr>capEmp7Att</vt:lpstr>
      <vt:lpstr>capEmp7BusAAdminExp</vt:lpstr>
      <vt:lpstr>capEmp7BusACompDevAlloc</vt:lpstr>
      <vt:lpstr>capEmp7BusACompDevExp</vt:lpstr>
      <vt:lpstr>capEmp7BusAGeneralTrainingAlloc</vt:lpstr>
      <vt:lpstr>capEmp7BusAGeneralTrainingExp</vt:lpstr>
      <vt:lpstr>capEmp7BusAGeneralTrainingHrs</vt:lpstr>
      <vt:lpstr>capEmp7BusAInitHrsAlloc</vt:lpstr>
      <vt:lpstr>capEmp7BusAInitHrsExp</vt:lpstr>
      <vt:lpstr>capEmp7BusANonBillAlloc</vt:lpstr>
      <vt:lpstr>capEmp7BusANonBillExp</vt:lpstr>
      <vt:lpstr>capEmp7BusARecDismExp</vt:lpstr>
      <vt:lpstr>capEmp7BusAV1Alloc</vt:lpstr>
      <vt:lpstr>capEmp7BusAV1AllocSalesV1</vt:lpstr>
      <vt:lpstr>capEmp7BusAV1AllocSalesV2</vt:lpstr>
      <vt:lpstr>capEmp7BusAV1AllocSalesV3</vt:lpstr>
      <vt:lpstr>capEmp7BusAV1Exp</vt:lpstr>
      <vt:lpstr>capEmp7BusAV1SalesExp</vt:lpstr>
      <vt:lpstr>capEmp7BusAV2Alloc</vt:lpstr>
      <vt:lpstr>capEmp7BusAV2Exp</vt:lpstr>
      <vt:lpstr>capEmp7BusAV2SalesExp</vt:lpstr>
      <vt:lpstr>capEmp7BusAV3Alloc</vt:lpstr>
      <vt:lpstr>capEmp7BusAV3Exp</vt:lpstr>
      <vt:lpstr>capEmp7BusAV3SalesExp</vt:lpstr>
      <vt:lpstr>capEmp7Exp</vt:lpstr>
      <vt:lpstr>capEmp7GeneralTrainingHrsAvailNextYr</vt:lpstr>
      <vt:lpstr>capEmp7RecDismExp</vt:lpstr>
      <vt:lpstr>capEmp7Req</vt:lpstr>
      <vt:lpstr>capEmp7Utiliz</vt:lpstr>
      <vt:lpstr>capEmp8AdminExp</vt:lpstr>
      <vt:lpstr>capEmp8Att</vt:lpstr>
      <vt:lpstr>capEmp8BusAAdminExp</vt:lpstr>
      <vt:lpstr>capEmp8BusACompDevAlloc</vt:lpstr>
      <vt:lpstr>capEmp8BusACompDevExp</vt:lpstr>
      <vt:lpstr>capEmp8BusAGeneralTrainingAlloc</vt:lpstr>
      <vt:lpstr>capEmp8BusAGeneralTrainingExp</vt:lpstr>
      <vt:lpstr>capEmp8BusAGeneralTrainingHrs</vt:lpstr>
      <vt:lpstr>capEmp8BusAInitHrsAlloc</vt:lpstr>
      <vt:lpstr>capEmp8BusAInitHrsExp</vt:lpstr>
      <vt:lpstr>capEmp8BusANonBillAlloc</vt:lpstr>
      <vt:lpstr>capEmp8BusANonBillExp</vt:lpstr>
      <vt:lpstr>capEmp8BusARecDismExp</vt:lpstr>
      <vt:lpstr>capEmp8BusAV1Alloc</vt:lpstr>
      <vt:lpstr>capEmp8BusAV1AllocSalesV1</vt:lpstr>
      <vt:lpstr>capEmp8BusAV1AllocSalesV2</vt:lpstr>
      <vt:lpstr>capEmp8BusAV1AllocSalesV3</vt:lpstr>
      <vt:lpstr>capEmp8BusAV1Exp</vt:lpstr>
      <vt:lpstr>capEmp8BusAV1SalesExp</vt:lpstr>
      <vt:lpstr>capEmp8BusAV2Alloc</vt:lpstr>
      <vt:lpstr>capEmp8BusAV2Exp</vt:lpstr>
      <vt:lpstr>capEmp8BusAV2SalesExp</vt:lpstr>
      <vt:lpstr>capEmp8BusAV3Alloc</vt:lpstr>
      <vt:lpstr>capEmp8BusAV3Exp</vt:lpstr>
      <vt:lpstr>capEmp8BusAV3SalesExp</vt:lpstr>
      <vt:lpstr>capEmp8Exp</vt:lpstr>
      <vt:lpstr>capEmp8GeneralTrainingHrsAvailNextYr</vt:lpstr>
      <vt:lpstr>capEmp8RecDismExp</vt:lpstr>
      <vt:lpstr>capEmp8Req</vt:lpstr>
      <vt:lpstr>capEmp8Utiliz</vt:lpstr>
      <vt:lpstr>capEmp9AdminExp</vt:lpstr>
      <vt:lpstr>capEmp9Att</vt:lpstr>
      <vt:lpstr>capEmp9BusAAdminExp</vt:lpstr>
      <vt:lpstr>capEmp9BusACompDevAlloc</vt:lpstr>
      <vt:lpstr>capEmp9BusACompDevExp</vt:lpstr>
      <vt:lpstr>capEmp9BusAGeneralTrainingAlloc</vt:lpstr>
      <vt:lpstr>capEmp9BusAGeneralTrainingExp</vt:lpstr>
      <vt:lpstr>capEmp9BusAInitHrsAlloc</vt:lpstr>
      <vt:lpstr>capEmp9BusAInitHrsExp</vt:lpstr>
      <vt:lpstr>capEmp9BusANonBillAlloc</vt:lpstr>
      <vt:lpstr>capEmp9BusANonBillExp</vt:lpstr>
      <vt:lpstr>capEmp9BusARecDismExp</vt:lpstr>
      <vt:lpstr>capEmp9BusAV1Alloc</vt:lpstr>
      <vt:lpstr>capEmp9BusAV1AllocSalesV1</vt:lpstr>
      <vt:lpstr>capEmp9BusAV1AllocSalesV2</vt:lpstr>
      <vt:lpstr>capEmp9BusAV1AllocSalesV3</vt:lpstr>
      <vt:lpstr>capEmp9BusAV1Exp</vt:lpstr>
      <vt:lpstr>capEmp9BusAV1SalesExp</vt:lpstr>
      <vt:lpstr>capEmp9BusAV2Alloc</vt:lpstr>
      <vt:lpstr>capEmp9BusAV2Exp</vt:lpstr>
      <vt:lpstr>capEmp9BusAV2SalesExp</vt:lpstr>
      <vt:lpstr>capEmp9BusAV3Alloc</vt:lpstr>
      <vt:lpstr>capEmp9BusAV3Exp</vt:lpstr>
      <vt:lpstr>capEmp9BusAV3SalesExp</vt:lpstr>
      <vt:lpstr>capEmp9Exp</vt:lpstr>
      <vt:lpstr>capEmp9GeneralTrainingHrsAvailNextYr</vt:lpstr>
      <vt:lpstr>capEmp9RecDismExp</vt:lpstr>
      <vt:lpstr>capEmp9Req</vt:lpstr>
      <vt:lpstr>capEmp9Utiliz</vt:lpstr>
      <vt:lpstr>capESATEnd</vt:lpstr>
      <vt:lpstr>capProd1Adv</vt:lpstr>
      <vt:lpstr>capProd1V1HrsForecast</vt:lpstr>
      <vt:lpstr>capProd1V2HrsForecast</vt:lpstr>
      <vt:lpstr>capProd1V3HrsForecast</vt:lpstr>
      <vt:lpstr>capRandomVariable1</vt:lpstr>
      <vt:lpstr>capRandomVariable2</vt:lpstr>
      <vt:lpstr>capRandomVariable3</vt:lpstr>
      <vt:lpstr>capSITTestPctResult1</vt:lpstr>
      <vt:lpstr>capSITTestPctResult2</vt:lpstr>
      <vt:lpstr>capSITTestPctResult3</vt:lpstr>
      <vt:lpstr>capSITTestResult1</vt:lpstr>
      <vt:lpstr>capSITTestResult2</vt:lpstr>
      <vt:lpstr>capSWFTestPctResult1</vt:lpstr>
      <vt:lpstr>capSWFTestPctResult2</vt:lpstr>
      <vt:lpstr>capSWFTestPctResult3</vt:lpstr>
      <vt:lpstr>capSWFTestResult1</vt:lpstr>
      <vt:lpstr>capSWFTestResult2</vt:lpstr>
      <vt:lpstr>capTLPrac1</vt:lpstr>
      <vt:lpstr>capTLPrac2</vt:lpstr>
      <vt:lpstr>capTLPrac3</vt:lpstr>
      <vt:lpstr>capTotalAttrition</vt:lpstr>
      <vt:lpstr>capTotalForecastRev</vt:lpstr>
      <vt:lpstr>capTotalGeneralTrainingHrs</vt:lpstr>
      <vt:lpstr>capTotalRetention</vt:lpstr>
      <vt:lpstr>capTotalTrainingBudForecast</vt:lpstr>
      <vt:lpstr>capWobblerErrorCheck</vt:lpstr>
      <vt:lpstr>capY1V1H1COS</vt:lpstr>
      <vt:lpstr>capY1V1H1COSRealized</vt:lpstr>
      <vt:lpstr>capY1V1H2COS</vt:lpstr>
      <vt:lpstr>capY1V1H2COSRealized</vt:lpstr>
      <vt:lpstr>capY1V1H3COS</vt:lpstr>
      <vt:lpstr>capY1V1H3COSRealized</vt:lpstr>
      <vt:lpstr>capY1V2H1COS</vt:lpstr>
      <vt:lpstr>capY1V2H1COSRealized</vt:lpstr>
      <vt:lpstr>capY1V2H2COS</vt:lpstr>
      <vt:lpstr>capY1V2H2COSRealized</vt:lpstr>
      <vt:lpstr>capY1V2H3COS</vt:lpstr>
      <vt:lpstr>capY1V2H3COSRealized</vt:lpstr>
      <vt:lpstr>capY1V3H1COS</vt:lpstr>
      <vt:lpstr>capY1V3H1COSRealized</vt:lpstr>
      <vt:lpstr>capY1V3H2COS</vt:lpstr>
      <vt:lpstr>capY1V3H2COSRealized</vt:lpstr>
      <vt:lpstr>capY1V3H3COS</vt:lpstr>
      <vt:lpstr>capY1V3H3COSRealized</vt:lpstr>
      <vt:lpstr>capY2V1H1COS</vt:lpstr>
      <vt:lpstr>capY2V1H1COSRealized</vt:lpstr>
      <vt:lpstr>capY2V1H2COS</vt:lpstr>
      <vt:lpstr>capY2V1H2COSRealized</vt:lpstr>
      <vt:lpstr>capY2V1H3COS</vt:lpstr>
      <vt:lpstr>capY2V1H3COSRealized</vt:lpstr>
      <vt:lpstr>capY2V2H1COS</vt:lpstr>
      <vt:lpstr>capY2V2H1COSRealized</vt:lpstr>
      <vt:lpstr>capY2V2H2COS</vt:lpstr>
      <vt:lpstr>capY2V2H2COSRealized</vt:lpstr>
      <vt:lpstr>capY2V2H3COS</vt:lpstr>
      <vt:lpstr>capY2V2H3COSRealized</vt:lpstr>
      <vt:lpstr>capY2V3H1COS</vt:lpstr>
      <vt:lpstr>capY2V3H1COSRealized</vt:lpstr>
      <vt:lpstr>capY2V3H2COS</vt:lpstr>
      <vt:lpstr>capY2V3H2COSRealized</vt:lpstr>
      <vt:lpstr>capY2V3H3COS</vt:lpstr>
      <vt:lpstr>capY2V3H3COSRealized</vt:lpstr>
      <vt:lpstr>capY3V1H1COS</vt:lpstr>
      <vt:lpstr>capY3V1H1COSRealized</vt:lpstr>
      <vt:lpstr>capY3V1H2COS</vt:lpstr>
      <vt:lpstr>capY3V1H2COSRealized</vt:lpstr>
      <vt:lpstr>capY3V1H3COS</vt:lpstr>
      <vt:lpstr>capY3V1H3COSRealized</vt:lpstr>
      <vt:lpstr>capY3V2H1COS</vt:lpstr>
      <vt:lpstr>capY3V2H1COSRealized</vt:lpstr>
      <vt:lpstr>capY3V2H2COS</vt:lpstr>
      <vt:lpstr>capY3V2H2COSRealized</vt:lpstr>
      <vt:lpstr>capY3V2H3COS</vt:lpstr>
      <vt:lpstr>capY3V2H3COSRealized</vt:lpstr>
      <vt:lpstr>capY3V3H1COS</vt:lpstr>
      <vt:lpstr>capY3V3H1COSRealized</vt:lpstr>
      <vt:lpstr>capY3V3H2COS</vt:lpstr>
      <vt:lpstr>capY3V3H2COSRealized</vt:lpstr>
      <vt:lpstr>capY3V3H3COS</vt:lpstr>
      <vt:lpstr>capY3V3H3COSRealized</vt:lpstr>
      <vt:lpstr>cbalAPValue</vt:lpstr>
      <vt:lpstr>cbalARValue</vt:lpstr>
      <vt:lpstr>cbalAssetsValue</vt:lpstr>
      <vt:lpstr>cbalAvgTrainingBudgetDelta</vt:lpstr>
      <vt:lpstr>cbalBookings</vt:lpstr>
      <vt:lpstr>cbalBusABusDevNonPayroll</vt:lpstr>
      <vt:lpstr>cbalBusACompDev</vt:lpstr>
      <vt:lpstr>cbalBusACompDevCurrYrTotal</vt:lpstr>
      <vt:lpstr>cbalBusACompDevV1</vt:lpstr>
      <vt:lpstr>cbalBusACompDevV2</vt:lpstr>
      <vt:lpstr>cbalBusACompDevV3</vt:lpstr>
      <vt:lpstr>cbalBusAEmp1</vt:lpstr>
      <vt:lpstr>cbalBusAEmp1IndAvgUtiliz</vt:lpstr>
      <vt:lpstr>cbalBusAEmp1Recruited</vt:lpstr>
      <vt:lpstr>cbalBusAEmp1Utiliz</vt:lpstr>
      <vt:lpstr>cbalBusAEmp2</vt:lpstr>
      <vt:lpstr>cbalBusAEmp2IndAvgUtiliz</vt:lpstr>
      <vt:lpstr>cbalBusAEmp2Recruited</vt:lpstr>
      <vt:lpstr>cbalBusAEmp2Utiliz</vt:lpstr>
      <vt:lpstr>cbalBusAEmp2UtilizY1</vt:lpstr>
      <vt:lpstr>cbalBusAEmp2UtilizY2</vt:lpstr>
      <vt:lpstr>cbalBusAEmp3</vt:lpstr>
      <vt:lpstr>cbalBusAEmp3IndAvgUtiliz</vt:lpstr>
      <vt:lpstr>cbalBusAEmp3Recruited</vt:lpstr>
      <vt:lpstr>cbalBusAEmp3Utiliz</vt:lpstr>
      <vt:lpstr>cbalBusAEmp3UtilizY1</vt:lpstr>
      <vt:lpstr>cbalBusAEmp3UtilizY2</vt:lpstr>
      <vt:lpstr>cbalBusAEmp4</vt:lpstr>
      <vt:lpstr>cbalBusAEmp4IndAvgUtiliz</vt:lpstr>
      <vt:lpstr>cbalBusAEmp4Recruited</vt:lpstr>
      <vt:lpstr>cbalBusAEmp4Utiliz</vt:lpstr>
      <vt:lpstr>cbalBusAEmp4UtilizY1</vt:lpstr>
      <vt:lpstr>cbalBusAEmp4UtilizY2</vt:lpstr>
      <vt:lpstr>cbalBusAEmp7</vt:lpstr>
      <vt:lpstr>cbalBusAEmp7Recruited</vt:lpstr>
      <vt:lpstr>cbalBusAEmp7Utiliz</vt:lpstr>
      <vt:lpstr>cbalBusAEmp8</vt:lpstr>
      <vt:lpstr>cbalBusAEmp8Recruited</vt:lpstr>
      <vt:lpstr>cbalBusAEmp8Utiliz</vt:lpstr>
      <vt:lpstr>cbalBusAEmp9</vt:lpstr>
      <vt:lpstr>cbalBusAEmp9Recruited</vt:lpstr>
      <vt:lpstr>cbalBusAEmp9Utiliz</vt:lpstr>
      <vt:lpstr>cbalBusAEmp9UtilizY1</vt:lpstr>
      <vt:lpstr>cbalBusAEmp9UtilizY2</vt:lpstr>
      <vt:lpstr>cbalBusALocalPerCostReduce</vt:lpstr>
      <vt:lpstr>cbalBusAOverallConsUtil</vt:lpstr>
      <vt:lpstr>cbalBusAOverallSolnWFUtil</vt:lpstr>
      <vt:lpstr>cbalBusARevenue</vt:lpstr>
      <vt:lpstr>cbalBusATLV1</vt:lpstr>
      <vt:lpstr>cbalBusATLV2</vt:lpstr>
      <vt:lpstr>cbalBusATLV3</vt:lpstr>
      <vt:lpstr>cbalBusATotalCurrentRev</vt:lpstr>
      <vt:lpstr>cbalBusAV1ControllableIncome</vt:lpstr>
      <vt:lpstr>cbalBusAV1HrsSold</vt:lpstr>
      <vt:lpstr>cbalBusAV1MktShr</vt:lpstr>
      <vt:lpstr>cbalBusAV1PricePerHr</vt:lpstr>
      <vt:lpstr>cbalBusAV1Y1Rev</vt:lpstr>
      <vt:lpstr>cbalBusAV1Y2Rev</vt:lpstr>
      <vt:lpstr>cbalBusAV1Y3Rev</vt:lpstr>
      <vt:lpstr>cbalBusAV2ControllableIncome</vt:lpstr>
      <vt:lpstr>cbalBusAV2HrsSold</vt:lpstr>
      <vt:lpstr>cbalBusAV2MktShr</vt:lpstr>
      <vt:lpstr>cbalBusAV2PricePerHr</vt:lpstr>
      <vt:lpstr>cbalBusAV2Y1Rev</vt:lpstr>
      <vt:lpstr>cbalBusAV2Y2Rev</vt:lpstr>
      <vt:lpstr>cbalBusAV2Y3Rev</vt:lpstr>
      <vt:lpstr>cbalBusAV3ControllableIncome</vt:lpstr>
      <vt:lpstr>cbalBusAV3HrsSold</vt:lpstr>
      <vt:lpstr>cbalBusAV3MktShr</vt:lpstr>
      <vt:lpstr>cbalBusAV3PricePerHr</vt:lpstr>
      <vt:lpstr>cbalBusAV3Y1Rev</vt:lpstr>
      <vt:lpstr>cbalBusAV3Y2Rev</vt:lpstr>
      <vt:lpstr>cbalBusAV3Y3Rev</vt:lpstr>
      <vt:lpstr>cbalBusBBusDevNonPayroll</vt:lpstr>
      <vt:lpstr>cbalBusBCompDev</vt:lpstr>
      <vt:lpstr>cbalBusBCompDevCurrYrTotal</vt:lpstr>
      <vt:lpstr>cbalBusBEmp1</vt:lpstr>
      <vt:lpstr>cbalBusBEmp1IndAvgUtiliz</vt:lpstr>
      <vt:lpstr>cbalBusBEmp1Recruited</vt:lpstr>
      <vt:lpstr>cbalBusBEmp1Utiliz</vt:lpstr>
      <vt:lpstr>cbalBusBEmp2</vt:lpstr>
      <vt:lpstr>cbalBusBEmp2IndAvgUtiliz</vt:lpstr>
      <vt:lpstr>cbalBusBEmp2Recruited</vt:lpstr>
      <vt:lpstr>cbalBusBEmp2Utiliz</vt:lpstr>
      <vt:lpstr>cbalBusBEmp3</vt:lpstr>
      <vt:lpstr>cbalBusBEmp3IndAvgUtiliz</vt:lpstr>
      <vt:lpstr>cbalBusBEmp3Recruited</vt:lpstr>
      <vt:lpstr>cbalBusBEmp3Utiliz</vt:lpstr>
      <vt:lpstr>cbalBusBEmp4</vt:lpstr>
      <vt:lpstr>cbalBusBEmp4IndAvgUtiliz</vt:lpstr>
      <vt:lpstr>cbalBusBEmp4Recruited</vt:lpstr>
      <vt:lpstr>cbalBusBEmp4Utiliz</vt:lpstr>
      <vt:lpstr>cbalBusBGenOpsPctCostReduce</vt:lpstr>
      <vt:lpstr>cbalBusBOverallConsUtil</vt:lpstr>
      <vt:lpstr>cbalBusBOverallSolnWFUtil</vt:lpstr>
      <vt:lpstr>cbalBusBRevenue</vt:lpstr>
      <vt:lpstr>cbalBusBV1ControllableIncome</vt:lpstr>
      <vt:lpstr>cbalBusBV2ControllableIncome</vt:lpstr>
      <vt:lpstr>cbalBusBV3ControllableIncome</vt:lpstr>
      <vt:lpstr>cbalCashValue</vt:lpstr>
      <vt:lpstr>cbalConsultingCCIPctRevY1</vt:lpstr>
      <vt:lpstr>cbalConsultingCCIPctRevY2</vt:lpstr>
      <vt:lpstr>cbalConsultingCCIPctRevY3</vt:lpstr>
      <vt:lpstr>cbalConsultingCCIPctRevY4</vt:lpstr>
      <vt:lpstr>cbalConsultingConsultantUtilY1</vt:lpstr>
      <vt:lpstr>cbalConsultingConsultantUtilY2</vt:lpstr>
      <vt:lpstr>cbalConsultingConsultantUtilY3</vt:lpstr>
      <vt:lpstr>cbalConsultingConsultantUtilY4</vt:lpstr>
      <vt:lpstr>cbalConsultingRevenueY1</vt:lpstr>
      <vt:lpstr>cbalConsultingRevenueY2</vt:lpstr>
      <vt:lpstr>cbalConsultingRevenueY3</vt:lpstr>
      <vt:lpstr>cbalConsultingRevenueY4</vt:lpstr>
      <vt:lpstr>cbalConsultingRevPctofTotalRevY1</vt:lpstr>
      <vt:lpstr>cbalConsultingRevPctofTotalRevY2</vt:lpstr>
      <vt:lpstr>cbalConsultingRevPctofTotalRevY3</vt:lpstr>
      <vt:lpstr>cbalConsultingRevPctofTotalRevY4</vt:lpstr>
      <vt:lpstr>cbalConsultingSalesGrowthY1</vt:lpstr>
      <vt:lpstr>cbalConsultingSalesGrowthY2</vt:lpstr>
      <vt:lpstr>cbalConsultingSalesGrowthY3</vt:lpstr>
      <vt:lpstr>cbalConsultingSalesGrowthY4</vt:lpstr>
      <vt:lpstr>cbalConsultingSolnWFUtilY1</vt:lpstr>
      <vt:lpstr>cbalConsultingSolnWFUtilY2</vt:lpstr>
      <vt:lpstr>cbalConsultingSolnWFUtilY3</vt:lpstr>
      <vt:lpstr>cbalConsultingSolnWFUtilY4</vt:lpstr>
      <vt:lpstr>cbalCSAT</vt:lpstr>
      <vt:lpstr>cbalCSATY1</vt:lpstr>
      <vt:lpstr>cbalCSATY2</vt:lpstr>
      <vt:lpstr>cbalCStockPricePShare</vt:lpstr>
      <vt:lpstr>cbalCStockShares</vt:lpstr>
      <vt:lpstr>cbalCStockValue</vt:lpstr>
      <vt:lpstr>cbalCumBalCardPoints</vt:lpstr>
      <vt:lpstr>cbalDBYr0Bookings</vt:lpstr>
      <vt:lpstr>cbalDBYr0BookingsCAGR</vt:lpstr>
      <vt:lpstr>cbalDBYr0BusAEmp1Utiliz</vt:lpstr>
      <vt:lpstr>cbalDBYr0BusAEmp2Utiliz</vt:lpstr>
      <vt:lpstr>cbalDBYr0BusAEmp3Utiliz</vt:lpstr>
      <vt:lpstr>cbalDBYr0BusAEmp4Utiliz</vt:lpstr>
      <vt:lpstr>cbalDBYr0BusAEmp7Utiliz</vt:lpstr>
      <vt:lpstr>cbalDBYr0BusAEmp8Utiliz</vt:lpstr>
      <vt:lpstr>cbalDBYr0BusAEmp9Utiliz</vt:lpstr>
      <vt:lpstr>cbalDBYr0BusATotalQualityCost</vt:lpstr>
      <vt:lpstr>cbalDBYr0BusBEmp1Utiliz</vt:lpstr>
      <vt:lpstr>cbalDBYr0BusBEmp2Utiliz</vt:lpstr>
      <vt:lpstr>cbalDBYr0BusBEmp3Utiliz</vt:lpstr>
      <vt:lpstr>cbalDBYr0BusBEmp4Utiliz</vt:lpstr>
      <vt:lpstr>cbalDBYr0BusBTotalForecastRev</vt:lpstr>
      <vt:lpstr>cbalDBYr0BusBTotalQualityCost</vt:lpstr>
      <vt:lpstr>cbalDBYr0CSATEnd</vt:lpstr>
      <vt:lpstr>cbalDBYr0Emp6Utiliz</vt:lpstr>
      <vt:lpstr>cbalDBYr0ESATEnd</vt:lpstr>
      <vt:lpstr>cbalDBYr0GaugeBusAEmp2Utiliz</vt:lpstr>
      <vt:lpstr>cbalDBYr0GaugeBusAEmp3Utiliz</vt:lpstr>
      <vt:lpstr>cbalDBYr0GaugeBusAEmp4Utiliz</vt:lpstr>
      <vt:lpstr>cbalDBYr0GaugeBusAEmp9Utiliz</vt:lpstr>
      <vt:lpstr>cbalDBYr0GaugeEmp6Utiliz</vt:lpstr>
      <vt:lpstr>cbalDBYr0GM</vt:lpstr>
      <vt:lpstr>cbalDBYr0OM</vt:lpstr>
      <vt:lpstr>cbalDBYr0TotalRev</vt:lpstr>
      <vt:lpstr>cbalDBYr0TotalTrainingBudForecast</vt:lpstr>
      <vt:lpstr>cbalDBYr1Bookings</vt:lpstr>
      <vt:lpstr>cbalDBYr1BookingsCAGR</vt:lpstr>
      <vt:lpstr>cbalDBYr1BusAEmp1Utiliz</vt:lpstr>
      <vt:lpstr>cbalDBYr1BusAEmp2Utiliz</vt:lpstr>
      <vt:lpstr>cbalDBYr1BusAEmp3Utiliz</vt:lpstr>
      <vt:lpstr>cbalDBYr1BusAEmp4Utiliz</vt:lpstr>
      <vt:lpstr>cbalDBYr1BusAEmp7Utiliz</vt:lpstr>
      <vt:lpstr>cbalDBYr1BusAEmp8Utiliz</vt:lpstr>
      <vt:lpstr>cbalDBYr1BusAEmp9Utiliz</vt:lpstr>
      <vt:lpstr>cbalDBYr1BusATotalQualityCost</vt:lpstr>
      <vt:lpstr>cbalDBYr1BusBEmp1Utiliz</vt:lpstr>
      <vt:lpstr>cbalDBYr1BusBEmp2Utiliz</vt:lpstr>
      <vt:lpstr>cbalDBYr1BusBEmp3Utiliz</vt:lpstr>
      <vt:lpstr>cbalDBYr1BusBEmp4Utiliz</vt:lpstr>
      <vt:lpstr>cbalDBYr1BusBTotalForecastRev</vt:lpstr>
      <vt:lpstr>cbalDBYr1BusBTotalQualityCost</vt:lpstr>
      <vt:lpstr>cbalDBYr1CSATEnd</vt:lpstr>
      <vt:lpstr>cbalDBYr1Emp6Utiliz</vt:lpstr>
      <vt:lpstr>cbalDBYr1ESATEnd</vt:lpstr>
      <vt:lpstr>cbalDBYr1GaugeBusAEmp2Utiliz</vt:lpstr>
      <vt:lpstr>cbalDBYr1GaugeBusAEmp3Utiliz</vt:lpstr>
      <vt:lpstr>cbalDBYr1GaugeBusAEmp4Utiliz</vt:lpstr>
      <vt:lpstr>cbalDBYr1GaugeBusAEmp9Utiliz</vt:lpstr>
      <vt:lpstr>cbalDBYr1GaugeEmp6Utiliz</vt:lpstr>
      <vt:lpstr>cbalDBYr1GM</vt:lpstr>
      <vt:lpstr>cbalDBYr1OM</vt:lpstr>
      <vt:lpstr>cbalDBYr1TotalRev</vt:lpstr>
      <vt:lpstr>cbalDBYr1TotalTrainingBudForecast</vt:lpstr>
      <vt:lpstr>cbalDBYr2Bookings</vt:lpstr>
      <vt:lpstr>cbalDBYr2BookingsCAGR</vt:lpstr>
      <vt:lpstr>cbalDBYr2BusAEmp1Utiliz</vt:lpstr>
      <vt:lpstr>cbalDBYr2BusAEmp2Utiliz</vt:lpstr>
      <vt:lpstr>cbalDBYr2BusAEmp3Utiliz</vt:lpstr>
      <vt:lpstr>cbalDBYr2BusAEmp4Utiliz</vt:lpstr>
      <vt:lpstr>cbalDBYr2BusAEmp7Utiliz</vt:lpstr>
      <vt:lpstr>cbalDBYr2BusAEmp8Utiliz</vt:lpstr>
      <vt:lpstr>cbalDBYr2BusAEmp9Utiliz</vt:lpstr>
      <vt:lpstr>cbalDBYr2BusATotalQualityCost</vt:lpstr>
      <vt:lpstr>cbalDBYr2BusBEmp1Utiliz</vt:lpstr>
      <vt:lpstr>cbalDBYr2BusBEmp2Utiliz</vt:lpstr>
      <vt:lpstr>cbalDBYr2BusBEmp3Utiliz</vt:lpstr>
      <vt:lpstr>cbalDBYr2BusBEmp4Utiliz</vt:lpstr>
      <vt:lpstr>cbalDBYr2BusBTotalForecastRev</vt:lpstr>
      <vt:lpstr>cbalDBYr2BusBTotalQualityCost</vt:lpstr>
      <vt:lpstr>cbalDBYr2CSATEnd</vt:lpstr>
      <vt:lpstr>cbalDBYr2Emp6Utiliz</vt:lpstr>
      <vt:lpstr>cbalDBYr2ESATEnd</vt:lpstr>
      <vt:lpstr>cbalDBYr2GaugeBusAEmp2Utiliz</vt:lpstr>
      <vt:lpstr>cbalDBYr2GaugeBusAEmp3Utiliz</vt:lpstr>
      <vt:lpstr>cbalDBYr2GaugeBusAEmp4Utiliz</vt:lpstr>
      <vt:lpstr>cbalDBYr2GaugeBusAEmp9Utiliz</vt:lpstr>
      <vt:lpstr>cbalDBYr2GaugeEmp6Utiliz</vt:lpstr>
      <vt:lpstr>cbalDBYr2GM</vt:lpstr>
      <vt:lpstr>cbalDBYr2OM</vt:lpstr>
      <vt:lpstr>cbalDBYr2TotalRev</vt:lpstr>
      <vt:lpstr>cbalDBYr2TotalTrainingBudForecast</vt:lpstr>
      <vt:lpstr>cbalEmp1</vt:lpstr>
      <vt:lpstr>cbalEmp1CumTrainingHrs</vt:lpstr>
      <vt:lpstr>cbalEmp1GeneralTrainingBudget</vt:lpstr>
      <vt:lpstr>cbalEmp1GeneralTrainingHrsAvail</vt:lpstr>
      <vt:lpstr>cbalEmp1GeneralTrainingHrsCompleted</vt:lpstr>
      <vt:lpstr>cbalEmp1Salary</vt:lpstr>
      <vt:lpstr>cbalEmp1TrainingBudgetDelta</vt:lpstr>
      <vt:lpstr>cbalEmp2</vt:lpstr>
      <vt:lpstr>cbalEmp2CumTrainingHrs</vt:lpstr>
      <vt:lpstr>cbalEmp2GeneralTrainingBudget</vt:lpstr>
      <vt:lpstr>cbalEmp2GeneralTrainingHrsAvail</vt:lpstr>
      <vt:lpstr>cbalEmp2GeneralTrainingHrsCompleted</vt:lpstr>
      <vt:lpstr>cbalEmp2Salary</vt:lpstr>
      <vt:lpstr>cbalEmp2TrainingBudgetDelta</vt:lpstr>
      <vt:lpstr>cbalEmp3</vt:lpstr>
      <vt:lpstr>cbalEmp3CumTrainingHrs</vt:lpstr>
      <vt:lpstr>cbalEmp3GeneralTrainingBudget</vt:lpstr>
      <vt:lpstr>cbalEmp3GeneralTrainingHrsAvail</vt:lpstr>
      <vt:lpstr>cbalEmp3GeneralTrainingHrsCompleted</vt:lpstr>
      <vt:lpstr>cbalEmp3Salary</vt:lpstr>
      <vt:lpstr>cbalEmp3TrainingBudgetDelta</vt:lpstr>
      <vt:lpstr>cbalEmp4</vt:lpstr>
      <vt:lpstr>cbalEmp4CumTrainingHrs</vt:lpstr>
      <vt:lpstr>cbalEmp4GeneralTrainingBudget</vt:lpstr>
      <vt:lpstr>cbalEmp4GeneralTrainingHrsAvail</vt:lpstr>
      <vt:lpstr>cbalEmp4GeneralTrainingHrsCompleted</vt:lpstr>
      <vt:lpstr>cbalEmp4Salary</vt:lpstr>
      <vt:lpstr>cbalEmp4TrainingBudgetDelta</vt:lpstr>
      <vt:lpstr>cbalEmp6</vt:lpstr>
      <vt:lpstr>cbalEmp6CumTrainingHrs</vt:lpstr>
      <vt:lpstr>cbalEmp6GeneralTrainingBudget</vt:lpstr>
      <vt:lpstr>cbalEmp6GeneralTrainingHrsAvail</vt:lpstr>
      <vt:lpstr>cbalEmp6GeneralTrainingHrsCompleted</vt:lpstr>
      <vt:lpstr>cbalEmp6IndAvgUtiliz</vt:lpstr>
      <vt:lpstr>cbalEmp6Recruited</vt:lpstr>
      <vt:lpstr>cbalEmp6TrainingBudgetDelta</vt:lpstr>
      <vt:lpstr>cbalEmp6Utiliz</vt:lpstr>
      <vt:lpstr>cbalEmp7Recruited</vt:lpstr>
      <vt:lpstr>cbalEmp8Recruited</vt:lpstr>
      <vt:lpstr>cbalEmp9Recruited</vt:lpstr>
      <vt:lpstr>cbalEmpEngagementY1</vt:lpstr>
      <vt:lpstr>cbalEmpEngagementY2</vt:lpstr>
      <vt:lpstr>cbalEmpEngagementY3</vt:lpstr>
      <vt:lpstr>cbalEmpEngagementY4</vt:lpstr>
      <vt:lpstr>cbalEnterpriseWFUtilizationY1</vt:lpstr>
      <vt:lpstr>cbalEnterpriseWFUtilizationY2</vt:lpstr>
      <vt:lpstr>cbalEnterpriseWFUtilizationY3</vt:lpstr>
      <vt:lpstr>cbalEnterpriseWFUtilizationY4</vt:lpstr>
      <vt:lpstr>cbalESAT</vt:lpstr>
      <vt:lpstr>cbalGeneralTrainingHrsPullOut</vt:lpstr>
      <vt:lpstr>cbalH1Competency</vt:lpstr>
      <vt:lpstr>cbalH2Competency</vt:lpstr>
      <vt:lpstr>cbalH3Competency</vt:lpstr>
      <vt:lpstr>cbalIndustryAvgCIMargin</vt:lpstr>
      <vt:lpstr>cbalIndustryEminence</vt:lpstr>
      <vt:lpstr>cbalInternalAssets</vt:lpstr>
      <vt:lpstr>cbalLTDebtValue</vt:lpstr>
      <vt:lpstr>cbalNetEarnValue</vt:lpstr>
      <vt:lpstr>cbalNetLocalSavingsY1</vt:lpstr>
      <vt:lpstr>cbalNetLocalSavingsY2</vt:lpstr>
      <vt:lpstr>cbalNetLocalSavingsY3</vt:lpstr>
      <vt:lpstr>cbalNetLocalSavingsY4</vt:lpstr>
      <vt:lpstr>cbalOtherAsstesValue</vt:lpstr>
      <vt:lpstr>cbalOtherCurrLiabValue</vt:lpstr>
      <vt:lpstr>cbalOtherLTLiab</vt:lpstr>
      <vt:lpstr>cbalOutsourcingCCIPctofRevenueY1</vt:lpstr>
      <vt:lpstr>cbalOutsourcingCCIPctofRevenueY2</vt:lpstr>
      <vt:lpstr>cbalOutsourcingCCIPctofRevenueY3</vt:lpstr>
      <vt:lpstr>cbalOutsourcingCCIPctofRevenueY4</vt:lpstr>
      <vt:lpstr>cbalOutsourcingProductivityGainY1</vt:lpstr>
      <vt:lpstr>cbalOutsourcingProductivityGainY2</vt:lpstr>
      <vt:lpstr>cbalOutsourcingProductivityGainY3</vt:lpstr>
      <vt:lpstr>cbalOutsourcingProductivityGainY4</vt:lpstr>
      <vt:lpstr>cbalOutsourcingRevPctofTotalRevenueY1</vt:lpstr>
      <vt:lpstr>cbalOutsourcingRevPctofTotalRevenueY2</vt:lpstr>
      <vt:lpstr>cbalOutsourcingRevPctofTotalRevenueY3</vt:lpstr>
      <vt:lpstr>cbalOutsourcingRevPctofTotalRevenueY4</vt:lpstr>
      <vt:lpstr>cbalOutsourcingRevY1</vt:lpstr>
      <vt:lpstr>cbalOutsourcingRevY2</vt:lpstr>
      <vt:lpstr>cbalOutsourcingRevY3</vt:lpstr>
      <vt:lpstr>cbalOutsourcingRevY4</vt:lpstr>
      <vt:lpstr>cbalOutsourcingSalesGrowthY1</vt:lpstr>
      <vt:lpstr>cbalOutsourcingSalesGrowthY2</vt:lpstr>
      <vt:lpstr>cbalOutsourcingSalesGrowthY3</vt:lpstr>
      <vt:lpstr>cbalOutsourcingSalesGrowthY4</vt:lpstr>
      <vt:lpstr>cbalPlant1Value</vt:lpstr>
      <vt:lpstr>cbalPlantValue</vt:lpstr>
      <vt:lpstr>cbalPrac1Bookings</vt:lpstr>
      <vt:lpstr>cbalPrac1RevY1</vt:lpstr>
      <vt:lpstr>cbalPrac1RevY2</vt:lpstr>
      <vt:lpstr>cbalPrac2Bookings</vt:lpstr>
      <vt:lpstr>cbalPrac2RevY1</vt:lpstr>
      <vt:lpstr>cbalPrac2RevY2</vt:lpstr>
      <vt:lpstr>cbalPrac3Bookings</vt:lpstr>
      <vt:lpstr>cbalPrac3RevY1</vt:lpstr>
      <vt:lpstr>cbalPrac3RevY2</vt:lpstr>
      <vt:lpstr>cbalRetEarnValue</vt:lpstr>
      <vt:lpstr>cbalSpecLoansValue</vt:lpstr>
      <vt:lpstr>cbalTeamNumber</vt:lpstr>
      <vt:lpstr>cbalTotalAttritionY1</vt:lpstr>
      <vt:lpstr>cbalTotalAttritionY2</vt:lpstr>
      <vt:lpstr>cbalTotalAttritionY3</vt:lpstr>
      <vt:lpstr>cbalTotalAttritionY4</vt:lpstr>
      <vt:lpstr>cbalTotalCI</vt:lpstr>
      <vt:lpstr>cbalTotalCIMargin</vt:lpstr>
      <vt:lpstr>cbalTotalCIPctRevY1</vt:lpstr>
      <vt:lpstr>cbalTotalCIPctRevY2</vt:lpstr>
      <vt:lpstr>cbalTotalCIPctRevY3</vt:lpstr>
      <vt:lpstr>cbalTotalCIPctRevY4</vt:lpstr>
      <vt:lpstr>cbalTotalControllableIncome</vt:lpstr>
      <vt:lpstr>cbalTotalEmpDismissal</vt:lpstr>
      <vt:lpstr>cbalTotalEmpRecruited</vt:lpstr>
      <vt:lpstr>cbalTotalGeneralTrainingHrsAvail</vt:lpstr>
      <vt:lpstr>cbalTotalGeneralTrainingHrsCompleted</vt:lpstr>
      <vt:lpstr>cbalTotalHeadCount</vt:lpstr>
      <vt:lpstr>cbalTotalInYearScoreY1</vt:lpstr>
      <vt:lpstr>cbalTotalInYearScoreY2</vt:lpstr>
      <vt:lpstr>cbalTotalInYearScoreY3</vt:lpstr>
      <vt:lpstr>cbalTotalInYearScoreY4</vt:lpstr>
      <vt:lpstr>cbalTotalRealizedRev</vt:lpstr>
      <vt:lpstr>cbalTotalRevenue</vt:lpstr>
      <vt:lpstr>cbalTotalRevY1</vt:lpstr>
      <vt:lpstr>cbalTotalRevY2</vt:lpstr>
      <vt:lpstr>cbalTotalRevY3</vt:lpstr>
      <vt:lpstr>cbalTotalRevY4</vt:lpstr>
      <vt:lpstr>cbalTotalSales</vt:lpstr>
      <vt:lpstr>cbalTotalSalesGrowthY1</vt:lpstr>
      <vt:lpstr>cbalTotalSalesGrowthY2</vt:lpstr>
      <vt:lpstr>cbalTotalSalesGrowthY3</vt:lpstr>
      <vt:lpstr>cbalTotalSalesGrowthY4</vt:lpstr>
      <vt:lpstr>cbalV1Competency</vt:lpstr>
      <vt:lpstr>cbalV1H1Comp</vt:lpstr>
      <vt:lpstr>cbalV1H2Comp</vt:lpstr>
      <vt:lpstr>cbalV1H3Comp</vt:lpstr>
      <vt:lpstr>cbalV2Competency</vt:lpstr>
      <vt:lpstr>cbalV2H1Comp</vt:lpstr>
      <vt:lpstr>cbalV2H2Comp</vt:lpstr>
      <vt:lpstr>cbalV2H3Comp</vt:lpstr>
      <vt:lpstr>cbalV3Competency</vt:lpstr>
      <vt:lpstr>cbalV3H1Comp</vt:lpstr>
      <vt:lpstr>cbalV3H2Comp</vt:lpstr>
      <vt:lpstr>cbalV3H3Comp</vt:lpstr>
      <vt:lpstr>cbalY1SpecProg1</vt:lpstr>
      <vt:lpstr>cbalY1SpecProg2</vt:lpstr>
      <vt:lpstr>cbalY1SpecProg3</vt:lpstr>
      <vt:lpstr>cbalY1SpecProg4</vt:lpstr>
      <vt:lpstr>cbalY1SpecProg5</vt:lpstr>
      <vt:lpstr>cbalY1SpecProg6</vt:lpstr>
      <vt:lpstr>cbalY1SpecProg7</vt:lpstr>
      <vt:lpstr>cbalY1V1H1BidRev</vt:lpstr>
      <vt:lpstr>cbalY1V1H1BidWon</vt:lpstr>
      <vt:lpstr>cbalY1V1H1COS</vt:lpstr>
      <vt:lpstr>cbalY1V1H1COSRealized</vt:lpstr>
      <vt:lpstr>cbalY1V1H2BidRev</vt:lpstr>
      <vt:lpstr>cbalY1V1H2BidWon</vt:lpstr>
      <vt:lpstr>cbalY1V1H2COS</vt:lpstr>
      <vt:lpstr>cbalY1V1H2COSRealized</vt:lpstr>
      <vt:lpstr>cbalY1V1H3BidRev</vt:lpstr>
      <vt:lpstr>cbalY1V1H3BidWon</vt:lpstr>
      <vt:lpstr>cbalY1V1H3COS</vt:lpstr>
      <vt:lpstr>cbalY1V1H3COSRealized</vt:lpstr>
      <vt:lpstr>cbalY1V2H1BidRev</vt:lpstr>
      <vt:lpstr>cbalY1V2H1BidWon</vt:lpstr>
      <vt:lpstr>cbalY1V2H1COS</vt:lpstr>
      <vt:lpstr>cbalY1V2H1COSRealized</vt:lpstr>
      <vt:lpstr>cbalY1V2H2BidRev</vt:lpstr>
      <vt:lpstr>cbalY1V2H2BidWon</vt:lpstr>
      <vt:lpstr>cbalY1V2H2COS</vt:lpstr>
      <vt:lpstr>cbalY1V2H2COSRealized</vt:lpstr>
      <vt:lpstr>cbalY1V2H3BidRev</vt:lpstr>
      <vt:lpstr>cbalY1V2H3BidWon</vt:lpstr>
      <vt:lpstr>cbalY1V2H3COS</vt:lpstr>
      <vt:lpstr>cbalY1V2H3COSRealized</vt:lpstr>
      <vt:lpstr>cbalY1V3H1BidRev</vt:lpstr>
      <vt:lpstr>cbalY1V3H1BidWon</vt:lpstr>
      <vt:lpstr>cbalY1V3H1COS</vt:lpstr>
      <vt:lpstr>cbalY1V3H1COSRealized</vt:lpstr>
      <vt:lpstr>cbalY1V3H2BidRev</vt:lpstr>
      <vt:lpstr>cbalY1V3H2BidWon</vt:lpstr>
      <vt:lpstr>cbalY1V3H2COS</vt:lpstr>
      <vt:lpstr>cbalY1V3H2COSRealized</vt:lpstr>
      <vt:lpstr>cbalY1V3H3BidRev</vt:lpstr>
      <vt:lpstr>cbalY1V3H3BidWon</vt:lpstr>
      <vt:lpstr>cbalY1V3H3COS</vt:lpstr>
      <vt:lpstr>cbalY1V3H3COSRealized</vt:lpstr>
      <vt:lpstr>cbalY1Wobbler1</vt:lpstr>
      <vt:lpstr>cbalY1Wobbler2</vt:lpstr>
      <vt:lpstr>cbalY1Wobbler3</vt:lpstr>
      <vt:lpstr>cbalY1Wobbler4</vt:lpstr>
      <vt:lpstr>cbalY2SpecProg1</vt:lpstr>
      <vt:lpstr>cbalY2SpecProg2</vt:lpstr>
      <vt:lpstr>cbalY2SpecProg3</vt:lpstr>
      <vt:lpstr>cbalY2SpecProg4</vt:lpstr>
      <vt:lpstr>cbalY2SpecProg5</vt:lpstr>
      <vt:lpstr>cbalY2SpecProg6</vt:lpstr>
      <vt:lpstr>cbalY2SpecProg7</vt:lpstr>
      <vt:lpstr>cbalY2V1H1BidRev</vt:lpstr>
      <vt:lpstr>cbalY2V1H1BidWon</vt:lpstr>
      <vt:lpstr>cbalY2V1H1COS</vt:lpstr>
      <vt:lpstr>cbalY2V1H1COSRealized</vt:lpstr>
      <vt:lpstr>cbalY2V1H2BidRev</vt:lpstr>
      <vt:lpstr>cbalY2V1H2BidWon</vt:lpstr>
      <vt:lpstr>cbalY2V1H2COS</vt:lpstr>
      <vt:lpstr>cbalY2V1H2COSRealized</vt:lpstr>
      <vt:lpstr>cbalY2V1H3BidRev</vt:lpstr>
      <vt:lpstr>cbalY2V1H3BidWon</vt:lpstr>
      <vt:lpstr>cbalY2V1H3COS</vt:lpstr>
      <vt:lpstr>cbalY2V1H3COSRealized</vt:lpstr>
      <vt:lpstr>cbalY2V2H1BidRev</vt:lpstr>
      <vt:lpstr>cbalY2V2H1BidWon</vt:lpstr>
      <vt:lpstr>cbalY2V2H1COS</vt:lpstr>
      <vt:lpstr>cbalY2V2H1COSRealized</vt:lpstr>
      <vt:lpstr>cbalY2V2H2BidRev</vt:lpstr>
      <vt:lpstr>cbalY2V2H2BidWon</vt:lpstr>
      <vt:lpstr>cbalY2V2H2COS</vt:lpstr>
      <vt:lpstr>cbalY2V2H2COSRealized</vt:lpstr>
      <vt:lpstr>cbalY2V2H3BidRev</vt:lpstr>
      <vt:lpstr>cbalY2V2H3BidWon</vt:lpstr>
      <vt:lpstr>cbalY2V2H3COS</vt:lpstr>
      <vt:lpstr>cbalY2V2H3COSRealized</vt:lpstr>
      <vt:lpstr>cbalY2V3H1BidRev</vt:lpstr>
      <vt:lpstr>cbalY2V3H1BidWon</vt:lpstr>
      <vt:lpstr>cbalY2V3H1COS</vt:lpstr>
      <vt:lpstr>cbalY2V3H1COSRealized</vt:lpstr>
      <vt:lpstr>cbalY2V3H2BidRev</vt:lpstr>
      <vt:lpstr>cbalY2V3H2BidWon</vt:lpstr>
      <vt:lpstr>cbalY2V3H2COS</vt:lpstr>
      <vt:lpstr>cbalY2V3H2COSRealized</vt:lpstr>
      <vt:lpstr>cbalY2V3H3BidRev</vt:lpstr>
      <vt:lpstr>cbalY2V3H3BidWon</vt:lpstr>
      <vt:lpstr>cbalY2V3H3COS</vt:lpstr>
      <vt:lpstr>cbalY2V3H3COSRealized</vt:lpstr>
      <vt:lpstr>cbalY2Wobbler1</vt:lpstr>
      <vt:lpstr>cbalY2Wobbler2</vt:lpstr>
      <vt:lpstr>cbalY2Wobbler3</vt:lpstr>
      <vt:lpstr>cbalY2Wobbler4</vt:lpstr>
      <vt:lpstr>cbalY3SpecProg1</vt:lpstr>
      <vt:lpstr>cbalY3SpecProg2</vt:lpstr>
      <vt:lpstr>cbalY3SpecProg3</vt:lpstr>
      <vt:lpstr>cbalY3SpecProg4</vt:lpstr>
      <vt:lpstr>cbalY3SpecProg5</vt:lpstr>
      <vt:lpstr>cbalY3SpecProg6</vt:lpstr>
      <vt:lpstr>cbalY3SpecProg7</vt:lpstr>
      <vt:lpstr>cbalY3V1H1BidRev</vt:lpstr>
      <vt:lpstr>cbalY3V1H1BidWon</vt:lpstr>
      <vt:lpstr>cbalY3V1H1COS</vt:lpstr>
      <vt:lpstr>cbalY3V1H1COSRealized</vt:lpstr>
      <vt:lpstr>cbalY3V1H2BidRev</vt:lpstr>
      <vt:lpstr>cbalY3V1H2BidWon</vt:lpstr>
      <vt:lpstr>cbalY3V1H2COS</vt:lpstr>
      <vt:lpstr>cbalY3V1H2COSRealized</vt:lpstr>
      <vt:lpstr>cbalY3V1H3BidRev</vt:lpstr>
      <vt:lpstr>cbalY3V1H3BidWon</vt:lpstr>
      <vt:lpstr>cbalY3V1H3COS</vt:lpstr>
      <vt:lpstr>cbalY3V1H3COSRealized</vt:lpstr>
      <vt:lpstr>cbalY3V2H1BidRev</vt:lpstr>
      <vt:lpstr>cbalY3V2H1BidWon</vt:lpstr>
      <vt:lpstr>cbalY3V2H1COS</vt:lpstr>
      <vt:lpstr>cbalY3V2H1COSRealized</vt:lpstr>
      <vt:lpstr>cbalY3V2H2BidRev</vt:lpstr>
      <vt:lpstr>cbalY3V2H2BidWon</vt:lpstr>
      <vt:lpstr>cbalY3V2H2COS</vt:lpstr>
      <vt:lpstr>cbalY3V2H2COSRealized</vt:lpstr>
      <vt:lpstr>cbalY3V2H3BidRev</vt:lpstr>
      <vt:lpstr>cbalY3V2H3BidWon</vt:lpstr>
      <vt:lpstr>cbalY3V2H3COS</vt:lpstr>
      <vt:lpstr>cbalY3V2H3COSRealized</vt:lpstr>
      <vt:lpstr>cbalY3V3H1BidRev</vt:lpstr>
      <vt:lpstr>cbalY3V3H1BidWon</vt:lpstr>
      <vt:lpstr>cbalY3V3H1COS</vt:lpstr>
      <vt:lpstr>cbalY3V3H1COSRealized</vt:lpstr>
      <vt:lpstr>cbalY3V3H2BidRev</vt:lpstr>
      <vt:lpstr>cbalY3V3H2BidWon</vt:lpstr>
      <vt:lpstr>cbalY3V3H2COS</vt:lpstr>
      <vt:lpstr>cbalY3V3H2COSRealized</vt:lpstr>
      <vt:lpstr>cbalY3V3H3BidRev</vt:lpstr>
      <vt:lpstr>cbalY3V3H3BidWon</vt:lpstr>
      <vt:lpstr>cbalY3V3H3COS</vt:lpstr>
      <vt:lpstr>cbalY3V3H3COSRealized</vt:lpstr>
      <vt:lpstr>cbalY3Wobbler1</vt:lpstr>
      <vt:lpstr>cbalY3Wobbler2</vt:lpstr>
      <vt:lpstr>cbalY3Wobbler3</vt:lpstr>
      <vt:lpstr>cbalY3Wobbler4</vt:lpstr>
      <vt:lpstr>cbalY4SpecProg1</vt:lpstr>
      <vt:lpstr>cbalY4SpecProg2</vt:lpstr>
      <vt:lpstr>cbalY4SpecProg3</vt:lpstr>
      <vt:lpstr>cbalY4SpecProg4</vt:lpstr>
      <vt:lpstr>cbalY4SpecProg5</vt:lpstr>
      <vt:lpstr>cbalY4SpecProg6</vt:lpstr>
      <vt:lpstr>cbalY4SpecProg7</vt:lpstr>
      <vt:lpstr>cbalY4Wobbler1</vt:lpstr>
      <vt:lpstr>cbalY4Wobbler2</vt:lpstr>
      <vt:lpstr>cbalY4Wobbler3</vt:lpstr>
      <vt:lpstr>cbalY4Wobbler4</vt:lpstr>
      <vt:lpstr>core_FilePrefix</vt:lpstr>
      <vt:lpstr>dataListEmpDismiss</vt:lpstr>
      <vt:lpstr>datalistFeedbackTS</vt:lpstr>
      <vt:lpstr>dataListOutsourcePer</vt:lpstr>
      <vt:lpstr>dataListProfile</vt:lpstr>
      <vt:lpstr>dataListProfileLookup</vt:lpstr>
      <vt:lpstr>dataListProfileLookupSIT</vt:lpstr>
      <vt:lpstr>dataListProfileMC</vt:lpstr>
      <vt:lpstr>dataListProfileSIT</vt:lpstr>
      <vt:lpstr>dataListProfileValues</vt:lpstr>
      <vt:lpstr>dataListProfileValues1</vt:lpstr>
      <vt:lpstr>dataListProfileValues2</vt:lpstr>
      <vt:lpstr>dataListProfileValues3</vt:lpstr>
      <vt:lpstr>dataListProfileValues4</vt:lpstr>
      <vt:lpstr>dataListProfileValues5</vt:lpstr>
      <vt:lpstr>dataListProfileValues6</vt:lpstr>
      <vt:lpstr>dataListSalary</vt:lpstr>
      <vt:lpstr>dataListStaffing</vt:lpstr>
      <vt:lpstr>dataListStaffingLvlLookup</vt:lpstr>
      <vt:lpstr>dataListStaffingValues</vt:lpstr>
      <vt:lpstr>DataNameBuyCtr1</vt:lpstr>
      <vt:lpstr>DataNameBuyCtr10</vt:lpstr>
      <vt:lpstr>DataNameBuyCtr11</vt:lpstr>
      <vt:lpstr>DataNameBuyCtr12</vt:lpstr>
      <vt:lpstr>DataNameBuyCtr2</vt:lpstr>
      <vt:lpstr>DataNameBuyCtr3</vt:lpstr>
      <vt:lpstr>DataNameBuyCtr4</vt:lpstr>
      <vt:lpstr>DataNameBuyCtr5</vt:lpstr>
      <vt:lpstr>DataNameBuyCtr6</vt:lpstr>
      <vt:lpstr>DataNameBuyCtr7</vt:lpstr>
      <vt:lpstr>DataNameBuyCtr8</vt:lpstr>
      <vt:lpstr>DataNameBuyCtr9</vt:lpstr>
      <vt:lpstr>DataNameDept1</vt:lpstr>
      <vt:lpstr>DataNameEmp1</vt:lpstr>
      <vt:lpstr>DataNameEmp10</vt:lpstr>
      <vt:lpstr>DataNameEmp2</vt:lpstr>
      <vt:lpstr>DataNameEmp3</vt:lpstr>
      <vt:lpstr>DataNameEmp4</vt:lpstr>
      <vt:lpstr>DataNameEmp5</vt:lpstr>
      <vt:lpstr>DataNameEmp6</vt:lpstr>
      <vt:lpstr>DataNameEmp7</vt:lpstr>
      <vt:lpstr>DataNameEmp8</vt:lpstr>
      <vt:lpstr>DataNameEmp9</vt:lpstr>
      <vt:lpstr>DataNamePlant1</vt:lpstr>
      <vt:lpstr>DataNamePlant2</vt:lpstr>
      <vt:lpstr>DataNamePlant3</vt:lpstr>
      <vt:lpstr>ManualAdjustments!DataNameProd1</vt:lpstr>
      <vt:lpstr>DataNameProd1</vt:lpstr>
      <vt:lpstr>DataNameProd1Seg1</vt:lpstr>
      <vt:lpstr>DataNameProd1Seg2</vt:lpstr>
      <vt:lpstr>DataNameProd1Seg3</vt:lpstr>
      <vt:lpstr>DataNameProd1Seg4</vt:lpstr>
      <vt:lpstr>DataNameProd1Seg5</vt:lpstr>
      <vt:lpstr>ManualAdjustments!DataNameProd2</vt:lpstr>
      <vt:lpstr>DataNameProd2</vt:lpstr>
      <vt:lpstr>ManualAdjustments!DataNameProd2Seg1</vt:lpstr>
      <vt:lpstr>DataNameProd2Seg1</vt:lpstr>
      <vt:lpstr>DataNameProd2Seg2</vt:lpstr>
      <vt:lpstr>DataNameProd2Seg3</vt:lpstr>
      <vt:lpstr>DataNameProd2Seg4</vt:lpstr>
      <vt:lpstr>DataNameProd2Seg5</vt:lpstr>
      <vt:lpstr>ManualAdjustments!DataNameProd3</vt:lpstr>
      <vt:lpstr>DataNameProd3</vt:lpstr>
      <vt:lpstr>ManualAdjustments!DataNameProd3Seg1</vt:lpstr>
      <vt:lpstr>DataNameProd3Seg1</vt:lpstr>
      <vt:lpstr>DataNameProd3Seg2</vt:lpstr>
      <vt:lpstr>DataNameProd3Seg3</vt:lpstr>
      <vt:lpstr>DataNameProd3Seg4</vt:lpstr>
      <vt:lpstr>DataNameProd3Seg5</vt:lpstr>
      <vt:lpstr>DataNameProd4</vt:lpstr>
      <vt:lpstr>DataNameProd4Seg1</vt:lpstr>
      <vt:lpstr>DataNameProd4Seg2</vt:lpstr>
      <vt:lpstr>DataNameProd4Seg3</vt:lpstr>
      <vt:lpstr>DataNameProd4Seg4</vt:lpstr>
      <vt:lpstr>DataNameProd4Seg5</vt:lpstr>
      <vt:lpstr>ManualAdjustments!DataNameProd5</vt:lpstr>
      <vt:lpstr>DataNameProd5</vt:lpstr>
      <vt:lpstr>ManualAdjustments!DataNameProd5Seg1</vt:lpstr>
      <vt:lpstr>DataNameProd5Seg1</vt:lpstr>
      <vt:lpstr>ManualAdjustments!DataNameProd5Seg2</vt:lpstr>
      <vt:lpstr>DataNameProd5Seg2</vt:lpstr>
      <vt:lpstr>DataNameProd5Seg3</vt:lpstr>
      <vt:lpstr>DataNameProd5Seg4</vt:lpstr>
      <vt:lpstr>DataNameProd5Seg5</vt:lpstr>
      <vt:lpstr>DataNameProd5Seg6</vt:lpstr>
      <vt:lpstr>DataNameProd5Seg7</vt:lpstr>
      <vt:lpstr>DataNameProd5Seg8</vt:lpstr>
      <vt:lpstr>DataNameProd6</vt:lpstr>
      <vt:lpstr>DataNameProd6Seg1</vt:lpstr>
      <vt:lpstr>DataNameProd6Seg2</vt:lpstr>
      <vt:lpstr>DataNameProd6Seg3</vt:lpstr>
      <vt:lpstr>DataNameProd6Seg4</vt:lpstr>
      <vt:lpstr>DataNameProd6Seg5</vt:lpstr>
      <vt:lpstr>DataPageBPOData</vt:lpstr>
      <vt:lpstr>DataPageBusAV1BorrowAvail</vt:lpstr>
      <vt:lpstr>DataPageBusAV2BorrowAvail</vt:lpstr>
      <vt:lpstr>DataPageBusAV3BorrowAvail</vt:lpstr>
      <vt:lpstr>DataPageBusBV1BorrowAvail</vt:lpstr>
      <vt:lpstr>DataPageBusBV1WeightTable</vt:lpstr>
      <vt:lpstr>DataPageBusBV2BorrowAvail</vt:lpstr>
      <vt:lpstr>DataPageBusBV3BorrowAvail</vt:lpstr>
      <vt:lpstr>DataPageEmp1TrainEffectOnProductivity</vt:lpstr>
      <vt:lpstr>DataPageEmp2TrainEffectOnProductivity</vt:lpstr>
      <vt:lpstr>DataPageEmp3TrainEffectOnProductivity</vt:lpstr>
      <vt:lpstr>DataPageEmp4TrainEffectOnProductivity</vt:lpstr>
      <vt:lpstr>DataPageEmp6RecruitEffectOnTimeDemand</vt:lpstr>
      <vt:lpstr>DataPageEmp6RecruitTimeDemandLookup</vt:lpstr>
      <vt:lpstr>DataPageEmp6TotalTrainingEffectOnTimeDemand</vt:lpstr>
      <vt:lpstr>DataPageEmp6TotalTrainingEffectOnTimeDemandFuture</vt:lpstr>
      <vt:lpstr>DataPageEmp6TrainAllTimeDemandLookup</vt:lpstr>
      <vt:lpstr>DataPageEmp6TrainEffectOnProductivity</vt:lpstr>
      <vt:lpstr>DataPageTable1</vt:lpstr>
      <vt:lpstr>DataPageTable2</vt:lpstr>
      <vt:lpstr>DataPageTable3</vt:lpstr>
      <vt:lpstr>DataPageTable4</vt:lpstr>
      <vt:lpstr>DataPageTotalTrainingTargetHrs</vt:lpstr>
      <vt:lpstr>DataPageTrainingBudgetTargetEmp1</vt:lpstr>
      <vt:lpstr>DataPageTrainingBudgetTargetEmp2</vt:lpstr>
      <vt:lpstr>DataPageTrainingBudgetTargetEmp3</vt:lpstr>
      <vt:lpstr>DataPageTrainingBudgetTargetEmp4</vt:lpstr>
      <vt:lpstr>DataPageTrainingBudgetTargetEmp6</vt:lpstr>
      <vt:lpstr>DataPageTrainingTargetEmp1</vt:lpstr>
      <vt:lpstr>DataPageTrainingTargetEmp2</vt:lpstr>
      <vt:lpstr>DataPageTrainingTargetEmp3</vt:lpstr>
      <vt:lpstr>DataPageTrainingTargetEmp4</vt:lpstr>
      <vt:lpstr>DataPageTrainingTargetEmp6</vt:lpstr>
      <vt:lpstr>DataTableBid1COSReducPursuit</vt:lpstr>
      <vt:lpstr>DataTableBid2COSReducPursuit</vt:lpstr>
      <vt:lpstr>DataTableBid3COSReducPursuit</vt:lpstr>
      <vt:lpstr>DataTableBid4COSReducPursuit</vt:lpstr>
      <vt:lpstr>DataTableBid5COSReducPursuit</vt:lpstr>
      <vt:lpstr>DataTableBid6COSReducPursuit</vt:lpstr>
      <vt:lpstr>DataTableBid7COSReducPursuit</vt:lpstr>
      <vt:lpstr>DataTableBid8COSReducPursuit</vt:lpstr>
      <vt:lpstr>DataTableBid9COSReducPursuit</vt:lpstr>
      <vt:lpstr>DataTableBusARelationReduceFromLocalEmp1</vt:lpstr>
      <vt:lpstr>DataTableBusARelationReduceFromLocalEmp2</vt:lpstr>
      <vt:lpstr>DataTableBusARelationReduceFromLocalEmp3</vt:lpstr>
      <vt:lpstr>DataTableBusARelationReduceFromLocalEmp4</vt:lpstr>
      <vt:lpstr>dataTableEmpDismiss</vt:lpstr>
      <vt:lpstr>DataTableLocalBusARelationship</vt:lpstr>
      <vt:lpstr>DataTableQualityCostReduceFromTraining</vt:lpstr>
      <vt:lpstr>dataTableRDExp</vt:lpstr>
      <vt:lpstr>dec_ToolInputPrefix</vt:lpstr>
      <vt:lpstr>decBid1Check</vt:lpstr>
      <vt:lpstr>decBid1Emp2HrsRFQ</vt:lpstr>
      <vt:lpstr>decBid1Emp3HrsRFQ</vt:lpstr>
      <vt:lpstr>decBid1Emp4HrsRFQ</vt:lpstr>
      <vt:lpstr>decBid1Price</vt:lpstr>
      <vt:lpstr>decBid2Check</vt:lpstr>
      <vt:lpstr>decBid2Emp2HrsRFQ</vt:lpstr>
      <vt:lpstr>decBid2Emp3HrsRFQ</vt:lpstr>
      <vt:lpstr>decBid2Emp4HrsRFQ</vt:lpstr>
      <vt:lpstr>decBid2Price</vt:lpstr>
      <vt:lpstr>decBid3Check</vt:lpstr>
      <vt:lpstr>decBid3Emp2HrsRFQ</vt:lpstr>
      <vt:lpstr>decBid3Emp3HrsRFQ</vt:lpstr>
      <vt:lpstr>decBid3Emp4HrsRFQ</vt:lpstr>
      <vt:lpstr>decBid3Price</vt:lpstr>
      <vt:lpstr>decBid4Check</vt:lpstr>
      <vt:lpstr>decBid4Emp2HrsRFQ</vt:lpstr>
      <vt:lpstr>decBid4Emp3HrsRFQ</vt:lpstr>
      <vt:lpstr>decBid4Emp4HrsRFQ</vt:lpstr>
      <vt:lpstr>decBid4Price</vt:lpstr>
      <vt:lpstr>decBid5Check</vt:lpstr>
      <vt:lpstr>decBid5Emp2HrsRFQ</vt:lpstr>
      <vt:lpstr>decBid5Emp3HrsRFQ</vt:lpstr>
      <vt:lpstr>decBid5Emp4HrsRFQ</vt:lpstr>
      <vt:lpstr>decBid5Price</vt:lpstr>
      <vt:lpstr>decBid6Check</vt:lpstr>
      <vt:lpstr>decBid6Emp2HrsRFQ</vt:lpstr>
      <vt:lpstr>decBid6Emp3HrsRFQ</vt:lpstr>
      <vt:lpstr>decBid6Emp4HrsRFQ</vt:lpstr>
      <vt:lpstr>decBid6Price</vt:lpstr>
      <vt:lpstr>decBid7Check</vt:lpstr>
      <vt:lpstr>decBid7Emp2HrsRFQ</vt:lpstr>
      <vt:lpstr>decBid7Emp3HrsRFQ</vt:lpstr>
      <vt:lpstr>decBid7Emp4HrsRFQ</vt:lpstr>
      <vt:lpstr>decBid7Price</vt:lpstr>
      <vt:lpstr>decBid8Check</vt:lpstr>
      <vt:lpstr>decBid8Emp2HrsRFQ</vt:lpstr>
      <vt:lpstr>decBid8Emp3HrsRFQ</vt:lpstr>
      <vt:lpstr>decBid8Emp4HrsRFQ</vt:lpstr>
      <vt:lpstr>decBid8Price</vt:lpstr>
      <vt:lpstr>decBid9Check</vt:lpstr>
      <vt:lpstr>decBid9Emp2HrsRFQ</vt:lpstr>
      <vt:lpstr>decBid9Emp3HrsRFQ</vt:lpstr>
      <vt:lpstr>decBid9Emp4HrsRFQ</vt:lpstr>
      <vt:lpstr>decBid9Price</vt:lpstr>
      <vt:lpstr>decBusABusDevNonPayrollBud</vt:lpstr>
      <vt:lpstr>decBusAEmp1HrsCurrProj</vt:lpstr>
      <vt:lpstr>decBusAEmp1HrsCurrProjV2</vt:lpstr>
      <vt:lpstr>decBusAEmp1HrsCurrProjV3</vt:lpstr>
      <vt:lpstr>decBusAEmp1HrsSales</vt:lpstr>
      <vt:lpstr>decBusAEmp1HrsSalesV2</vt:lpstr>
      <vt:lpstr>decBusAEmp1HrsSalesV3</vt:lpstr>
      <vt:lpstr>decBusAEmp2HrsCurrProj</vt:lpstr>
      <vt:lpstr>decBusAEmp2HrsCurrProjV2</vt:lpstr>
      <vt:lpstr>decBusAEmp2HrsCurrProjV3</vt:lpstr>
      <vt:lpstr>decBusAEmp2HrsSales</vt:lpstr>
      <vt:lpstr>decBusAEmp2HrsSalesV2</vt:lpstr>
      <vt:lpstr>decBusAEmp2HrsSalesV3</vt:lpstr>
      <vt:lpstr>decBusAEmp3HrsCurrProj</vt:lpstr>
      <vt:lpstr>decBusAEmp3HrsCurrProjV2</vt:lpstr>
      <vt:lpstr>decBusAEmp3HrsCurrProjV3</vt:lpstr>
      <vt:lpstr>decBusAEmp3HrsSales</vt:lpstr>
      <vt:lpstr>decBusAEmp3HrsSalesV2</vt:lpstr>
      <vt:lpstr>decBusAEmp3HrsSalesV3</vt:lpstr>
      <vt:lpstr>decBusAEmp4HrsCurrProj</vt:lpstr>
      <vt:lpstr>decBusAEmp4HrsCurrProjV2</vt:lpstr>
      <vt:lpstr>decBusAEmp4HrsCurrProjV3</vt:lpstr>
      <vt:lpstr>decBusAEmp4HrsSales</vt:lpstr>
      <vt:lpstr>decBusAEmp4HrsSalesV2</vt:lpstr>
      <vt:lpstr>decBusAEmp4HrsSalesV3</vt:lpstr>
      <vt:lpstr>decBusAEmp7HrsCurrProj</vt:lpstr>
      <vt:lpstr>decBusAEmp7HrsCurrProjV2</vt:lpstr>
      <vt:lpstr>decBusAEmp7HrsCurrProjV3</vt:lpstr>
      <vt:lpstr>decBusAEmp7HrsSales</vt:lpstr>
      <vt:lpstr>decBusAEmp7HrsSalesV2</vt:lpstr>
      <vt:lpstr>decBusAEmp7HrsSalesV3</vt:lpstr>
      <vt:lpstr>decBusAEmp8HrsCurrProj</vt:lpstr>
      <vt:lpstr>decBusAEmp8HrsCurrProjV2</vt:lpstr>
      <vt:lpstr>decBusAEmp8HrsCurrProjV3</vt:lpstr>
      <vt:lpstr>decBusAEmp8HrsSales</vt:lpstr>
      <vt:lpstr>decBusAEmp8HrsSalesV2</vt:lpstr>
      <vt:lpstr>decBusAEmp8HrsSalesV3</vt:lpstr>
      <vt:lpstr>decBusAEmp9HrsCurrProj</vt:lpstr>
      <vt:lpstr>decBusAEmp9HrsCurrProjV2</vt:lpstr>
      <vt:lpstr>decBusAEmp9HrsCurrProjV3</vt:lpstr>
      <vt:lpstr>decBusAEmp9HrsSales</vt:lpstr>
      <vt:lpstr>decBusAEmp9HrsSalesV2</vt:lpstr>
      <vt:lpstr>decBusAEmp9HrsSalesV3</vt:lpstr>
      <vt:lpstr>decBusASales2</vt:lpstr>
      <vt:lpstr>decBusASales4</vt:lpstr>
      <vt:lpstr>decBusASales6</vt:lpstr>
      <vt:lpstr>decBusASalesMC1</vt:lpstr>
      <vt:lpstr>decBusASalesMC2</vt:lpstr>
      <vt:lpstr>decBusASalesMC3</vt:lpstr>
      <vt:lpstr>decBusAStaffProfMC1</vt:lpstr>
      <vt:lpstr>decBusAStaffProfMC2</vt:lpstr>
      <vt:lpstr>decBusAStaffProfMC3</vt:lpstr>
      <vt:lpstr>decBusAStaffProfSIT1</vt:lpstr>
      <vt:lpstr>decBusAStaffProfSIT2</vt:lpstr>
      <vt:lpstr>decBusAStaffProfSIT3</vt:lpstr>
      <vt:lpstr>decBusAV1HrsBorrowed</vt:lpstr>
      <vt:lpstr>decBusAV2HrsBorrowed</vt:lpstr>
      <vt:lpstr>decBusAV3HrsBorrowed</vt:lpstr>
      <vt:lpstr>decBusBBusDevNonPayrollBud</vt:lpstr>
      <vt:lpstr>decBusBEmp1HrsCurrProj</vt:lpstr>
      <vt:lpstr>decBusBEmp1HrsSales</vt:lpstr>
      <vt:lpstr>decBusBEmp2HrsCurrProj</vt:lpstr>
      <vt:lpstr>decBusBEmp2HrsSales</vt:lpstr>
      <vt:lpstr>decBusBEmp3HrsCurrProj</vt:lpstr>
      <vt:lpstr>decBusBEmp3HrsSales</vt:lpstr>
      <vt:lpstr>decBusBEmp4HrsSales</vt:lpstr>
      <vt:lpstr>decBusBH1HrsBorrowed</vt:lpstr>
      <vt:lpstr>decBusBH2HrsBorrowed</vt:lpstr>
      <vt:lpstr>decBusBH3HrsBorrowed</vt:lpstr>
      <vt:lpstr>decClientIntCostBid1</vt:lpstr>
      <vt:lpstr>decClientIntCostBid2</vt:lpstr>
      <vt:lpstr>decClientIntCostBid3</vt:lpstr>
      <vt:lpstr>decClientIntCostBid4</vt:lpstr>
      <vt:lpstr>decClientIntCostBid5</vt:lpstr>
      <vt:lpstr>decClientIntCostBid6</vt:lpstr>
      <vt:lpstr>decClientIntCostBid7</vt:lpstr>
      <vt:lpstr>decClientIntCostBid8</vt:lpstr>
      <vt:lpstr>decClientIntCostBid9</vt:lpstr>
      <vt:lpstr>decClientPctBid1</vt:lpstr>
      <vt:lpstr>decClientPctBid2</vt:lpstr>
      <vt:lpstr>decClientPctBid3</vt:lpstr>
      <vt:lpstr>decClientPctBid4</vt:lpstr>
      <vt:lpstr>decClientPctBid5</vt:lpstr>
      <vt:lpstr>decClientPctBid6</vt:lpstr>
      <vt:lpstr>decClientPctBid7</vt:lpstr>
      <vt:lpstr>decClientPctBid8</vt:lpstr>
      <vt:lpstr>decClientPctBid9</vt:lpstr>
      <vt:lpstr>decCompDevBusAV1</vt:lpstr>
      <vt:lpstr>decCompDevBusAV2</vt:lpstr>
      <vt:lpstr>decCompDevBusAV3</vt:lpstr>
      <vt:lpstr>decEmp1BusADismiss</vt:lpstr>
      <vt:lpstr>decEmp1BusAHire</vt:lpstr>
      <vt:lpstr>decEmp1BusALocalPer</vt:lpstr>
      <vt:lpstr>decEmp1BusBDismiss</vt:lpstr>
      <vt:lpstr>decEmp1BusBHire</vt:lpstr>
      <vt:lpstr>decEmp1BusBOpsImprove</vt:lpstr>
      <vt:lpstr>decEmp1SalaryLvl</vt:lpstr>
      <vt:lpstr>decEmp1Training</vt:lpstr>
      <vt:lpstr>decEmp1TrainingBudget</vt:lpstr>
      <vt:lpstr>decEmp2BusADismiss</vt:lpstr>
      <vt:lpstr>decEmp2BusAHire</vt:lpstr>
      <vt:lpstr>decEmp2BusALocalPer</vt:lpstr>
      <vt:lpstr>decEmp2BusBDismiss</vt:lpstr>
      <vt:lpstr>decEmp2BusBHire</vt:lpstr>
      <vt:lpstr>decEmp2BusBOpsImprove</vt:lpstr>
      <vt:lpstr>decEmp2SalaryLvl</vt:lpstr>
      <vt:lpstr>decEmp2Training</vt:lpstr>
      <vt:lpstr>decEmp2TrainingBudget</vt:lpstr>
      <vt:lpstr>decEmp3BusADismiss</vt:lpstr>
      <vt:lpstr>decEmp3BusAHire</vt:lpstr>
      <vt:lpstr>decEmp3BusALocalPer</vt:lpstr>
      <vt:lpstr>decEmp3BusBDismiss</vt:lpstr>
      <vt:lpstr>decEmp3BusBHire</vt:lpstr>
      <vt:lpstr>decEmp3BusBOpsImprove</vt:lpstr>
      <vt:lpstr>decEmp3SalaryLvl</vt:lpstr>
      <vt:lpstr>decEmp3Training</vt:lpstr>
      <vt:lpstr>decEmp3TrainingBudget</vt:lpstr>
      <vt:lpstr>decEmp4BusADismiss</vt:lpstr>
      <vt:lpstr>decEmp4BusAHire</vt:lpstr>
      <vt:lpstr>decEmp4BusALocalPer</vt:lpstr>
      <vt:lpstr>decEmp4BusBDismiss</vt:lpstr>
      <vt:lpstr>decEmp4BusBHire</vt:lpstr>
      <vt:lpstr>decEmp4BusBOpsImprove</vt:lpstr>
      <vt:lpstr>decEmp4SalaryLvl</vt:lpstr>
      <vt:lpstr>decEmp4Training</vt:lpstr>
      <vt:lpstr>decEmp4TrainingBudget</vt:lpstr>
      <vt:lpstr>decEmp7BusADismiss</vt:lpstr>
      <vt:lpstr>decEmp7BusAHire</vt:lpstr>
      <vt:lpstr>decEmp8BusADismiss</vt:lpstr>
      <vt:lpstr>decEmp8BusAHire</vt:lpstr>
      <vt:lpstr>decEmp9BusADismiss</vt:lpstr>
      <vt:lpstr>decEmp9BusAHire</vt:lpstr>
      <vt:lpstr>decEntSvcsSalesSupportLevelPrac1</vt:lpstr>
      <vt:lpstr>decEntSvcsSalesSupportLevelPrac2</vt:lpstr>
      <vt:lpstr>decEntSvcsSalesSupportLevelPrac3</vt:lpstr>
      <vt:lpstr>decEntWFDismiss</vt:lpstr>
      <vt:lpstr>decEntWFHire</vt:lpstr>
      <vt:lpstr>decEntWFTraining</vt:lpstr>
      <vt:lpstr>decEntWFTrainingBudget</vt:lpstr>
      <vt:lpstr>decExportType</vt:lpstr>
      <vt:lpstr>decIndustryEminence</vt:lpstr>
      <vt:lpstr>decInternalAssets</vt:lpstr>
      <vt:lpstr>decPopupWobbler1</vt:lpstr>
      <vt:lpstr>decPopupWobbler10</vt:lpstr>
      <vt:lpstr>decPopupWobbler2</vt:lpstr>
      <vt:lpstr>decPopupWobbler3</vt:lpstr>
      <vt:lpstr>decPopupWobbler4</vt:lpstr>
      <vt:lpstr>decPopupWobbler5</vt:lpstr>
      <vt:lpstr>decPopupWobbler6</vt:lpstr>
      <vt:lpstr>decPopupWobbler7</vt:lpstr>
      <vt:lpstr>decPopupWobbler8</vt:lpstr>
      <vt:lpstr>decPopupWobbler9</vt:lpstr>
      <vt:lpstr>decPopUpWobblerTime</vt:lpstr>
      <vt:lpstr>decPriorCommit</vt:lpstr>
      <vt:lpstr>decProd1Adv</vt:lpstr>
      <vt:lpstr>decProd1CreditDays</vt:lpstr>
      <vt:lpstr>decProd1Growth</vt:lpstr>
      <vt:lpstr>decProd1Price</vt:lpstr>
      <vt:lpstr>decProd1Units</vt:lpstr>
      <vt:lpstr>decProd1V2Growth</vt:lpstr>
      <vt:lpstr>decProd1V2Price</vt:lpstr>
      <vt:lpstr>decProd1V2Units</vt:lpstr>
      <vt:lpstr>decProd1V3Growth</vt:lpstr>
      <vt:lpstr>decProd1V3Price</vt:lpstr>
      <vt:lpstr>decProd1V3Units</vt:lpstr>
      <vt:lpstr>decScenarioTestCount</vt:lpstr>
      <vt:lpstr>decScenarioTestCounter</vt:lpstr>
      <vt:lpstr>decSpecProg1</vt:lpstr>
      <vt:lpstr>decSpecProg2</vt:lpstr>
      <vt:lpstr>decSpecProg3</vt:lpstr>
      <vt:lpstr>decSpecProg4</vt:lpstr>
      <vt:lpstr>decSpecProg5</vt:lpstr>
      <vt:lpstr>decSpecProg6</vt:lpstr>
      <vt:lpstr>decSpecProg7</vt:lpstr>
      <vt:lpstr>ManualAdjustments!decTeamName</vt:lpstr>
      <vt:lpstr>decTeamName</vt:lpstr>
      <vt:lpstr>ManualAdjustments!decTeamNumber</vt:lpstr>
      <vt:lpstr>decTeamNumber</vt:lpstr>
      <vt:lpstr>decTeamRound</vt:lpstr>
      <vt:lpstr>decV1H1Dev</vt:lpstr>
      <vt:lpstr>decV1H2Dev</vt:lpstr>
      <vt:lpstr>decV1H3Dev</vt:lpstr>
      <vt:lpstr>decV2H1Dev</vt:lpstr>
      <vt:lpstr>decV2H2Dev</vt:lpstr>
      <vt:lpstr>decV2H3Dev</vt:lpstr>
      <vt:lpstr>decV3H1Dev</vt:lpstr>
      <vt:lpstr>decV3H2Dev</vt:lpstr>
      <vt:lpstr>decV3H3Dev</vt:lpstr>
      <vt:lpstr>decWobbler1</vt:lpstr>
      <vt:lpstr>decWobbler2</vt:lpstr>
      <vt:lpstr>decWobbler3</vt:lpstr>
      <vt:lpstr>decWobbler4</vt:lpstr>
      <vt:lpstr>finAssetTurnover</vt:lpstr>
      <vt:lpstr>finBalCardRankThisYr</vt:lpstr>
      <vt:lpstr>finBalCardScoreThisYr</vt:lpstr>
      <vt:lpstr>finBalCardTotalCI</vt:lpstr>
      <vt:lpstr>finBalCardTotalCSAT</vt:lpstr>
      <vt:lpstr>finBalCardTotalEmpEngagement</vt:lpstr>
      <vt:lpstr>finBalCardTotalSalesGrowth</vt:lpstr>
      <vt:lpstr>finBookings</vt:lpstr>
      <vt:lpstr>finBookingsCAGR</vt:lpstr>
      <vt:lpstr>finBusAV1BusDevNonPayroll</vt:lpstr>
      <vt:lpstr>finBusAV2BusDevNonPayroll</vt:lpstr>
      <vt:lpstr>finBusAV3BusDevNonPayroll</vt:lpstr>
      <vt:lpstr>finBusBV1BusDevNonPayroll</vt:lpstr>
      <vt:lpstr>finBusBV1BusDevTimeExp</vt:lpstr>
      <vt:lpstr>finBusBV1Emp2BusDevTimeExp</vt:lpstr>
      <vt:lpstr>finBusBV1Emp3BusDevTimeExp</vt:lpstr>
      <vt:lpstr>finBusBV1Emp4BusDevTimeExp</vt:lpstr>
      <vt:lpstr>finBusBV2BusDevNonPayroll</vt:lpstr>
      <vt:lpstr>finBusBV2BusDevTimeExp</vt:lpstr>
      <vt:lpstr>finBusBV2Emp2BusDevTimeExp</vt:lpstr>
      <vt:lpstr>finBusBV2Emp3BusDevTimeExp</vt:lpstr>
      <vt:lpstr>finBusBV2Emp4BusDevTimeExp</vt:lpstr>
      <vt:lpstr>finBusBV3BusDevNonPayroll</vt:lpstr>
      <vt:lpstr>finBusBV3BusDevTimeExp</vt:lpstr>
      <vt:lpstr>finBusBV3Emp2BusDevTimeExp</vt:lpstr>
      <vt:lpstr>finBusBV3Emp3BusDevTimeExp</vt:lpstr>
      <vt:lpstr>finBusBV3Emp4BusDevTimeExp</vt:lpstr>
      <vt:lpstr>finCashClosingValue</vt:lpstr>
      <vt:lpstr>finCashExpense</vt:lpstr>
      <vt:lpstr>finCashFlowAPChange</vt:lpstr>
      <vt:lpstr>finCashFlowARChange</vt:lpstr>
      <vt:lpstr>finCashFlowDep</vt:lpstr>
      <vt:lpstr>finCashFlowFinance</vt:lpstr>
      <vt:lpstr>finCashFlowInvest</vt:lpstr>
      <vt:lpstr>finCashFlowOtherCurrLiabChange</vt:lpstr>
      <vt:lpstr>finCashFlowSpecLoansChange</vt:lpstr>
      <vt:lpstr>finCashFlowWorkCap</vt:lpstr>
      <vt:lpstr>finCommonStockChange</vt:lpstr>
      <vt:lpstr>finCumBalCardRank</vt:lpstr>
      <vt:lpstr>finCumBalCardScore</vt:lpstr>
      <vt:lpstr>finEmp6AdminExp</vt:lpstr>
      <vt:lpstr>finEmp6RecDismExp</vt:lpstr>
      <vt:lpstr>finEmp6SalaryExp</vt:lpstr>
      <vt:lpstr>finEmp6SalesSupportExp</vt:lpstr>
      <vt:lpstr>finEmp6TrainingTimeExp</vt:lpstr>
      <vt:lpstr>finEntSvcsExpAllocPctBusA</vt:lpstr>
      <vt:lpstr>finEntSvcsExpAllocPctBusB</vt:lpstr>
      <vt:lpstr>finEntSvcsMarketing</vt:lpstr>
      <vt:lpstr>finEntSvcsTotalExp</vt:lpstr>
      <vt:lpstr>finEntSvcsTotalTrainingBudgetExp</vt:lpstr>
      <vt:lpstr>finPNLBusAEmp1GeneralTrainingExp</vt:lpstr>
      <vt:lpstr>finPNLBusAEmp1UnallocTimeExp</vt:lpstr>
      <vt:lpstr>finPNLBusAEmp2GeneralTrainingExp</vt:lpstr>
      <vt:lpstr>finPNLBusAEmp2UnallocTimeExp</vt:lpstr>
      <vt:lpstr>finPNLBusAEmp3GeneralTrainingExp</vt:lpstr>
      <vt:lpstr>finPNLBusAEmp3UnallocTimeExp</vt:lpstr>
      <vt:lpstr>finPNLBusAEmp4GeneralTrainingExp</vt:lpstr>
      <vt:lpstr>finPNLBusAEmp4UnallocTimeExp</vt:lpstr>
      <vt:lpstr>finPNLBusAEmp7GeneralTrainingExp</vt:lpstr>
      <vt:lpstr>finPNLBusAEmp8GeneralTrainingExp</vt:lpstr>
      <vt:lpstr>finPNLBusAEmp9GeneralTrainingExp</vt:lpstr>
      <vt:lpstr>finPNLBusAEmpRecDismExp</vt:lpstr>
      <vt:lpstr>finPNLBusAEntSvcsTtlExpAlloc</vt:lpstr>
      <vt:lpstr>finPNLBusAEntSvcsV1ExpAlloc</vt:lpstr>
      <vt:lpstr>finPNLBusAEntSvcsV2ExpAlloc</vt:lpstr>
      <vt:lpstr>finPNLBusAEntSvcsV3ExpAlloc</vt:lpstr>
      <vt:lpstr>finPNLBusAFixedAdminExp</vt:lpstr>
      <vt:lpstr>finPNLBusAGeneralTrainingExp</vt:lpstr>
      <vt:lpstr>finPNLBusAOpsMargin</vt:lpstr>
      <vt:lpstr>finPNLBusAOpsMarginPct</vt:lpstr>
      <vt:lpstr>finPNLBusAOtherExp</vt:lpstr>
      <vt:lpstr>finPNLBusASpecProgExp</vt:lpstr>
      <vt:lpstr>finPNLBusATotalCCI</vt:lpstr>
      <vt:lpstr>finPNLBusATotalGeneralTrainingBudgetExpense</vt:lpstr>
      <vt:lpstr>finPNLBusATotalGenMktExp</vt:lpstr>
      <vt:lpstr>finPNLBusATotalGlobalSalaryExp</vt:lpstr>
      <vt:lpstr>finPNLBusAtotalLoadExp</vt:lpstr>
      <vt:lpstr>finPNLBusATotalModCCI</vt:lpstr>
      <vt:lpstr>finPNLBusATotalOpExp</vt:lpstr>
      <vt:lpstr>finPNLBusATotalQualityCost</vt:lpstr>
      <vt:lpstr>finPNLBusATtlEmpAdminExp</vt:lpstr>
      <vt:lpstr>finPNLBusAUnallocTimeExp</vt:lpstr>
      <vt:lpstr>finPNLBusAV1BusDevTimeExp</vt:lpstr>
      <vt:lpstr>finPNLBusAV1CCI</vt:lpstr>
      <vt:lpstr>finPNLBusAV1CompDevTimeExp</vt:lpstr>
      <vt:lpstr>finPNLBusAV1Emp1BusDevTimeExp</vt:lpstr>
      <vt:lpstr>finPNLBusAV1Emp1CompDevTimeExp</vt:lpstr>
      <vt:lpstr>finPNLBusAV1Emp1SalaryExp</vt:lpstr>
      <vt:lpstr>finPNLBusAV1Emp2BusDevTimeExp</vt:lpstr>
      <vt:lpstr>finPNLBusAV1Emp2CompDevTimeExp</vt:lpstr>
      <vt:lpstr>finPNLBusAV1Emp2SalaryExp</vt:lpstr>
      <vt:lpstr>finPNLBusAV1Emp3BusDevTimeExp</vt:lpstr>
      <vt:lpstr>finPNLBusAV1Emp3CompDevTimeExp</vt:lpstr>
      <vt:lpstr>finPNLBusAV1Emp3SalaryExp</vt:lpstr>
      <vt:lpstr>finPNLBusAV1Emp4BusDevTimeExp</vt:lpstr>
      <vt:lpstr>finPNLBusAV1Emp4CompDevTimeExp</vt:lpstr>
      <vt:lpstr>finPNLBusAV1Emp4SalaryExp</vt:lpstr>
      <vt:lpstr>finPNLBusAV1Emp7BusDevTimeExp</vt:lpstr>
      <vt:lpstr>finPNLBusAV1Emp7SalaryExp</vt:lpstr>
      <vt:lpstr>finPNLBusAV1Emp8BusDevTimeExp</vt:lpstr>
      <vt:lpstr>finPNLBusAV1Emp8SalaryExp</vt:lpstr>
      <vt:lpstr>finPNLBusAV1Emp9BusDevTimeExp</vt:lpstr>
      <vt:lpstr>finPNLBusAV1Emp9SalaryExp</vt:lpstr>
      <vt:lpstr>finPNLBusAV1EmpRecDismExp</vt:lpstr>
      <vt:lpstr>finPNLBusAV1FixedAdminExp</vt:lpstr>
      <vt:lpstr>finPNLBusAV1GeneralTrainingExp</vt:lpstr>
      <vt:lpstr>finPNLBusAV1GlobalSalaryExp</vt:lpstr>
      <vt:lpstr>finPNLBusAV1LoadExp</vt:lpstr>
      <vt:lpstr>finPNLBusAV1ModCCI</vt:lpstr>
      <vt:lpstr>finPNLBusAV1OpsMargin</vt:lpstr>
      <vt:lpstr>finPNLBusAV1OpsMarginPct</vt:lpstr>
      <vt:lpstr>finPNLBusAV1OtherExp</vt:lpstr>
      <vt:lpstr>finPNLBusAV1OverheadPctAlloc</vt:lpstr>
      <vt:lpstr>finPNLBusAV1QualityCost</vt:lpstr>
      <vt:lpstr>finPNLBusAV1RDExp</vt:lpstr>
      <vt:lpstr>finPNLBusAV1SpecProgExp</vt:lpstr>
      <vt:lpstr>finPNLBusAV1TotalGeneralTrainingBudgetExpense</vt:lpstr>
      <vt:lpstr>finPNLBusAV1TotalGenMktExp</vt:lpstr>
      <vt:lpstr>finPNLBusAV1TotalOpExp</vt:lpstr>
      <vt:lpstr>finPNLBusAV1TotalSalaryExp</vt:lpstr>
      <vt:lpstr>finPNLBusAV1TtlAdminExp</vt:lpstr>
      <vt:lpstr>finPNLBusAV1UnallocTimeExp</vt:lpstr>
      <vt:lpstr>finPNLBusAV2BusDevTimeExp</vt:lpstr>
      <vt:lpstr>finPNLBusAV2CCI</vt:lpstr>
      <vt:lpstr>finPNLBusAV2CompDevTimeExp</vt:lpstr>
      <vt:lpstr>finPNLBusAV2Emp1BusDevTimeExp</vt:lpstr>
      <vt:lpstr>finPNLBusAV2Emp1CompDevTimeExp</vt:lpstr>
      <vt:lpstr>finPNLBusAV2Emp1SalaryExp</vt:lpstr>
      <vt:lpstr>finPNLBusAV2Emp2BusDevTimeExp</vt:lpstr>
      <vt:lpstr>finPNLBusAV2Emp2CompDevTimeExp</vt:lpstr>
      <vt:lpstr>finPNLBusAV2Emp2SalaryExp</vt:lpstr>
      <vt:lpstr>finPNLBusAV2Emp3BusDevTimeExp</vt:lpstr>
      <vt:lpstr>finPNLBusAV2Emp3CompDevTimeExp</vt:lpstr>
      <vt:lpstr>finPNLBusAV2Emp3SalaryExp</vt:lpstr>
      <vt:lpstr>finPNLBusAV2Emp4BusDevTimeExp</vt:lpstr>
      <vt:lpstr>finPNLBusAV2Emp4CompDevTimeExp</vt:lpstr>
      <vt:lpstr>finPNLBusAV2Emp4SalaryExp</vt:lpstr>
      <vt:lpstr>finPNLBusAV2Emp7BusDevTimeExp</vt:lpstr>
      <vt:lpstr>finPNLBusAV2Emp7SalaryExp</vt:lpstr>
      <vt:lpstr>finPNLBusAV2Emp8BusDevTimeExp</vt:lpstr>
      <vt:lpstr>finPNLBusAV2Emp8SalaryExp</vt:lpstr>
      <vt:lpstr>finPNLBusAV2Emp9BusDevTimeExp</vt:lpstr>
      <vt:lpstr>finPNLBusAV2Emp9SalaryExp</vt:lpstr>
      <vt:lpstr>finPNLBusAV2EmpRecDismExp</vt:lpstr>
      <vt:lpstr>finPNLBusAV2FixedAdminExp</vt:lpstr>
      <vt:lpstr>finPNLBusAV2GeneralTrainingExp</vt:lpstr>
      <vt:lpstr>finPNLBusAV2GlobalSalaryExp</vt:lpstr>
      <vt:lpstr>finPNLBusAV2LoadExp</vt:lpstr>
      <vt:lpstr>finPNLBusAV2ModCCI</vt:lpstr>
      <vt:lpstr>finPNLBusAV2OpsMargin</vt:lpstr>
      <vt:lpstr>finPNLBusAV2OpsMarginPct</vt:lpstr>
      <vt:lpstr>finPNLBusAV2OtherExp</vt:lpstr>
      <vt:lpstr>finPNLBusAV2OverheadPctAlloc</vt:lpstr>
      <vt:lpstr>finPNLBusAV2QualityCost</vt:lpstr>
      <vt:lpstr>finPNLBusAV2RDExp</vt:lpstr>
      <vt:lpstr>finPNLBusAV2SpecProgExp</vt:lpstr>
      <vt:lpstr>finPNLBusAV2TotalGeneralTrainingBudgetExpense</vt:lpstr>
      <vt:lpstr>finPNLBusAV2TotalGenMktExp</vt:lpstr>
      <vt:lpstr>finPNLBusAV2TotalOpExp</vt:lpstr>
      <vt:lpstr>finPNLBusAV2TotalSalaryExp</vt:lpstr>
      <vt:lpstr>finPNLBusAV2TtlAdminExp</vt:lpstr>
      <vt:lpstr>finPNLBusAV2UnallocTimeExp</vt:lpstr>
      <vt:lpstr>finPNLBusAV3BusDevTimeExp</vt:lpstr>
      <vt:lpstr>finPNLBusAV3CCI</vt:lpstr>
      <vt:lpstr>finPNLBusAV3CompDevTimeExp</vt:lpstr>
      <vt:lpstr>finPNLBusAV3Emp1BusDevTimeExp</vt:lpstr>
      <vt:lpstr>finPNLBusAV3Emp1CompDevTimeExp</vt:lpstr>
      <vt:lpstr>finPNLBusAV3Emp1SalaryExp</vt:lpstr>
      <vt:lpstr>finPNLBusAV3Emp2BusDevTimeExp</vt:lpstr>
      <vt:lpstr>finPNLBusAV3Emp2CompDevTimeExp</vt:lpstr>
      <vt:lpstr>finPNLBusAV3Emp2SalaryExp</vt:lpstr>
      <vt:lpstr>finPNLBusAV3Emp3BusDevTimeExp</vt:lpstr>
      <vt:lpstr>finPNLBusAV3Emp3CompDevTimeExp</vt:lpstr>
      <vt:lpstr>finPNLBusAV3Emp3SalaryExp</vt:lpstr>
      <vt:lpstr>finPNLBusAV3Emp4BusDevTimeExp</vt:lpstr>
      <vt:lpstr>finPNLBusAV3Emp4CompDevTimeExp</vt:lpstr>
      <vt:lpstr>finPNLBusAV3Emp4SalaryExp</vt:lpstr>
      <vt:lpstr>finPNLBusAV3Emp7BusDevTimeExp</vt:lpstr>
      <vt:lpstr>finPNLBusAV3Emp7SalaryExp</vt:lpstr>
      <vt:lpstr>finPNLBusAV3Emp8BusDevTimeExp</vt:lpstr>
      <vt:lpstr>finPNLBusAV3Emp8SalaryExp</vt:lpstr>
      <vt:lpstr>finPNLBusAV3Emp9BusDevTimeExp</vt:lpstr>
      <vt:lpstr>finPNLBusAV3Emp9SalaryExp</vt:lpstr>
      <vt:lpstr>finPNLBusAV3EmpRecDismExp</vt:lpstr>
      <vt:lpstr>finPNLBusAV3FixedAdminExp</vt:lpstr>
      <vt:lpstr>finPNLBusAV3GeneralTrainingExp</vt:lpstr>
      <vt:lpstr>finPNLBusAV3GlobalSalaryExp</vt:lpstr>
      <vt:lpstr>finPNLBusAV3LoadExp</vt:lpstr>
      <vt:lpstr>finPNLBusAV3ModCCI</vt:lpstr>
      <vt:lpstr>finPNLBusAV3OpsMargin</vt:lpstr>
      <vt:lpstr>finPNLBusAV3OpsMarginPct</vt:lpstr>
      <vt:lpstr>finPNLBusAV3OtherExp</vt:lpstr>
      <vt:lpstr>finPNLBusAV3OverheadPctAlloc</vt:lpstr>
      <vt:lpstr>finPNLBusAV3QualityCost</vt:lpstr>
      <vt:lpstr>finPNLBusAV3RDExp</vt:lpstr>
      <vt:lpstr>finPNLBusAV3SpecProgExp</vt:lpstr>
      <vt:lpstr>finPNLBusAV3TotalGeneralTrainingBudgetExpense</vt:lpstr>
      <vt:lpstr>finPNLBusAV3TotalGenMktExp</vt:lpstr>
      <vt:lpstr>finPNLBusAV3TotalOpExp</vt:lpstr>
      <vt:lpstr>finPNLBusAV3TotalSalaryExp</vt:lpstr>
      <vt:lpstr>finPNLBusAV3TtlAdminExp</vt:lpstr>
      <vt:lpstr>finPNLBusAV3UnallocTimeExp</vt:lpstr>
      <vt:lpstr>finPNLBusBEntSvcsV1ExpAlloc</vt:lpstr>
      <vt:lpstr>finPNLBusBEntSvcsV2ExpAlloc</vt:lpstr>
      <vt:lpstr>finPNLBusBEntSvcsV3ExpAlloc</vt:lpstr>
      <vt:lpstr>finPNLBusBOpsImproveExp</vt:lpstr>
      <vt:lpstr>finPNLBusBSpecProgExp</vt:lpstr>
      <vt:lpstr>finPNLBusBTotalBusDevExp</vt:lpstr>
      <vt:lpstr>finPNLBusBTotalCompDevExp</vt:lpstr>
      <vt:lpstr>finPNLBusBTotalCOS</vt:lpstr>
      <vt:lpstr>finPNLBusBTotalEmpAdminExp</vt:lpstr>
      <vt:lpstr>finPNLBusBTotalEntWFExp</vt:lpstr>
      <vt:lpstr>finPNLBusBTotalFixedAdminExp</vt:lpstr>
      <vt:lpstr>finPNLBusBTotalGeneralTrainingBudgetExp</vt:lpstr>
      <vt:lpstr>finPNLBusBTotalGeneralTrainingBudgetExpense</vt:lpstr>
      <vt:lpstr>finPNLBusBTotalGeneralTrainingExp</vt:lpstr>
      <vt:lpstr>finPNLBusBTotalGenMktExp</vt:lpstr>
      <vt:lpstr>finPNLBusBTotalGrossProfit</vt:lpstr>
      <vt:lpstr>finPNLBusBTotalOpExp</vt:lpstr>
      <vt:lpstr>finPNLBusBTotalOpIncome</vt:lpstr>
      <vt:lpstr>finPNLBusBTotalOpMarginPct</vt:lpstr>
      <vt:lpstr>finPNLBusBTotalOtherOpExp</vt:lpstr>
      <vt:lpstr>finPNLBusBTotalQualityCost</vt:lpstr>
      <vt:lpstr>finPNLBusBTotalRecDismExp</vt:lpstr>
      <vt:lpstr>finPNLBusBTotalRev</vt:lpstr>
      <vt:lpstr>finPNLBusBTotalUnallocWFExp</vt:lpstr>
      <vt:lpstr>finPNLBusBV1CompDevExp</vt:lpstr>
      <vt:lpstr>finPNLBusBV1COSExp</vt:lpstr>
      <vt:lpstr>finPNLBusBV1Emp1CompDevExp</vt:lpstr>
      <vt:lpstr>finPNLBusBV1Emp1GeneralTrainingExp</vt:lpstr>
      <vt:lpstr>finPNLBusBV1Emp1OpsImproveExp</vt:lpstr>
      <vt:lpstr>finPNLBusBV1Emp1UnallocTimeExp</vt:lpstr>
      <vt:lpstr>finPNLBusBV1Emp2CompDevExp</vt:lpstr>
      <vt:lpstr>finPNLBusBV1Emp2GeneralTrainingExp</vt:lpstr>
      <vt:lpstr>finPNLBusBV1Emp2OpsImproveExp</vt:lpstr>
      <vt:lpstr>finPNLBusBV1Emp2UnallocTimeExp</vt:lpstr>
      <vt:lpstr>finPNLBusBV1Emp3CompDevExp</vt:lpstr>
      <vt:lpstr>finPNLBusBV1Emp3GeneralTrainingExp</vt:lpstr>
      <vt:lpstr>finPNLBusBV1Emp3OpsImproveExp</vt:lpstr>
      <vt:lpstr>finPNLBusBV1Emp3UnallocTimeExp</vt:lpstr>
      <vt:lpstr>finPNLBusBV1Emp4CompDevExp</vt:lpstr>
      <vt:lpstr>finPNLBusBV1Emp4GeneralTrainingExp</vt:lpstr>
      <vt:lpstr>finPNLBusBV1Emp4OpsImproveExp</vt:lpstr>
      <vt:lpstr>finPNLBusBV1Emp4UnallocTimeExp</vt:lpstr>
      <vt:lpstr>finPNLBusBV1EmpRecDismExp</vt:lpstr>
      <vt:lpstr>finPNLBusBV1FixedAdminExp</vt:lpstr>
      <vt:lpstr>finPNLBusBV1GeneralTrainingBudgetExpense</vt:lpstr>
      <vt:lpstr>finPNLBusBV1GeneralTrainingExp</vt:lpstr>
      <vt:lpstr>finPNLBusBV1GrossMargin</vt:lpstr>
      <vt:lpstr>finPNLBusBV1H1GlobalSalaryExp</vt:lpstr>
      <vt:lpstr>finPNLBusBV1H2GlobalSalaryExp</vt:lpstr>
      <vt:lpstr>finPNLBusBV1H3GlobalSalaryExp</vt:lpstr>
      <vt:lpstr>finPNLBusBV1ModGrossMargin</vt:lpstr>
      <vt:lpstr>finPNLBusBV1OpsImproveExp</vt:lpstr>
      <vt:lpstr>finPNLBusBV1OpsMargin</vt:lpstr>
      <vt:lpstr>finPNLBusBV1OpsMarginPct</vt:lpstr>
      <vt:lpstr>finPNLBusBV1OtherExp</vt:lpstr>
      <vt:lpstr>finPNLBusBV1OverheadPctAlloc</vt:lpstr>
      <vt:lpstr>finPNLBusBV1QualityCost</vt:lpstr>
      <vt:lpstr>finPNLBusBV1Rev</vt:lpstr>
      <vt:lpstr>finPNLBusBV1SpecProgExp</vt:lpstr>
      <vt:lpstr>finPNLBusBV1TotalGenMktExp</vt:lpstr>
      <vt:lpstr>finPNLBusBV1TotalGlobalSalaryExp</vt:lpstr>
      <vt:lpstr>finPNLBusBV1TotalOpExp</vt:lpstr>
      <vt:lpstr>finPNLBusBV1TtlEmpAdminExp</vt:lpstr>
      <vt:lpstr>finPNLBusBV1UnallocTimeExp</vt:lpstr>
      <vt:lpstr>finPNLBusBV2CompDevExp</vt:lpstr>
      <vt:lpstr>finPNLBusBV2COSExp</vt:lpstr>
      <vt:lpstr>finPNLBusBV2Emp1CompDevExp</vt:lpstr>
      <vt:lpstr>finPNLBusBV2Emp1GeneralTrainingExp</vt:lpstr>
      <vt:lpstr>finPNLBusBV2Emp1OpsImproveExp</vt:lpstr>
      <vt:lpstr>finPNLBusBV2Emp1UnallocTimeExp</vt:lpstr>
      <vt:lpstr>finPNLBusBV2Emp2CompDevExp</vt:lpstr>
      <vt:lpstr>finPNLBusBV2Emp2GeneralTrainingExp</vt:lpstr>
      <vt:lpstr>finPNLBusBV2Emp2OpsImproveExp</vt:lpstr>
      <vt:lpstr>finPNLBusBV2Emp2UnallocTimeExp</vt:lpstr>
      <vt:lpstr>finPNLBusBV2Emp3CompDevExp</vt:lpstr>
      <vt:lpstr>finPNLBusBV2Emp3GeneralTrainingExp</vt:lpstr>
      <vt:lpstr>finPNLBusBV2Emp3OpsImproveExp</vt:lpstr>
      <vt:lpstr>finPNLBusBV2Emp3UnallocTimeExp</vt:lpstr>
      <vt:lpstr>finPNLBusBV2Emp4CompDevExp</vt:lpstr>
      <vt:lpstr>finPNLBusBV2Emp4GeneralTrainingExp</vt:lpstr>
      <vt:lpstr>finPNLBusBV2Emp4OpsImproveExp</vt:lpstr>
      <vt:lpstr>finPNLBusBV2Emp4UnallocTimeExp</vt:lpstr>
      <vt:lpstr>finPNLBusBV2EmpRecDismExp</vt:lpstr>
      <vt:lpstr>finPNLBusBV2FixedAdminExp</vt:lpstr>
      <vt:lpstr>finPNLBusBV2GeneralTrainingBudgetExpense</vt:lpstr>
      <vt:lpstr>finPNLBusBV2GeneralTrainingExp</vt:lpstr>
      <vt:lpstr>finPNLBusBV2GrossMargin</vt:lpstr>
      <vt:lpstr>finPNLBusBV2H1GlobalSalaryExp</vt:lpstr>
      <vt:lpstr>finPNLBusBV2H2GlobalSalaryExp</vt:lpstr>
      <vt:lpstr>finPNLBusBV2H3GlobalSalaryExp</vt:lpstr>
      <vt:lpstr>finPNLBusBV2ModGrossMargin</vt:lpstr>
      <vt:lpstr>finPNLBusBV2OpsImproveExp</vt:lpstr>
      <vt:lpstr>finPNLBusBV2OpsMargin</vt:lpstr>
      <vt:lpstr>finPNLBusBV2OpsMarginPct</vt:lpstr>
      <vt:lpstr>finPNLBusBV2OtherExp</vt:lpstr>
      <vt:lpstr>finPNLBusBV2OverheadPctAlloc</vt:lpstr>
      <vt:lpstr>finPNLBusBV2QualityCost</vt:lpstr>
      <vt:lpstr>finPNLBusBV2Rev</vt:lpstr>
      <vt:lpstr>finPNLBusBV2SpecProgExp</vt:lpstr>
      <vt:lpstr>finPNLBusBV2TotalGenMktExp</vt:lpstr>
      <vt:lpstr>finPNLBusBV2TotalGlobalSalaryExp</vt:lpstr>
      <vt:lpstr>finPNLBusBV2TotalOpExp</vt:lpstr>
      <vt:lpstr>finPNLBusBV2TtlEmpAdminExp</vt:lpstr>
      <vt:lpstr>finPNLBusBV2UnallocTimeExp</vt:lpstr>
      <vt:lpstr>finPNLBusBV3CompDevExp</vt:lpstr>
      <vt:lpstr>finPNLBusBV3COSExp</vt:lpstr>
      <vt:lpstr>finPNLBusBV3Emp1CompDevExp</vt:lpstr>
      <vt:lpstr>finPNLBusBV3Emp1GeneralTrainingExp</vt:lpstr>
      <vt:lpstr>finPNLBusBV3Emp1OpsImproveExp</vt:lpstr>
      <vt:lpstr>finPNLBusBV3Emp1UnallocTimeExp</vt:lpstr>
      <vt:lpstr>finPNLBusBV3Emp2CompDevExp</vt:lpstr>
      <vt:lpstr>finPNLBusBV3Emp2GeneralTrainingExp</vt:lpstr>
      <vt:lpstr>finPNLBusBV3Emp2OpsImproveExp</vt:lpstr>
      <vt:lpstr>finPNLBusBV3Emp2UnallocTimeExp</vt:lpstr>
      <vt:lpstr>finPNLBusBV3Emp3CompDevExp</vt:lpstr>
      <vt:lpstr>finPNLBusBV3Emp3GeneralTrainingExp</vt:lpstr>
      <vt:lpstr>finPNLBusBV3Emp3OpsImproveExp</vt:lpstr>
      <vt:lpstr>finPNLBusBV3Emp3UnallocTimeExp</vt:lpstr>
      <vt:lpstr>finPNLBusBV3Emp4CompDevExp</vt:lpstr>
      <vt:lpstr>finPNLBusBV3Emp4GeneralTrainingExp</vt:lpstr>
      <vt:lpstr>finPNLBusBV3Emp4OpsImproveExp</vt:lpstr>
      <vt:lpstr>finPNLBusBV3Emp4UnallocTimeExp</vt:lpstr>
      <vt:lpstr>finPNLBusBV3EmpRecDismExp</vt:lpstr>
      <vt:lpstr>finPNLBusBV3FixedAdminExp</vt:lpstr>
      <vt:lpstr>finPNLBusBV3GeneralTrainingBudgetExpense</vt:lpstr>
      <vt:lpstr>finPNLBusBV3GeneralTrainingExp</vt:lpstr>
      <vt:lpstr>finPNLBusBV3GrossMargin</vt:lpstr>
      <vt:lpstr>finPNLBusBV3H1GlobalSalaryExp</vt:lpstr>
      <vt:lpstr>finPNLBusBV3H2GlobalSalaryExp</vt:lpstr>
      <vt:lpstr>finPNLBusBV3H3GlobalSalaryExp</vt:lpstr>
      <vt:lpstr>finPNLBusBV3ModGrossMargin</vt:lpstr>
      <vt:lpstr>finPNLBusBV3OpsImproveExp</vt:lpstr>
      <vt:lpstr>finPNLBusBV3OpsMargin</vt:lpstr>
      <vt:lpstr>finPNLBusBV3OpsMarginPct</vt:lpstr>
      <vt:lpstr>finPNLBusBV3OtherExp</vt:lpstr>
      <vt:lpstr>finPNLBusBV3OverheadPctAlloc</vt:lpstr>
      <vt:lpstr>finPNLBusBV3QualityCost</vt:lpstr>
      <vt:lpstr>finPNLBusBV3Rev</vt:lpstr>
      <vt:lpstr>finPNLBusBV3SpecProgExp</vt:lpstr>
      <vt:lpstr>finPNLBusBV3TotalGenMktExp</vt:lpstr>
      <vt:lpstr>finPNLBusBV3TotalGlobalSalaryExp</vt:lpstr>
      <vt:lpstr>finPNLBusBV3TotalOpExp</vt:lpstr>
      <vt:lpstr>finPNLBusBV3TtlEmpAdminExp</vt:lpstr>
      <vt:lpstr>finPNLBusBV3UnallocTimeExp</vt:lpstr>
      <vt:lpstr>finPNLIndustryEminenceExp</vt:lpstr>
      <vt:lpstr>finPNLInternalAssetsExp</vt:lpstr>
      <vt:lpstr>finPNLNetIncome</vt:lpstr>
      <vt:lpstr>finPNLOpsImproveExp</vt:lpstr>
      <vt:lpstr>finPNLProd1Bookings</vt:lpstr>
      <vt:lpstr>finPNLProd1Rev</vt:lpstr>
      <vt:lpstr>finPNLProd1V1Bookings</vt:lpstr>
      <vt:lpstr>finPNLProd1V1Rev</vt:lpstr>
      <vt:lpstr>finPNLProd1V2Bookings</vt:lpstr>
      <vt:lpstr>finPNLProd1V2Rev</vt:lpstr>
      <vt:lpstr>finPNLProd1V3Bookings</vt:lpstr>
      <vt:lpstr>finPNLProd1V3Rev</vt:lpstr>
      <vt:lpstr>finPNLRDExp</vt:lpstr>
      <vt:lpstr>finPNLSpecProgExp</vt:lpstr>
      <vt:lpstr>finPNLTotalBusDevExp</vt:lpstr>
      <vt:lpstr>finPNLTotalCOSExp</vt:lpstr>
      <vt:lpstr>finPNLTotalDeprExp</vt:lpstr>
      <vt:lpstr>finPNLTotalDirectDeliveryExp</vt:lpstr>
      <vt:lpstr>finPNLTotalEmpAdminExp</vt:lpstr>
      <vt:lpstr>finPNLTotalEntWFExp</vt:lpstr>
      <vt:lpstr>finPNLTotalFixedAdminExp</vt:lpstr>
      <vt:lpstr>finPNLTotalGeneralTrainingBudgetExp</vt:lpstr>
      <vt:lpstr>finPNLTotalGeneralTrainingExp</vt:lpstr>
      <vt:lpstr>finPNLTotalGenMktExp</vt:lpstr>
      <vt:lpstr>finPNLTotalGlobalWFExp</vt:lpstr>
      <vt:lpstr>finPNLTotalGrossProfit</vt:lpstr>
      <vt:lpstr>finPNLTotalInterestExp</vt:lpstr>
      <vt:lpstr>finPNLTotalMSExp</vt:lpstr>
      <vt:lpstr>finPNLTotalOpExp</vt:lpstr>
      <vt:lpstr>finPNLTotalOpIncome</vt:lpstr>
      <vt:lpstr>finPNLTotalOtherOpExp</vt:lpstr>
      <vt:lpstr>finPNLTotalQualityCost</vt:lpstr>
      <vt:lpstr>finPNLTotalRecDismExp</vt:lpstr>
      <vt:lpstr>finPNLTotalRev</vt:lpstr>
      <vt:lpstr>finPNLTotalTaxes</vt:lpstr>
      <vt:lpstr>finPNLTotalUnallocWFExp</vt:lpstr>
      <vt:lpstr>finProfitMargin</vt:lpstr>
      <vt:lpstr>finRetEarnChange</vt:lpstr>
      <vt:lpstr>finROA</vt:lpstr>
      <vt:lpstr>finStockchange</vt:lpstr>
      <vt:lpstr>FMATBGround</vt:lpstr>
      <vt:lpstr>FMATDAReaBorder</vt:lpstr>
      <vt:lpstr>FMATDAreaBorderHeader</vt:lpstr>
      <vt:lpstr>FMATDAreaColor</vt:lpstr>
      <vt:lpstr>FMATDAreaColorHeader</vt:lpstr>
      <vt:lpstr>FMATDAreaFont</vt:lpstr>
      <vt:lpstr>FMATDAreaFontHeader</vt:lpstr>
      <vt:lpstr>FMATDBoardBorder</vt:lpstr>
      <vt:lpstr>FMATDBoardColor</vt:lpstr>
      <vt:lpstr>FMATDBoardFont</vt:lpstr>
      <vt:lpstr>FMATDCellBorder</vt:lpstr>
      <vt:lpstr>FMATDCellColor</vt:lpstr>
      <vt:lpstr>FMATDCellFont</vt:lpstr>
      <vt:lpstr>FMATRAreaBorder</vt:lpstr>
      <vt:lpstr>FMATRAreaBorderHeader</vt:lpstr>
      <vt:lpstr>FMATRAreaColor</vt:lpstr>
      <vt:lpstr>FMATRAreaColorHeader</vt:lpstr>
      <vt:lpstr>FMATRAreaFont</vt:lpstr>
      <vt:lpstr>FMATRAreaFontHeader</vt:lpstr>
      <vt:lpstr>frmNavControlsButtonLabels</vt:lpstr>
      <vt:lpstr>tlPeople!HideColtoolPrograms</vt:lpstr>
      <vt:lpstr>HideColtoolPrograms</vt:lpstr>
      <vt:lpstr>icon_macro0</vt:lpstr>
      <vt:lpstr>icon_macro1</vt:lpstr>
      <vt:lpstr>icon_macro10</vt:lpstr>
      <vt:lpstr>icon_macro11</vt:lpstr>
      <vt:lpstr>icon_macro12</vt:lpstr>
      <vt:lpstr>icon_macro13</vt:lpstr>
      <vt:lpstr>icon_macro14</vt:lpstr>
      <vt:lpstr>icon_macro15</vt:lpstr>
      <vt:lpstr>icon_macro16</vt:lpstr>
      <vt:lpstr>icon_macro17</vt:lpstr>
      <vt:lpstr>icon_macro18</vt:lpstr>
      <vt:lpstr>icon_macro19</vt:lpstr>
      <vt:lpstr>icon_macro2</vt:lpstr>
      <vt:lpstr>icon_macro20</vt:lpstr>
      <vt:lpstr>icon_macro21</vt:lpstr>
      <vt:lpstr>icon_macro22</vt:lpstr>
      <vt:lpstr>icon_macro23</vt:lpstr>
      <vt:lpstr>icon_macro24</vt:lpstr>
      <vt:lpstr>icon_macro25</vt:lpstr>
      <vt:lpstr>icon_macro26</vt:lpstr>
      <vt:lpstr>icon_macro27</vt:lpstr>
      <vt:lpstr>icon_macro28</vt:lpstr>
      <vt:lpstr>icon_macro29</vt:lpstr>
      <vt:lpstr>icon_macro3</vt:lpstr>
      <vt:lpstr>icon_macro30</vt:lpstr>
      <vt:lpstr>icon_macro31</vt:lpstr>
      <vt:lpstr>icon_macro32</vt:lpstr>
      <vt:lpstr>icon_macro33</vt:lpstr>
      <vt:lpstr>icon_macro34</vt:lpstr>
      <vt:lpstr>icon_macro35</vt:lpstr>
      <vt:lpstr>icon_macro36</vt:lpstr>
      <vt:lpstr>icon_macro37</vt:lpstr>
      <vt:lpstr>icon_macro38</vt:lpstr>
      <vt:lpstr>icon_macro39</vt:lpstr>
      <vt:lpstr>icon_macro4</vt:lpstr>
      <vt:lpstr>icon_macro40</vt:lpstr>
      <vt:lpstr>icon_macro41</vt:lpstr>
      <vt:lpstr>icon_macro42</vt:lpstr>
      <vt:lpstr>icon_macro43</vt:lpstr>
      <vt:lpstr>icon_macro44</vt:lpstr>
      <vt:lpstr>icon_macro45</vt:lpstr>
      <vt:lpstr>icon_macro46</vt:lpstr>
      <vt:lpstr>icon_macro47</vt:lpstr>
      <vt:lpstr>icon_macro48</vt:lpstr>
      <vt:lpstr>icon_macro49</vt:lpstr>
      <vt:lpstr>icon_macro5</vt:lpstr>
      <vt:lpstr>icon_macro50</vt:lpstr>
      <vt:lpstr>icon_macro51</vt:lpstr>
      <vt:lpstr>icon_macro52</vt:lpstr>
      <vt:lpstr>icon_macro53</vt:lpstr>
      <vt:lpstr>icon_macro54</vt:lpstr>
      <vt:lpstr>icon_macro55</vt:lpstr>
      <vt:lpstr>icon_macro56</vt:lpstr>
      <vt:lpstr>icon_macro57</vt:lpstr>
      <vt:lpstr>icon_macro58</vt:lpstr>
      <vt:lpstr>icon_macro59</vt:lpstr>
      <vt:lpstr>icon_macro6</vt:lpstr>
      <vt:lpstr>icon_macro60</vt:lpstr>
      <vt:lpstr>icon_macro61</vt:lpstr>
      <vt:lpstr>icon_macro62</vt:lpstr>
      <vt:lpstr>icon_macro63</vt:lpstr>
      <vt:lpstr>icon_macro64</vt:lpstr>
      <vt:lpstr>icon_macro65</vt:lpstr>
      <vt:lpstr>icon_macro67</vt:lpstr>
      <vt:lpstr>icon_macro68</vt:lpstr>
      <vt:lpstr>icon_macro69</vt:lpstr>
      <vt:lpstr>icon_macro7</vt:lpstr>
      <vt:lpstr>icon_macro70</vt:lpstr>
      <vt:lpstr>icon_macro71</vt:lpstr>
      <vt:lpstr>icon_macro72</vt:lpstr>
      <vt:lpstr>icon_macro8</vt:lpstr>
      <vt:lpstr>icon_macro9</vt:lpstr>
      <vt:lpstr>icon_script1</vt:lpstr>
      <vt:lpstr>icon_script10</vt:lpstr>
      <vt:lpstr>icon_script11</vt:lpstr>
      <vt:lpstr>icon_script12</vt:lpstr>
      <vt:lpstr>icon_script13</vt:lpstr>
      <vt:lpstr>icon_script14</vt:lpstr>
      <vt:lpstr>icon_script15</vt:lpstr>
      <vt:lpstr>icon_script16</vt:lpstr>
      <vt:lpstr>icon_script17</vt:lpstr>
      <vt:lpstr>icon_script18</vt:lpstr>
      <vt:lpstr>icon_script19</vt:lpstr>
      <vt:lpstr>icon_script2</vt:lpstr>
      <vt:lpstr>icon_script20</vt:lpstr>
      <vt:lpstr>icon_script21</vt:lpstr>
      <vt:lpstr>icon_script22</vt:lpstr>
      <vt:lpstr>icon_script23</vt:lpstr>
      <vt:lpstr>icon_script24</vt:lpstr>
      <vt:lpstr>icon_script25</vt:lpstr>
      <vt:lpstr>icon_script26</vt:lpstr>
      <vt:lpstr>icon_script27</vt:lpstr>
      <vt:lpstr>icon_script28</vt:lpstr>
      <vt:lpstr>icon_script29</vt:lpstr>
      <vt:lpstr>icon_script3</vt:lpstr>
      <vt:lpstr>icon_script30</vt:lpstr>
      <vt:lpstr>icon_script31</vt:lpstr>
      <vt:lpstr>icon_script32</vt:lpstr>
      <vt:lpstr>icon_script33</vt:lpstr>
      <vt:lpstr>icon_script34</vt:lpstr>
      <vt:lpstr>icon_script35</vt:lpstr>
      <vt:lpstr>icon_script36</vt:lpstr>
      <vt:lpstr>icon_script37</vt:lpstr>
      <vt:lpstr>icon_script38</vt:lpstr>
      <vt:lpstr>icon_script39</vt:lpstr>
      <vt:lpstr>icon_script4</vt:lpstr>
      <vt:lpstr>icon_script40</vt:lpstr>
      <vt:lpstr>icon_script41</vt:lpstr>
      <vt:lpstr>icon_script42</vt:lpstr>
      <vt:lpstr>icon_script43</vt:lpstr>
      <vt:lpstr>icon_script44</vt:lpstr>
      <vt:lpstr>icon_script45</vt:lpstr>
      <vt:lpstr>icon_script46</vt:lpstr>
      <vt:lpstr>icon_script47</vt:lpstr>
      <vt:lpstr>icon_script48</vt:lpstr>
      <vt:lpstr>icon_script49</vt:lpstr>
      <vt:lpstr>icon_script5</vt:lpstr>
      <vt:lpstr>icon_script50</vt:lpstr>
      <vt:lpstr>icon_script51</vt:lpstr>
      <vt:lpstr>icon_script52</vt:lpstr>
      <vt:lpstr>icon_script53</vt:lpstr>
      <vt:lpstr>icon_script54</vt:lpstr>
      <vt:lpstr>icon_script55</vt:lpstr>
      <vt:lpstr>icon_script56</vt:lpstr>
      <vt:lpstr>icon_script57</vt:lpstr>
      <vt:lpstr>icon_script58</vt:lpstr>
      <vt:lpstr>icon_script59</vt:lpstr>
      <vt:lpstr>icon_script6</vt:lpstr>
      <vt:lpstr>icon_script60</vt:lpstr>
      <vt:lpstr>icon_script61</vt:lpstr>
      <vt:lpstr>icon_script62</vt:lpstr>
      <vt:lpstr>icon_script63</vt:lpstr>
      <vt:lpstr>icon_script64</vt:lpstr>
      <vt:lpstr>icon_script65</vt:lpstr>
      <vt:lpstr>icon_script66</vt:lpstr>
      <vt:lpstr>icon_script67</vt:lpstr>
      <vt:lpstr>icon_script68</vt:lpstr>
      <vt:lpstr>icon_script69</vt:lpstr>
      <vt:lpstr>icon_script7</vt:lpstr>
      <vt:lpstr>icon_script70</vt:lpstr>
      <vt:lpstr>icon_script71</vt:lpstr>
      <vt:lpstr>icon_script72</vt:lpstr>
      <vt:lpstr>icon_script8</vt:lpstr>
      <vt:lpstr>icon_script9</vt:lpstr>
      <vt:lpstr>icon1</vt:lpstr>
      <vt:lpstr>icon1_light</vt:lpstr>
      <vt:lpstr>icon10</vt:lpstr>
      <vt:lpstr>icon10_light</vt:lpstr>
      <vt:lpstr>icon11</vt:lpstr>
      <vt:lpstr>icon11_light</vt:lpstr>
      <vt:lpstr>icon12</vt:lpstr>
      <vt:lpstr>icon12_light</vt:lpstr>
      <vt:lpstr>icon13</vt:lpstr>
      <vt:lpstr>icon13_light</vt:lpstr>
      <vt:lpstr>icon14</vt:lpstr>
      <vt:lpstr>icon14_light</vt:lpstr>
      <vt:lpstr>icon15</vt:lpstr>
      <vt:lpstr>icon15_light</vt:lpstr>
      <vt:lpstr>icon16</vt:lpstr>
      <vt:lpstr>icon16_light</vt:lpstr>
      <vt:lpstr>icon17</vt:lpstr>
      <vt:lpstr>icon17_light</vt:lpstr>
      <vt:lpstr>icon18</vt:lpstr>
      <vt:lpstr>icon18_light</vt:lpstr>
      <vt:lpstr>icon19</vt:lpstr>
      <vt:lpstr>icon19_light</vt:lpstr>
      <vt:lpstr>icon2</vt:lpstr>
      <vt:lpstr>icon2_light</vt:lpstr>
      <vt:lpstr>icon20</vt:lpstr>
      <vt:lpstr>icon20_light</vt:lpstr>
      <vt:lpstr>icon21</vt:lpstr>
      <vt:lpstr>icon21_light</vt:lpstr>
      <vt:lpstr>icon22</vt:lpstr>
      <vt:lpstr>icon22_light</vt:lpstr>
      <vt:lpstr>icon23</vt:lpstr>
      <vt:lpstr>icon23_light</vt:lpstr>
      <vt:lpstr>icon24</vt:lpstr>
      <vt:lpstr>icon24_light</vt:lpstr>
      <vt:lpstr>icon25</vt:lpstr>
      <vt:lpstr>icon25_light</vt:lpstr>
      <vt:lpstr>icon26</vt:lpstr>
      <vt:lpstr>icon26_light</vt:lpstr>
      <vt:lpstr>icon27</vt:lpstr>
      <vt:lpstr>icon27_light</vt:lpstr>
      <vt:lpstr>icon28</vt:lpstr>
      <vt:lpstr>icon28_light</vt:lpstr>
      <vt:lpstr>icon29</vt:lpstr>
      <vt:lpstr>icon29_light</vt:lpstr>
      <vt:lpstr>icon3</vt:lpstr>
      <vt:lpstr>icon3_light</vt:lpstr>
      <vt:lpstr>icon30</vt:lpstr>
      <vt:lpstr>icon30_light</vt:lpstr>
      <vt:lpstr>icon31</vt:lpstr>
      <vt:lpstr>icon31_light</vt:lpstr>
      <vt:lpstr>icon32</vt:lpstr>
      <vt:lpstr>icon32_light</vt:lpstr>
      <vt:lpstr>icon33</vt:lpstr>
      <vt:lpstr>icon33_light</vt:lpstr>
      <vt:lpstr>icon34</vt:lpstr>
      <vt:lpstr>icon34_light</vt:lpstr>
      <vt:lpstr>icon35</vt:lpstr>
      <vt:lpstr>icon35_light</vt:lpstr>
      <vt:lpstr>icon36</vt:lpstr>
      <vt:lpstr>icon36_light</vt:lpstr>
      <vt:lpstr>icon37</vt:lpstr>
      <vt:lpstr>icon37_light</vt:lpstr>
      <vt:lpstr>icon38</vt:lpstr>
      <vt:lpstr>icon38_light</vt:lpstr>
      <vt:lpstr>icon39</vt:lpstr>
      <vt:lpstr>icon39_light</vt:lpstr>
      <vt:lpstr>icon4</vt:lpstr>
      <vt:lpstr>icon4_light</vt:lpstr>
      <vt:lpstr>icon40</vt:lpstr>
      <vt:lpstr>icon40_light</vt:lpstr>
      <vt:lpstr>icon41</vt:lpstr>
      <vt:lpstr>icon41_light</vt:lpstr>
      <vt:lpstr>icon42</vt:lpstr>
      <vt:lpstr>icon42_light</vt:lpstr>
      <vt:lpstr>icon43</vt:lpstr>
      <vt:lpstr>icon43_light</vt:lpstr>
      <vt:lpstr>icon44</vt:lpstr>
      <vt:lpstr>icon44_light</vt:lpstr>
      <vt:lpstr>icon45</vt:lpstr>
      <vt:lpstr>icon45_light</vt:lpstr>
      <vt:lpstr>icon46</vt:lpstr>
      <vt:lpstr>icon46_light</vt:lpstr>
      <vt:lpstr>icon47</vt:lpstr>
      <vt:lpstr>icon47_light</vt:lpstr>
      <vt:lpstr>icon48</vt:lpstr>
      <vt:lpstr>icon48_light</vt:lpstr>
      <vt:lpstr>icon49</vt:lpstr>
      <vt:lpstr>icon49_light</vt:lpstr>
      <vt:lpstr>icon5</vt:lpstr>
      <vt:lpstr>icon5_light</vt:lpstr>
      <vt:lpstr>icon50</vt:lpstr>
      <vt:lpstr>icon50_light</vt:lpstr>
      <vt:lpstr>icon51</vt:lpstr>
      <vt:lpstr>icon51_light</vt:lpstr>
      <vt:lpstr>icon52</vt:lpstr>
      <vt:lpstr>icon52_light</vt:lpstr>
      <vt:lpstr>icon53</vt:lpstr>
      <vt:lpstr>icon53_light</vt:lpstr>
      <vt:lpstr>icon54</vt:lpstr>
      <vt:lpstr>icon54_light</vt:lpstr>
      <vt:lpstr>icon55</vt:lpstr>
      <vt:lpstr>icon55_light</vt:lpstr>
      <vt:lpstr>icon56</vt:lpstr>
      <vt:lpstr>icon56_light</vt:lpstr>
      <vt:lpstr>icon57</vt:lpstr>
      <vt:lpstr>icon57_light</vt:lpstr>
      <vt:lpstr>icon58</vt:lpstr>
      <vt:lpstr>icon58_light</vt:lpstr>
      <vt:lpstr>icon59</vt:lpstr>
      <vt:lpstr>icon59_light</vt:lpstr>
      <vt:lpstr>icon6</vt:lpstr>
      <vt:lpstr>icon6_light</vt:lpstr>
      <vt:lpstr>icon60</vt:lpstr>
      <vt:lpstr>icon60_light</vt:lpstr>
      <vt:lpstr>icon61</vt:lpstr>
      <vt:lpstr>icon61_light</vt:lpstr>
      <vt:lpstr>icon62</vt:lpstr>
      <vt:lpstr>icon62_light</vt:lpstr>
      <vt:lpstr>icon63</vt:lpstr>
      <vt:lpstr>icon63_light</vt:lpstr>
      <vt:lpstr>icon64</vt:lpstr>
      <vt:lpstr>icon64_light</vt:lpstr>
      <vt:lpstr>icon65</vt:lpstr>
      <vt:lpstr>icon65_light</vt:lpstr>
      <vt:lpstr>icon66</vt:lpstr>
      <vt:lpstr>icon66_light</vt:lpstr>
      <vt:lpstr>icon67</vt:lpstr>
      <vt:lpstr>icon67_light</vt:lpstr>
      <vt:lpstr>icon68</vt:lpstr>
      <vt:lpstr>icon68_light</vt:lpstr>
      <vt:lpstr>icon69</vt:lpstr>
      <vt:lpstr>icon69_light</vt:lpstr>
      <vt:lpstr>icon7</vt:lpstr>
      <vt:lpstr>icon7_light</vt:lpstr>
      <vt:lpstr>icon70</vt:lpstr>
      <vt:lpstr>icon70_light</vt:lpstr>
      <vt:lpstr>icon71</vt:lpstr>
      <vt:lpstr>icon71_light</vt:lpstr>
      <vt:lpstr>icon72</vt:lpstr>
      <vt:lpstr>icon72_light</vt:lpstr>
      <vt:lpstr>icon8</vt:lpstr>
      <vt:lpstr>icon8_light</vt:lpstr>
      <vt:lpstr>icon9</vt:lpstr>
      <vt:lpstr>icon9_light</vt:lpstr>
      <vt:lpstr>ImportExportCSV_BalSheetClosing</vt:lpstr>
      <vt:lpstr>ImportExportCSV_BalSheetOnObal</vt:lpstr>
      <vt:lpstr>ImportExportCSV_BalSheetOpening</vt:lpstr>
      <vt:lpstr>label1_text</vt:lpstr>
      <vt:lpstr>label10_text</vt:lpstr>
      <vt:lpstr>label11_text</vt:lpstr>
      <vt:lpstr>label12_text</vt:lpstr>
      <vt:lpstr>label13_text</vt:lpstr>
      <vt:lpstr>label14_text</vt:lpstr>
      <vt:lpstr>label15_text</vt:lpstr>
      <vt:lpstr>label16_text</vt:lpstr>
      <vt:lpstr>label17_text</vt:lpstr>
      <vt:lpstr>label18_text</vt:lpstr>
      <vt:lpstr>label19_text</vt:lpstr>
      <vt:lpstr>label2_text</vt:lpstr>
      <vt:lpstr>label20_text</vt:lpstr>
      <vt:lpstr>label21_text</vt:lpstr>
      <vt:lpstr>label22_text</vt:lpstr>
      <vt:lpstr>label23_text</vt:lpstr>
      <vt:lpstr>label24_text</vt:lpstr>
      <vt:lpstr>label25_text</vt:lpstr>
      <vt:lpstr>label26_text</vt:lpstr>
      <vt:lpstr>label27_text</vt:lpstr>
      <vt:lpstr>label28_text</vt:lpstr>
      <vt:lpstr>label29_text</vt:lpstr>
      <vt:lpstr>label3_text</vt:lpstr>
      <vt:lpstr>label30_text</vt:lpstr>
      <vt:lpstr>label31_text</vt:lpstr>
      <vt:lpstr>label32_text</vt:lpstr>
      <vt:lpstr>label33_text</vt:lpstr>
      <vt:lpstr>label34_text</vt:lpstr>
      <vt:lpstr>label35_text</vt:lpstr>
      <vt:lpstr>label36_text</vt:lpstr>
      <vt:lpstr>label37_text</vt:lpstr>
      <vt:lpstr>label38_text</vt:lpstr>
      <vt:lpstr>label39_text</vt:lpstr>
      <vt:lpstr>label4_text</vt:lpstr>
      <vt:lpstr>label40_text</vt:lpstr>
      <vt:lpstr>label41_text</vt:lpstr>
      <vt:lpstr>label42_text</vt:lpstr>
      <vt:lpstr>label43_text</vt:lpstr>
      <vt:lpstr>label44_text</vt:lpstr>
      <vt:lpstr>label45_text</vt:lpstr>
      <vt:lpstr>label46_text</vt:lpstr>
      <vt:lpstr>label47_text</vt:lpstr>
      <vt:lpstr>label48_text</vt:lpstr>
      <vt:lpstr>label49_text</vt:lpstr>
      <vt:lpstr>label5_text</vt:lpstr>
      <vt:lpstr>label50_text</vt:lpstr>
      <vt:lpstr>label51_text</vt:lpstr>
      <vt:lpstr>label52_text</vt:lpstr>
      <vt:lpstr>label53_text</vt:lpstr>
      <vt:lpstr>label54_text</vt:lpstr>
      <vt:lpstr>label55_text</vt:lpstr>
      <vt:lpstr>label56_text</vt:lpstr>
      <vt:lpstr>label57_text</vt:lpstr>
      <vt:lpstr>label58_text</vt:lpstr>
      <vt:lpstr>label59_text</vt:lpstr>
      <vt:lpstr>label6_text</vt:lpstr>
      <vt:lpstr>label60_text</vt:lpstr>
      <vt:lpstr>label61_text</vt:lpstr>
      <vt:lpstr>label62_text</vt:lpstr>
      <vt:lpstr>label63_text</vt:lpstr>
      <vt:lpstr>label64_text</vt:lpstr>
      <vt:lpstr>label65_text</vt:lpstr>
      <vt:lpstr>label66_text</vt:lpstr>
      <vt:lpstr>label67_text</vt:lpstr>
      <vt:lpstr>label68_text</vt:lpstr>
      <vt:lpstr>label69_text</vt:lpstr>
      <vt:lpstr>label7_text</vt:lpstr>
      <vt:lpstr>label70_text</vt:lpstr>
      <vt:lpstr>label71_text</vt:lpstr>
      <vt:lpstr>label72_text</vt:lpstr>
      <vt:lpstr>label8_text</vt:lpstr>
      <vt:lpstr>label9_text</vt:lpstr>
      <vt:lpstr>listDataSpecProgs</vt:lpstr>
      <vt:lpstr>listDataSpecProgsCode</vt:lpstr>
      <vt:lpstr>listDataSpecProgsNames</vt:lpstr>
      <vt:lpstr>listDataSpecProgsTemp</vt:lpstr>
      <vt:lpstr>listDataSpecProgsTempRows</vt:lpstr>
      <vt:lpstr>ManualAdjClearAdjCostReduction</vt:lpstr>
      <vt:lpstr>ManualAdjClearAdjPeople</vt:lpstr>
      <vt:lpstr>ManualAdjClearAdjProd1</vt:lpstr>
      <vt:lpstr>ManualAdjClearAdjProd2</vt:lpstr>
      <vt:lpstr>ManualAdjClearAdjProd3</vt:lpstr>
      <vt:lpstr>ManualAdjClearAdjProd4</vt:lpstr>
      <vt:lpstr>ManualAdjClearAdjProd5</vt:lpstr>
      <vt:lpstr>MENU1CBar</vt:lpstr>
      <vt:lpstr>MENU1MenuItems</vt:lpstr>
      <vt:lpstr>MENU1Menus</vt:lpstr>
      <vt:lpstr>MENU1SubMenuItems</vt:lpstr>
      <vt:lpstr>MENU2CBar</vt:lpstr>
      <vt:lpstr>MENU2MenuItems</vt:lpstr>
      <vt:lpstr>MENU2Menus</vt:lpstr>
      <vt:lpstr>MENU2SubMenuItems</vt:lpstr>
      <vt:lpstr>menuActActive</vt:lpstr>
      <vt:lpstr>menuActionActive</vt:lpstr>
      <vt:lpstr>menuActionList</vt:lpstr>
      <vt:lpstr>menuActionMacro</vt:lpstr>
      <vt:lpstr>menuActionMacroActive</vt:lpstr>
      <vt:lpstr>menuActList</vt:lpstr>
      <vt:lpstr>menuActMacro</vt:lpstr>
      <vt:lpstr>menuDecsActive</vt:lpstr>
      <vt:lpstr>menuDecsList</vt:lpstr>
      <vt:lpstr>menuDecsMacro</vt:lpstr>
      <vt:lpstr>menuDecsMacroActive</vt:lpstr>
      <vt:lpstr>menuEngActive</vt:lpstr>
      <vt:lpstr>MenuEngList</vt:lpstr>
      <vt:lpstr>menuEngMacro</vt:lpstr>
      <vt:lpstr>menuFinancialActive</vt:lpstr>
      <vt:lpstr>MenuFinancialList</vt:lpstr>
      <vt:lpstr>menuFinancialMacro</vt:lpstr>
      <vt:lpstr>menuFinancialMacroActive</vt:lpstr>
      <vt:lpstr>obalAPValue</vt:lpstr>
      <vt:lpstr>obalARValue</vt:lpstr>
      <vt:lpstr>obalAssetsValue</vt:lpstr>
      <vt:lpstr>obalAvgTrainingBudgetDelta</vt:lpstr>
      <vt:lpstr>obalBookings</vt:lpstr>
      <vt:lpstr>obalBusABusDevNonPayroll</vt:lpstr>
      <vt:lpstr>obalBusACompDev</vt:lpstr>
      <vt:lpstr>obalBusACompDevCurrYrTotal</vt:lpstr>
      <vt:lpstr>obalBusACompDevV1</vt:lpstr>
      <vt:lpstr>obalBusACompDevV2</vt:lpstr>
      <vt:lpstr>obalBusACompDevV3</vt:lpstr>
      <vt:lpstr>obalBusAEmp1</vt:lpstr>
      <vt:lpstr>obalBusAEmp1IndAvgUtiliz</vt:lpstr>
      <vt:lpstr>obalBusAEmp1Recruited</vt:lpstr>
      <vt:lpstr>obalBusAEmp1Utiliz</vt:lpstr>
      <vt:lpstr>obalBusAEmp2</vt:lpstr>
      <vt:lpstr>obalBusAEmp2IndAvgUtiliz</vt:lpstr>
      <vt:lpstr>obalBusAEmp2Recruited</vt:lpstr>
      <vt:lpstr>obalBusAEmp2Utiliz</vt:lpstr>
      <vt:lpstr>obalBusAEmp2UtilizY1</vt:lpstr>
      <vt:lpstr>obalBusAEmp2UtilizY2</vt:lpstr>
      <vt:lpstr>obalBusAEmp3</vt:lpstr>
      <vt:lpstr>obalBusAEmp3IndAvgUtiliz</vt:lpstr>
      <vt:lpstr>obalBusAEmp3Recruited</vt:lpstr>
      <vt:lpstr>obalBusAEmp3Utiliz</vt:lpstr>
      <vt:lpstr>obalBusAEmp3UtilizY1</vt:lpstr>
      <vt:lpstr>obalBusAEmp3UtilizY2</vt:lpstr>
      <vt:lpstr>obalBusAEmp4</vt:lpstr>
      <vt:lpstr>obalBusAEmp4IndAvgUtiliz</vt:lpstr>
      <vt:lpstr>obalBusAEmp4Recruited</vt:lpstr>
      <vt:lpstr>obalBusAEmp4Utiliz</vt:lpstr>
      <vt:lpstr>obalBusAEmp4UtilizY1</vt:lpstr>
      <vt:lpstr>obalBusAEmp4UtilizY2</vt:lpstr>
      <vt:lpstr>obalBusAEmp7</vt:lpstr>
      <vt:lpstr>obalBusAEmp7Utiliz</vt:lpstr>
      <vt:lpstr>obalBusAEmp8</vt:lpstr>
      <vt:lpstr>obalBusAEmp8Utiliz</vt:lpstr>
      <vt:lpstr>obalBusAEmp9</vt:lpstr>
      <vt:lpstr>obalBusAEmp9Utiliz</vt:lpstr>
      <vt:lpstr>obalBusAEmp9UtilizY1</vt:lpstr>
      <vt:lpstr>obalBusAEmp9UtilizY2</vt:lpstr>
      <vt:lpstr>obalBusALocalPerCostReduce</vt:lpstr>
      <vt:lpstr>obalBusAOverallConsUtil</vt:lpstr>
      <vt:lpstr>obalBusAOverallSolnWFUtil</vt:lpstr>
      <vt:lpstr>obalBusARevenue</vt:lpstr>
      <vt:lpstr>obalBusATLV1</vt:lpstr>
      <vt:lpstr>obalBusATLV2</vt:lpstr>
      <vt:lpstr>obalBusATLV3</vt:lpstr>
      <vt:lpstr>obalBusATotalCurrentRev</vt:lpstr>
      <vt:lpstr>obalBusAV1ControllableIncome</vt:lpstr>
      <vt:lpstr>obalBusAV1HrsSold</vt:lpstr>
      <vt:lpstr>obalBusAV1MktShr</vt:lpstr>
      <vt:lpstr>obalBusAV1PricePerHr</vt:lpstr>
      <vt:lpstr>obalBusAV1Y1Rev</vt:lpstr>
      <vt:lpstr>obalBusAV1Y2Rev</vt:lpstr>
      <vt:lpstr>obalBusAV1Y3Rev</vt:lpstr>
      <vt:lpstr>obalBusAV2ControllableIncome</vt:lpstr>
      <vt:lpstr>obalBusAV2HrsSold</vt:lpstr>
      <vt:lpstr>obalBusAV2MktShr</vt:lpstr>
      <vt:lpstr>obalBusAV2PricePerHr</vt:lpstr>
      <vt:lpstr>obalBusAV2Y1Rev</vt:lpstr>
      <vt:lpstr>obalBusAV2Y2Rev</vt:lpstr>
      <vt:lpstr>obalBusAV2Y3Rev</vt:lpstr>
      <vt:lpstr>obalBusAV3ControllableIncome</vt:lpstr>
      <vt:lpstr>obalBusAV3HrsSold</vt:lpstr>
      <vt:lpstr>obalBusAV3MktShr</vt:lpstr>
      <vt:lpstr>obalBusAV3PricePerHr</vt:lpstr>
      <vt:lpstr>obalBusAV3Y1Rev</vt:lpstr>
      <vt:lpstr>obalBusAV3Y2Rev</vt:lpstr>
      <vt:lpstr>obalBusAV3Y3Rev</vt:lpstr>
      <vt:lpstr>obalBusBBusDevNonPayroll</vt:lpstr>
      <vt:lpstr>obalBusBCompDev</vt:lpstr>
      <vt:lpstr>obalBusBCompDevCurrYrTotal</vt:lpstr>
      <vt:lpstr>obalBusBEmp1</vt:lpstr>
      <vt:lpstr>obalBusBEmp1IndAvgUtiliz</vt:lpstr>
      <vt:lpstr>obalBusBEmp1Recruited</vt:lpstr>
      <vt:lpstr>obalBusBEmp1Utiliz</vt:lpstr>
      <vt:lpstr>obalBusBEmp2</vt:lpstr>
      <vt:lpstr>obalBusBEmp2IndAvgUtiliz</vt:lpstr>
      <vt:lpstr>obalBusBEmp2Recruited</vt:lpstr>
      <vt:lpstr>obalBusBEmp2Utiliz</vt:lpstr>
      <vt:lpstr>obalBusBEmp3</vt:lpstr>
      <vt:lpstr>obalBusBEmp3IndAvgUtiliz</vt:lpstr>
      <vt:lpstr>obalBusBEmp3Recruited</vt:lpstr>
      <vt:lpstr>obalBusBEmp3Utiliz</vt:lpstr>
      <vt:lpstr>obalBusBEmp4</vt:lpstr>
      <vt:lpstr>obalBusBEmp4IndAvgUtiliz</vt:lpstr>
      <vt:lpstr>obalBusBEmp4Recruited</vt:lpstr>
      <vt:lpstr>obalBusBEmp4Utiliz</vt:lpstr>
      <vt:lpstr>obalBusBGenOpsPctCostReduce</vt:lpstr>
      <vt:lpstr>obalBusBOverallConsUtil</vt:lpstr>
      <vt:lpstr>obalBusBOverallSolnWFUtil</vt:lpstr>
      <vt:lpstr>obalBusBRevenue</vt:lpstr>
      <vt:lpstr>obalBusBV1ControllableIncome</vt:lpstr>
      <vt:lpstr>obalBusBV2ControllableIncome</vt:lpstr>
      <vt:lpstr>obalBusBV3ControllableIncome</vt:lpstr>
      <vt:lpstr>obalCashValue</vt:lpstr>
      <vt:lpstr>obalConsultingCCIPctRevY1</vt:lpstr>
      <vt:lpstr>obalConsultingCCIPctRevY2</vt:lpstr>
      <vt:lpstr>obalConsultingCCIPctRevY3</vt:lpstr>
      <vt:lpstr>obalConsultingCCIPctRevY4</vt:lpstr>
      <vt:lpstr>obalConsultingConsultantUtilY1</vt:lpstr>
      <vt:lpstr>obalConsultingConsultantUtilY2</vt:lpstr>
      <vt:lpstr>obalConsultingConsultantUtilY3</vt:lpstr>
      <vt:lpstr>obalConsultingConsultantUtilY4</vt:lpstr>
      <vt:lpstr>obalConsultingRevenueY1</vt:lpstr>
      <vt:lpstr>obalConsultingRevenueY2</vt:lpstr>
      <vt:lpstr>obalConsultingRevenueY3</vt:lpstr>
      <vt:lpstr>obalConsultingRevenueY4</vt:lpstr>
      <vt:lpstr>obalConsultingRevPctofTotalRevY1</vt:lpstr>
      <vt:lpstr>obalConsultingRevPctofTotalRevY2</vt:lpstr>
      <vt:lpstr>obalConsultingRevPctofTotalRevY3</vt:lpstr>
      <vt:lpstr>obalConsultingRevPctofTotalRevY4</vt:lpstr>
      <vt:lpstr>obalConsultingSalesGrowthY1</vt:lpstr>
      <vt:lpstr>obalConsultingSalesGrowthY2</vt:lpstr>
      <vt:lpstr>obalConsultingSalesGrowthY3</vt:lpstr>
      <vt:lpstr>obalConsultingSalesGrowthY4</vt:lpstr>
      <vt:lpstr>obalConsultingSolnWFUtilY1</vt:lpstr>
      <vt:lpstr>obalConsultingSolnWFUtilY2</vt:lpstr>
      <vt:lpstr>obalConsultingSolnWFUtilY3</vt:lpstr>
      <vt:lpstr>obalConsultingSolnWFUtilY4</vt:lpstr>
      <vt:lpstr>obalCSAT</vt:lpstr>
      <vt:lpstr>obalCSATY1</vt:lpstr>
      <vt:lpstr>obalCSATY2</vt:lpstr>
      <vt:lpstr>obalCStockPricePShare</vt:lpstr>
      <vt:lpstr>obalCStockShares</vt:lpstr>
      <vt:lpstr>obalCStockValue</vt:lpstr>
      <vt:lpstr>obalCumBalCardPoints</vt:lpstr>
      <vt:lpstr>obalDBYr0Bookings</vt:lpstr>
      <vt:lpstr>obalDBYr0BookingsCAGR</vt:lpstr>
      <vt:lpstr>obalDBYr0BusAEmp1Utiliz</vt:lpstr>
      <vt:lpstr>obalDBYr0BusAEmp2Utiliz</vt:lpstr>
      <vt:lpstr>obalDBYr0BusAEmp3Utiliz</vt:lpstr>
      <vt:lpstr>obalDBYr0BusAEmp4Utiliz</vt:lpstr>
      <vt:lpstr>obalDBYr0BusAEmp7Utiliz</vt:lpstr>
      <vt:lpstr>obalDBYr0BusAEmp8Utiliz</vt:lpstr>
      <vt:lpstr>obalDBYr0BusAEmp9Utiliz</vt:lpstr>
      <vt:lpstr>obalDBYr0BusATotalQualityCost</vt:lpstr>
      <vt:lpstr>obalDBYr0BusBEmp1Utiliz</vt:lpstr>
      <vt:lpstr>obalDBYr0BusBEmp2Utiliz</vt:lpstr>
      <vt:lpstr>obalDBYr0BusBEmp3Utiliz</vt:lpstr>
      <vt:lpstr>obalDBYr0BusBEmp4Utiliz</vt:lpstr>
      <vt:lpstr>obalDBYr0BusBTotalForecastRev</vt:lpstr>
      <vt:lpstr>obalDBYr0BusBTotalQualityCost</vt:lpstr>
      <vt:lpstr>obalDBYr0CSATEnd</vt:lpstr>
      <vt:lpstr>obalDBYr0Emp6Utiliz</vt:lpstr>
      <vt:lpstr>obalDBYr0ESATEnd</vt:lpstr>
      <vt:lpstr>obalDBYr0GaugeBusAEmp2Utiliz</vt:lpstr>
      <vt:lpstr>obalDBYr0GaugeBusAEmp3Utiliz</vt:lpstr>
      <vt:lpstr>obalDBYr0GaugeBusAEmp4Utiliz</vt:lpstr>
      <vt:lpstr>obalDBYr0GaugeBusAEmp9Utiliz</vt:lpstr>
      <vt:lpstr>obalDBYr0GaugeEmp6Utiliz</vt:lpstr>
      <vt:lpstr>obalDBYr0GM</vt:lpstr>
      <vt:lpstr>obalDBYr0OM</vt:lpstr>
      <vt:lpstr>obalDBYr0TotalRev</vt:lpstr>
      <vt:lpstr>obalDBYr0TotalTrainingBudForecast</vt:lpstr>
      <vt:lpstr>obalDBYr1Bookings</vt:lpstr>
      <vt:lpstr>obalDBYr1BookingsCAGR</vt:lpstr>
      <vt:lpstr>obalDBYr1BusAEmp1Utiliz</vt:lpstr>
      <vt:lpstr>obalDBYr1BusAEmp2Utiliz</vt:lpstr>
      <vt:lpstr>obalDBYr1BusAEmp3Utiliz</vt:lpstr>
      <vt:lpstr>obalDBYr1BusAEmp4Utiliz</vt:lpstr>
      <vt:lpstr>obalDBYr1BusAEmp7Utiliz</vt:lpstr>
      <vt:lpstr>obalDBYr1BusAEmp8Utiliz</vt:lpstr>
      <vt:lpstr>obalDBYr1BusAEmp9Utiliz</vt:lpstr>
      <vt:lpstr>obalDBYr1BusATotalQualityCost</vt:lpstr>
      <vt:lpstr>obalDBYr1BusBEmp1Utiliz</vt:lpstr>
      <vt:lpstr>obalDBYr1BusBEmp2Utiliz</vt:lpstr>
      <vt:lpstr>obalDBYr1BusBEmp3Utiliz</vt:lpstr>
      <vt:lpstr>obalDBYr1BusBEmp4Utiliz</vt:lpstr>
      <vt:lpstr>obalDBYr1BusBTotalForecastRev</vt:lpstr>
      <vt:lpstr>obalDBYr1BusBTotalQualityCost</vt:lpstr>
      <vt:lpstr>obalDBYr1CSATEnd</vt:lpstr>
      <vt:lpstr>obalDBYr1Emp6Utiliz</vt:lpstr>
      <vt:lpstr>obalDBYr1ESATEnd</vt:lpstr>
      <vt:lpstr>obalDBYr1GaugeBusAEmp2Utiliz</vt:lpstr>
      <vt:lpstr>obalDBYr1GaugeBusAEmp3Utiliz</vt:lpstr>
      <vt:lpstr>obalDBYr1GaugeBusAEmp4Utiliz</vt:lpstr>
      <vt:lpstr>obalDBYr1GaugeBusAEmp9Utiliz</vt:lpstr>
      <vt:lpstr>obalDBYr1GaugeEmp6Utiliz</vt:lpstr>
      <vt:lpstr>obalDBYr1GM</vt:lpstr>
      <vt:lpstr>obalDBYr1OM</vt:lpstr>
      <vt:lpstr>obalDBYr1TotalRev</vt:lpstr>
      <vt:lpstr>obalDBYr1TotalTrainingBudForecast</vt:lpstr>
      <vt:lpstr>obalDBYr2Bookings</vt:lpstr>
      <vt:lpstr>obalDBYr2BookingsCAGR</vt:lpstr>
      <vt:lpstr>obalDBYr2BusAEmp1Utiliz</vt:lpstr>
      <vt:lpstr>obalDBYr2BusAEmp2Utiliz</vt:lpstr>
      <vt:lpstr>obalDBYr2BusAEmp3Utiliz</vt:lpstr>
      <vt:lpstr>obalDBYr2BusAEmp4Utiliz</vt:lpstr>
      <vt:lpstr>obalDBYr2BusAEmp7Utiliz</vt:lpstr>
      <vt:lpstr>obalDBYr2BusAEmp8Utiliz</vt:lpstr>
      <vt:lpstr>obalDBYr2BusAEmp9Utiliz</vt:lpstr>
      <vt:lpstr>obalDBYr2BusATotalQualityCost</vt:lpstr>
      <vt:lpstr>obalDBYr2BusBEmp1Utiliz</vt:lpstr>
      <vt:lpstr>obalDBYr2BusBEmp2Utiliz</vt:lpstr>
      <vt:lpstr>obalDBYr2BusBEmp3Utiliz</vt:lpstr>
      <vt:lpstr>obalDBYr2BusBEmp4Utiliz</vt:lpstr>
      <vt:lpstr>obalDBYr2BusBTotalForecastRev</vt:lpstr>
      <vt:lpstr>obalDBYr2BusBTotalQualityCost</vt:lpstr>
      <vt:lpstr>obalDBYr2CSATEnd</vt:lpstr>
      <vt:lpstr>obalDBYr2Emp6Utiliz</vt:lpstr>
      <vt:lpstr>obalDBYr2ESATEnd</vt:lpstr>
      <vt:lpstr>obalDBYr2GaugeBusAEmp2Utiliz</vt:lpstr>
      <vt:lpstr>obalDBYr2GaugeBusAEmp3Utiliz</vt:lpstr>
      <vt:lpstr>obalDBYr2GaugeBusAEmp4Utiliz</vt:lpstr>
      <vt:lpstr>obalDBYr2GaugeBusAEmp9Utiliz</vt:lpstr>
      <vt:lpstr>obalDBYr2GaugeEmp6Utiliz</vt:lpstr>
      <vt:lpstr>obalDBYr2GM</vt:lpstr>
      <vt:lpstr>obalDBYr2OM</vt:lpstr>
      <vt:lpstr>obalDBYr2TotalRev</vt:lpstr>
      <vt:lpstr>obalDBYr2TotalTrainingBudForecast</vt:lpstr>
      <vt:lpstr>obalEmp1</vt:lpstr>
      <vt:lpstr>obalEmp1CumTrainingHrs</vt:lpstr>
      <vt:lpstr>obalEmp1GeneralTrainingBudget</vt:lpstr>
      <vt:lpstr>obalEmp1GeneralTrainingHrsAvail</vt:lpstr>
      <vt:lpstr>obalEmp1GeneralTrainingHrsCompleted</vt:lpstr>
      <vt:lpstr>obalEmp1Salary</vt:lpstr>
      <vt:lpstr>obal!obalEmp1TrainingBudgetDelta</vt:lpstr>
      <vt:lpstr>obalEmp2</vt:lpstr>
      <vt:lpstr>obalEmp2CumTrainingHrs</vt:lpstr>
      <vt:lpstr>obalEmp2GeneralTrainingBudget</vt:lpstr>
      <vt:lpstr>obalEmp2GeneralTrainingHrsAvail</vt:lpstr>
      <vt:lpstr>obalEmp2GeneralTrainingHrsCompleted</vt:lpstr>
      <vt:lpstr>obalEmp2Salary</vt:lpstr>
      <vt:lpstr>obal!obalEmp2TrainingBudgetDelta</vt:lpstr>
      <vt:lpstr>obalEmp3</vt:lpstr>
      <vt:lpstr>obalEmp3CumTrainingHrs</vt:lpstr>
      <vt:lpstr>obalEmp3GeneralTrainingBudget</vt:lpstr>
      <vt:lpstr>obalEmp3GeneralTrainingHrsAvail</vt:lpstr>
      <vt:lpstr>obalEmp3GeneralTrainingHrsCompleted</vt:lpstr>
      <vt:lpstr>obalEmp3Salary</vt:lpstr>
      <vt:lpstr>obal!obalEmp3TrainingBudgetDelta</vt:lpstr>
      <vt:lpstr>obalEmp4</vt:lpstr>
      <vt:lpstr>obalEmp4CumTrainingHrs</vt:lpstr>
      <vt:lpstr>obalEmp4GeneralTrainingBudget</vt:lpstr>
      <vt:lpstr>obalEmp4GeneralTrainingHrsAvail</vt:lpstr>
      <vt:lpstr>obalEmp4GeneralTrainingHrsCompleted</vt:lpstr>
      <vt:lpstr>obalEmp4Salary</vt:lpstr>
      <vt:lpstr>obal!obalEmp4TrainingBudgetDelta</vt:lpstr>
      <vt:lpstr>obalEmp6</vt:lpstr>
      <vt:lpstr>obalEmp6CumTrainingHrs</vt:lpstr>
      <vt:lpstr>obalEmp6GeneralTrainingBudget</vt:lpstr>
      <vt:lpstr>obalEmp6GeneralTrainingHrsAvail</vt:lpstr>
      <vt:lpstr>obalEmp6GeneralTrainingHrsCompleted</vt:lpstr>
      <vt:lpstr>obalEmp6IndAvgUtiliz</vt:lpstr>
      <vt:lpstr>obalEmp6Recruited</vt:lpstr>
      <vt:lpstr>obal!obalEmp6TrainingBudgetDelta</vt:lpstr>
      <vt:lpstr>obalEmp6Utiliz</vt:lpstr>
      <vt:lpstr>obalEmp7Recruited</vt:lpstr>
      <vt:lpstr>obalEmp8Recruited</vt:lpstr>
      <vt:lpstr>obalEmp9Recruited</vt:lpstr>
      <vt:lpstr>obalEmpEngagementY1</vt:lpstr>
      <vt:lpstr>obalEmpEngagementY2</vt:lpstr>
      <vt:lpstr>obalEmpEngagementY3</vt:lpstr>
      <vt:lpstr>obalEmpEngagementY4</vt:lpstr>
      <vt:lpstr>obalEnterpriseWFUtilizationY1</vt:lpstr>
      <vt:lpstr>obalEnterpriseWFUtilizationY2</vt:lpstr>
      <vt:lpstr>obalEnterpriseWFUtilizationY3</vt:lpstr>
      <vt:lpstr>obalEnterpriseWFUtilizationY4</vt:lpstr>
      <vt:lpstr>obalESAT</vt:lpstr>
      <vt:lpstr>obalGeneralTrainingHrsPullOut</vt:lpstr>
      <vt:lpstr>obalH1Competency</vt:lpstr>
      <vt:lpstr>obalH2Competency</vt:lpstr>
      <vt:lpstr>obalH3Competency</vt:lpstr>
      <vt:lpstr>obalIndustryAvgCIMargin</vt:lpstr>
      <vt:lpstr>obalIndustryEminence</vt:lpstr>
      <vt:lpstr>obalInternalAssets</vt:lpstr>
      <vt:lpstr>obalLTDebtValue</vt:lpstr>
      <vt:lpstr>obalNetEarnValue</vt:lpstr>
      <vt:lpstr>obalNetLocalSavingsY1</vt:lpstr>
      <vt:lpstr>obalNetLocalSavingsY2</vt:lpstr>
      <vt:lpstr>obalNetLocalSavingsY3</vt:lpstr>
      <vt:lpstr>obalNetLocalSavingsY4</vt:lpstr>
      <vt:lpstr>obalOtherAsstesValue</vt:lpstr>
      <vt:lpstr>obalOtherCurrLiabValue</vt:lpstr>
      <vt:lpstr>obalOtherLTLiab</vt:lpstr>
      <vt:lpstr>obalOutsourcingCCIPctofRevenueY1</vt:lpstr>
      <vt:lpstr>obalOutsourcingCCIPctofRevenueY2</vt:lpstr>
      <vt:lpstr>obalOutsourcingCCIPctofRevenueY3</vt:lpstr>
      <vt:lpstr>obalOutsourcingCCIPctofRevenueY4</vt:lpstr>
      <vt:lpstr>obalOutsourcingProductivityGainY1</vt:lpstr>
      <vt:lpstr>obalOutsourcingProductivityGainY2</vt:lpstr>
      <vt:lpstr>obalOutsourcingProductivityGainY3</vt:lpstr>
      <vt:lpstr>obalOutsourcingProductivityGainY4</vt:lpstr>
      <vt:lpstr>obalOutsourcingRevPctofTotalRevenueY1</vt:lpstr>
      <vt:lpstr>obalOutsourcingRevPctofTotalRevenueY2</vt:lpstr>
      <vt:lpstr>obalOutsourcingRevPctofTotalRevenueY3</vt:lpstr>
      <vt:lpstr>obalOutsourcingRevPctofTotalRevenueY4</vt:lpstr>
      <vt:lpstr>obalOutsourcingRevY1</vt:lpstr>
      <vt:lpstr>obalOutsourcingRevY2</vt:lpstr>
      <vt:lpstr>obalOutsourcingRevY3</vt:lpstr>
      <vt:lpstr>obalOutsourcingRevY4</vt:lpstr>
      <vt:lpstr>obalOutsourcingSalesGrowthY1</vt:lpstr>
      <vt:lpstr>obalOutsourcingSalesGrowthY2</vt:lpstr>
      <vt:lpstr>obalOutsourcingSalesGrowthY3</vt:lpstr>
      <vt:lpstr>obalOutsourcingSalesGrowthY4</vt:lpstr>
      <vt:lpstr>obalPlant1Value</vt:lpstr>
      <vt:lpstr>obalPlantValue</vt:lpstr>
      <vt:lpstr>obalPrac1Bookings</vt:lpstr>
      <vt:lpstr>obalPrac1RevY1</vt:lpstr>
      <vt:lpstr>obalPrac1RevY2</vt:lpstr>
      <vt:lpstr>obalPrac2Bookings</vt:lpstr>
      <vt:lpstr>obalPrac2RevY1</vt:lpstr>
      <vt:lpstr>obalPrac2RevY2</vt:lpstr>
      <vt:lpstr>obalPrac3Bookings</vt:lpstr>
      <vt:lpstr>obalPrac3RevY1</vt:lpstr>
      <vt:lpstr>obalPrac3RevY2</vt:lpstr>
      <vt:lpstr>obalRetEarnValue</vt:lpstr>
      <vt:lpstr>obalSpecLoansValue</vt:lpstr>
      <vt:lpstr>obalTotalAttritionY1</vt:lpstr>
      <vt:lpstr>obalTotalAttritionY2</vt:lpstr>
      <vt:lpstr>obalTotalAttritionY3</vt:lpstr>
      <vt:lpstr>obalTotalAttritionY4</vt:lpstr>
      <vt:lpstr>obalTotalCI</vt:lpstr>
      <vt:lpstr>obalTotalCIMargin</vt:lpstr>
      <vt:lpstr>obalTotalCIPctRevY1</vt:lpstr>
      <vt:lpstr>obalTotalCIPctRevY2</vt:lpstr>
      <vt:lpstr>obalTotalCIPctRevY3</vt:lpstr>
      <vt:lpstr>obalTotalCIPctRevY4</vt:lpstr>
      <vt:lpstr>obalTotalControllableIncome</vt:lpstr>
      <vt:lpstr>obalTotalEmpRecruited</vt:lpstr>
      <vt:lpstr>obalTotalGeneralTrainingHrsAvail</vt:lpstr>
      <vt:lpstr>obalTotalGeneralTrainingHrsCompleted</vt:lpstr>
      <vt:lpstr>obalTotalHeadCount</vt:lpstr>
      <vt:lpstr>obalTotalInYearScoreY1</vt:lpstr>
      <vt:lpstr>obalTotalInYearScoreY2</vt:lpstr>
      <vt:lpstr>obalTotalInYearScoreY3</vt:lpstr>
      <vt:lpstr>obalTotalInYearScoreY4</vt:lpstr>
      <vt:lpstr>obalTotalRealizedRev</vt:lpstr>
      <vt:lpstr>obalTotalRevenue</vt:lpstr>
      <vt:lpstr>obalTotalRevY1</vt:lpstr>
      <vt:lpstr>obalTotalRevY2</vt:lpstr>
      <vt:lpstr>obalTotalRevY3</vt:lpstr>
      <vt:lpstr>obalTotalRevY4</vt:lpstr>
      <vt:lpstr>obalTotalSales</vt:lpstr>
      <vt:lpstr>obalTotalSalesGrowthY1</vt:lpstr>
      <vt:lpstr>obalTotalSalesGrowthY2</vt:lpstr>
      <vt:lpstr>obalTotalSalesGrowthY3</vt:lpstr>
      <vt:lpstr>obalTotalSalesGrowthY4</vt:lpstr>
      <vt:lpstr>obalV1Competency</vt:lpstr>
      <vt:lpstr>obalV1H1Comp</vt:lpstr>
      <vt:lpstr>obalV1H2Comp</vt:lpstr>
      <vt:lpstr>obalV1H3Comp</vt:lpstr>
      <vt:lpstr>obalV2Competency</vt:lpstr>
      <vt:lpstr>obalV2H1Comp</vt:lpstr>
      <vt:lpstr>obalV2H2Comp</vt:lpstr>
      <vt:lpstr>obalV2H3Comp</vt:lpstr>
      <vt:lpstr>obalV3Competency</vt:lpstr>
      <vt:lpstr>obalV3H1Comp</vt:lpstr>
      <vt:lpstr>obalV3H2Comp</vt:lpstr>
      <vt:lpstr>obalV3H3Comp</vt:lpstr>
      <vt:lpstr>obalY1SpecProg1</vt:lpstr>
      <vt:lpstr>obalY1SpecProg2</vt:lpstr>
      <vt:lpstr>obalY1SpecProg3</vt:lpstr>
      <vt:lpstr>obalY1SpecProg4</vt:lpstr>
      <vt:lpstr>obalY1SpecProg5</vt:lpstr>
      <vt:lpstr>obalY1SpecProg6</vt:lpstr>
      <vt:lpstr>obalY1SpecProg7</vt:lpstr>
      <vt:lpstr>obalY1V1H1BidRev</vt:lpstr>
      <vt:lpstr>obalY1V1H1BidWon</vt:lpstr>
      <vt:lpstr>obalY1V1H1COS</vt:lpstr>
      <vt:lpstr>obalY1V1H1COSRealized</vt:lpstr>
      <vt:lpstr>obalY1V1H2BidRev</vt:lpstr>
      <vt:lpstr>obalY1V1H2BidWon</vt:lpstr>
      <vt:lpstr>obalY1V1H2COS</vt:lpstr>
      <vt:lpstr>obalY1V1H2COSRealized</vt:lpstr>
      <vt:lpstr>obalY1V1H3BidRev</vt:lpstr>
      <vt:lpstr>obalY1V1H3BidWon</vt:lpstr>
      <vt:lpstr>obalY1V1H3COS</vt:lpstr>
      <vt:lpstr>obalY1V1H3COSRealized</vt:lpstr>
      <vt:lpstr>obalY1V2H1BidRev</vt:lpstr>
      <vt:lpstr>obalY1V2H1BidWon</vt:lpstr>
      <vt:lpstr>obalY1V2H1COS</vt:lpstr>
      <vt:lpstr>obalY1V2H1COSRealized</vt:lpstr>
      <vt:lpstr>obalY1V2H2BidRev</vt:lpstr>
      <vt:lpstr>obalY1V2H2BidWon</vt:lpstr>
      <vt:lpstr>obalY1V2H2COS</vt:lpstr>
      <vt:lpstr>obalY1V2H2COSRealized</vt:lpstr>
      <vt:lpstr>obalY1V2H3BidRev</vt:lpstr>
      <vt:lpstr>obalY1V2H3BidWon</vt:lpstr>
      <vt:lpstr>obalY1V2H3COS</vt:lpstr>
      <vt:lpstr>obalY1V2H3COSRealized</vt:lpstr>
      <vt:lpstr>obalY1V3H1BidRev</vt:lpstr>
      <vt:lpstr>obalY1V3H1BidWon</vt:lpstr>
      <vt:lpstr>obalY1V3H1COS</vt:lpstr>
      <vt:lpstr>obalY1V3H1COSRealized</vt:lpstr>
      <vt:lpstr>obalY1V3H2BidRev</vt:lpstr>
      <vt:lpstr>obalY1V3H2BidWon</vt:lpstr>
      <vt:lpstr>obalY1V3H2COS</vt:lpstr>
      <vt:lpstr>obalY1V3H2COSRealized</vt:lpstr>
      <vt:lpstr>obalY1V3H3BidRev</vt:lpstr>
      <vt:lpstr>obalY1V3H3BidWon</vt:lpstr>
      <vt:lpstr>obalY1V3H3COS</vt:lpstr>
      <vt:lpstr>obalY1V3H3COSRealized</vt:lpstr>
      <vt:lpstr>obalY1Wobbler1</vt:lpstr>
      <vt:lpstr>obalY1Wobbler2</vt:lpstr>
      <vt:lpstr>obalY1Wobbler3</vt:lpstr>
      <vt:lpstr>obalY1Wobbler4</vt:lpstr>
      <vt:lpstr>obalY2SpecProg1</vt:lpstr>
      <vt:lpstr>obalY2SpecProg2</vt:lpstr>
      <vt:lpstr>obalY2SpecProg3</vt:lpstr>
      <vt:lpstr>obalY2SpecProg4</vt:lpstr>
      <vt:lpstr>obalY2SpecProg5</vt:lpstr>
      <vt:lpstr>obalY2SpecProg6</vt:lpstr>
      <vt:lpstr>obalY2SpecProg7</vt:lpstr>
      <vt:lpstr>obalY2V1H1BidRev</vt:lpstr>
      <vt:lpstr>obalY2V1H1BidWon</vt:lpstr>
      <vt:lpstr>obalY2V1H1COS</vt:lpstr>
      <vt:lpstr>obalY2V1H1COSRealized</vt:lpstr>
      <vt:lpstr>obalY2V1H2BidRev</vt:lpstr>
      <vt:lpstr>obalY2V1H2BidWon</vt:lpstr>
      <vt:lpstr>obalY2V1H2COS</vt:lpstr>
      <vt:lpstr>obalY2V1H2COSRealized</vt:lpstr>
      <vt:lpstr>obalY2V1H3BidRev</vt:lpstr>
      <vt:lpstr>obalY2V1H3BidWon</vt:lpstr>
      <vt:lpstr>obalY2V1H3COS</vt:lpstr>
      <vt:lpstr>obalY2V1H3COSRealized</vt:lpstr>
      <vt:lpstr>obalY2V2H1BidRev</vt:lpstr>
      <vt:lpstr>obalY2V2H1BidWon</vt:lpstr>
      <vt:lpstr>obalY2V2H1COS</vt:lpstr>
      <vt:lpstr>obalY2V2H1COSRealized</vt:lpstr>
      <vt:lpstr>obalY2V2H2BidRev</vt:lpstr>
      <vt:lpstr>obalY2V2H2BidWon</vt:lpstr>
      <vt:lpstr>obalY2V2H2COS</vt:lpstr>
      <vt:lpstr>obalY2V2H2COSRealized</vt:lpstr>
      <vt:lpstr>obalY2V2H3BidRev</vt:lpstr>
      <vt:lpstr>obalY2V2H3BidWon</vt:lpstr>
      <vt:lpstr>obalY2V2H3COS</vt:lpstr>
      <vt:lpstr>obalY2V2H3COSRealized</vt:lpstr>
      <vt:lpstr>obalY2V3H1BidRev</vt:lpstr>
      <vt:lpstr>obalY2V3H1BidWon</vt:lpstr>
      <vt:lpstr>obalY2V3H1COS</vt:lpstr>
      <vt:lpstr>obalY2V3H1COSRealized</vt:lpstr>
      <vt:lpstr>obalY2V3H2BidRev</vt:lpstr>
      <vt:lpstr>obalY2V3H2BidWon</vt:lpstr>
      <vt:lpstr>obalY2V3H2COS</vt:lpstr>
      <vt:lpstr>obalY2V3H2COSRealized</vt:lpstr>
      <vt:lpstr>obalY2V3H3BidRev</vt:lpstr>
      <vt:lpstr>obalY2V3H3BidWon</vt:lpstr>
      <vt:lpstr>obalY2V3H3COS</vt:lpstr>
      <vt:lpstr>obalY2V3H3COSRealized</vt:lpstr>
      <vt:lpstr>obalY2Wobbler1</vt:lpstr>
      <vt:lpstr>obalY2Wobbler2</vt:lpstr>
      <vt:lpstr>obalY2Wobbler3</vt:lpstr>
      <vt:lpstr>obalY2Wobbler4</vt:lpstr>
      <vt:lpstr>obalY3SpecProg1</vt:lpstr>
      <vt:lpstr>obalY3SpecProg2</vt:lpstr>
      <vt:lpstr>obalY3SpecProg3</vt:lpstr>
      <vt:lpstr>obalY3SpecProg4</vt:lpstr>
      <vt:lpstr>obalY3SpecProg5</vt:lpstr>
      <vt:lpstr>obalY3SpecProg6</vt:lpstr>
      <vt:lpstr>obalY3SpecProg7</vt:lpstr>
      <vt:lpstr>obalY3V1H1BidRev</vt:lpstr>
      <vt:lpstr>obalY3V1H1BidWon</vt:lpstr>
      <vt:lpstr>obalY3V1H1COS</vt:lpstr>
      <vt:lpstr>obalY3V1H1COSRealized</vt:lpstr>
      <vt:lpstr>obalY3V1H2BidRev</vt:lpstr>
      <vt:lpstr>obalY3V1H2BidWon</vt:lpstr>
      <vt:lpstr>obalY3V1H2COS</vt:lpstr>
      <vt:lpstr>obalY3V1H2COSRealized</vt:lpstr>
      <vt:lpstr>obalY3V1H3BidRev</vt:lpstr>
      <vt:lpstr>obalY3V1H3BidWon</vt:lpstr>
      <vt:lpstr>obalY3V1H3COS</vt:lpstr>
      <vt:lpstr>obalY3V1H3COSRealized</vt:lpstr>
      <vt:lpstr>obalY3V2H1BidRev</vt:lpstr>
      <vt:lpstr>obalY3V2H1BidWon</vt:lpstr>
      <vt:lpstr>obalY3V2H1COS</vt:lpstr>
      <vt:lpstr>obalY3V2H1COSRealized</vt:lpstr>
      <vt:lpstr>obalY3V2H2BidRev</vt:lpstr>
      <vt:lpstr>obalY3V2H2BidWon</vt:lpstr>
      <vt:lpstr>obalY3V2H2COS</vt:lpstr>
      <vt:lpstr>obalY3V2H2COSRealized</vt:lpstr>
      <vt:lpstr>obalY3V2H3BidRev</vt:lpstr>
      <vt:lpstr>obalY3V2H3BidWon</vt:lpstr>
      <vt:lpstr>obalY3V2H3COS</vt:lpstr>
      <vt:lpstr>obalY3V2H3COSRealized</vt:lpstr>
      <vt:lpstr>obalY3V3H1BidRev</vt:lpstr>
      <vt:lpstr>obalY3V3H1BidWon</vt:lpstr>
      <vt:lpstr>obalY3V3H1COS</vt:lpstr>
      <vt:lpstr>obalY3V3H1COSRealized</vt:lpstr>
      <vt:lpstr>obalY3V3H2BidRev</vt:lpstr>
      <vt:lpstr>obalY3V3H2BidWon</vt:lpstr>
      <vt:lpstr>obalY3V3H2COS</vt:lpstr>
      <vt:lpstr>obalY3V3H2COSRealized</vt:lpstr>
      <vt:lpstr>obalY3V3H3BidRev</vt:lpstr>
      <vt:lpstr>obalY3V3H3BidWon</vt:lpstr>
      <vt:lpstr>obalY3V3H3COS</vt:lpstr>
      <vt:lpstr>obalY3V3H3COSRealized</vt:lpstr>
      <vt:lpstr>obalY3Wobbler1</vt:lpstr>
      <vt:lpstr>obalY3Wobbler2</vt:lpstr>
      <vt:lpstr>obalY3Wobbler3</vt:lpstr>
      <vt:lpstr>obalY3Wobbler4</vt:lpstr>
      <vt:lpstr>obalY4SpecProg1</vt:lpstr>
      <vt:lpstr>obalY4SpecProg2</vt:lpstr>
      <vt:lpstr>obalY4SpecProg3</vt:lpstr>
      <vt:lpstr>obalY4SpecProg4</vt:lpstr>
      <vt:lpstr>obalY4SpecProg5</vt:lpstr>
      <vt:lpstr>obalY4SpecProg6</vt:lpstr>
      <vt:lpstr>obalY4SpecProg7</vt:lpstr>
      <vt:lpstr>obalY4Wobbler1</vt:lpstr>
      <vt:lpstr>obalY4Wobbler2</vt:lpstr>
      <vt:lpstr>obalY4Wobbler3</vt:lpstr>
      <vt:lpstr>obalY4Wobbler4</vt:lpstr>
      <vt:lpstr>paramAPDays</vt:lpstr>
      <vt:lpstr>paramBusACreditDays</vt:lpstr>
      <vt:lpstr>paramBusALocalPerQualityCost</vt:lpstr>
      <vt:lpstr>paramBusAQualityCostPctCOS</vt:lpstr>
      <vt:lpstr>paramBusBH1RevPullThruWeight</vt:lpstr>
      <vt:lpstr>paramBusBH2RevPullThruWeight</vt:lpstr>
      <vt:lpstr>paramBusBH3RevPullThruWeight</vt:lpstr>
      <vt:lpstr>paramBusBQualityCostPctCOS</vt:lpstr>
      <vt:lpstr>paramBusBYearsPerContract</vt:lpstr>
      <vt:lpstr>paramCashIntRate</vt:lpstr>
      <vt:lpstr>paramCStockParValue</vt:lpstr>
      <vt:lpstr>paramDaysPerYear</vt:lpstr>
      <vt:lpstr>paramEmp10AdminCostPct</vt:lpstr>
      <vt:lpstr>paramEmp10AttRate</vt:lpstr>
      <vt:lpstr>paramEmp10Exp</vt:lpstr>
      <vt:lpstr>paramEmp10HoursPYear</vt:lpstr>
      <vt:lpstr>paramEmp10OTRate</vt:lpstr>
      <vt:lpstr>paramEmp10RecDismCost</vt:lpstr>
      <vt:lpstr>paramEmp1AdminCostPct</vt:lpstr>
      <vt:lpstr>paramEmp1AttRate</vt:lpstr>
      <vt:lpstr>paramEmp1BusAGenOpsPctCostReducPerHr</vt:lpstr>
      <vt:lpstr>paramEmp1BusAHrsReqPerCompDevLevel</vt:lpstr>
      <vt:lpstr>paramEmp1BusBGenOpsPctCostReducPerHr</vt:lpstr>
      <vt:lpstr>paramEmp1BusBHrsReqPerCompDevLevel</vt:lpstr>
      <vt:lpstr>paramEmp1CompMltplr</vt:lpstr>
      <vt:lpstr>paramEmp1Exp</vt:lpstr>
      <vt:lpstr>paramEmp1HoursPYear</vt:lpstr>
      <vt:lpstr>paramEmp1LoadPctSalary</vt:lpstr>
      <vt:lpstr>paramEmp1OTRate</vt:lpstr>
      <vt:lpstr>paramEmp1ProductivityCoef</vt:lpstr>
      <vt:lpstr>paramEmp1RecDismCost</vt:lpstr>
      <vt:lpstr>paramEmp1TrainingHrsPerDollar</vt:lpstr>
      <vt:lpstr>paramEmp2AdminCostPct</vt:lpstr>
      <vt:lpstr>paramEmp2AttRate</vt:lpstr>
      <vt:lpstr>paramEmp2BusAGenOpsPctCostReducPerHr</vt:lpstr>
      <vt:lpstr>paramEmp2BusAHrsReqPerCompDevLevel</vt:lpstr>
      <vt:lpstr>paramEmp2BusBGenOpsPctCostReducPerHr</vt:lpstr>
      <vt:lpstr>paramEmp2BusBHrsReqPerCompDevLevel</vt:lpstr>
      <vt:lpstr>paramEmp2CompMltplr</vt:lpstr>
      <vt:lpstr>paramEmp2Exp</vt:lpstr>
      <vt:lpstr>paramEmp2HoursPYear</vt:lpstr>
      <vt:lpstr>paramEmp2LoadPctSalary</vt:lpstr>
      <vt:lpstr>paramEmp2OTRate</vt:lpstr>
      <vt:lpstr>paramEmp2ProductivityCoef</vt:lpstr>
      <vt:lpstr>paramEmp2RecDismCost</vt:lpstr>
      <vt:lpstr>paramEmp2TrainingHrsPerDollar</vt:lpstr>
      <vt:lpstr>paramEmp3AdminCostPct</vt:lpstr>
      <vt:lpstr>paramEmp3AttRate</vt:lpstr>
      <vt:lpstr>paramEmp3BusAGenOpsPctCostReducPerHr</vt:lpstr>
      <vt:lpstr>paramEmp3BusAHrsReqPerCompDevLevel</vt:lpstr>
      <vt:lpstr>paramEmp3BusBGenOpsPctCostReducPerHr</vt:lpstr>
      <vt:lpstr>paramEmp3BusBHrsReqPerCompDevLevel</vt:lpstr>
      <vt:lpstr>paramEmp3CompMltplr</vt:lpstr>
      <vt:lpstr>paramEmp3Exp</vt:lpstr>
      <vt:lpstr>paramEmp3HoursPYear</vt:lpstr>
      <vt:lpstr>paramEmp3LoadPctSalary</vt:lpstr>
      <vt:lpstr>paramEmp3OTRate</vt:lpstr>
      <vt:lpstr>paramEmp3ProductivityCoef</vt:lpstr>
      <vt:lpstr>paramEmp3RecDismCost</vt:lpstr>
      <vt:lpstr>paramEmp3TrainingHrsPerDollar</vt:lpstr>
      <vt:lpstr>paramEmp4AdminCostPct</vt:lpstr>
      <vt:lpstr>paramEmp4AttRate</vt:lpstr>
      <vt:lpstr>paramEmp4BusAGenOpsPctCostReducPerHr</vt:lpstr>
      <vt:lpstr>paramEmp4BusAHrsReqPerCompDevLevel</vt:lpstr>
      <vt:lpstr>paramEmp4BusBGenOpsPctCostReducPerHr</vt:lpstr>
      <vt:lpstr>paramEmp4BusBHrsReqPerCompDevLevel</vt:lpstr>
      <vt:lpstr>paramEmp4CompMltplr</vt:lpstr>
      <vt:lpstr>paramEmp4Exp</vt:lpstr>
      <vt:lpstr>paramEmp4HoursPYear</vt:lpstr>
      <vt:lpstr>paramEmp4LoadPctSalary</vt:lpstr>
      <vt:lpstr>paramEmp4OTRate</vt:lpstr>
      <vt:lpstr>paramEmp4ProductivityCoef</vt:lpstr>
      <vt:lpstr>paramEmp4RecDismCost</vt:lpstr>
      <vt:lpstr>paramEmp4TrainingHrsPerDollar</vt:lpstr>
      <vt:lpstr>paramEmp5AdminCostPct</vt:lpstr>
      <vt:lpstr>paramEmp5AttRate</vt:lpstr>
      <vt:lpstr>paramEmp5Exp</vt:lpstr>
      <vt:lpstr>paramEmp5HoursPYear</vt:lpstr>
      <vt:lpstr>paramEmp5OTRate</vt:lpstr>
      <vt:lpstr>paramEmp5ProductivityCoef</vt:lpstr>
      <vt:lpstr>paramEmp5RecDismCost</vt:lpstr>
      <vt:lpstr>paramEmp5V2Exp</vt:lpstr>
      <vt:lpstr>paramEmp5V3Exp</vt:lpstr>
      <vt:lpstr>paramEmp6AdminCostPct</vt:lpstr>
      <vt:lpstr>paramEmp6AttRate</vt:lpstr>
      <vt:lpstr>paramEmp6Exp</vt:lpstr>
      <vt:lpstr>paramEmp6HoursPYear</vt:lpstr>
      <vt:lpstr>paramEmp6HrsPerSalesSupportLevel</vt:lpstr>
      <vt:lpstr>paramEmp6OTRate</vt:lpstr>
      <vt:lpstr>paramEmp6ProductivityCoef</vt:lpstr>
      <vt:lpstr>paramEmp6RecDismCost</vt:lpstr>
      <vt:lpstr>paramEmp6ReqPMilRev</vt:lpstr>
      <vt:lpstr>paramEmp6TrainingHrsPerDollar</vt:lpstr>
      <vt:lpstr>paramEmp7AdminCostPct</vt:lpstr>
      <vt:lpstr>paramEmp7AttRate</vt:lpstr>
      <vt:lpstr>paramEmp7BusAHrsReqPerCompDevLevel</vt:lpstr>
      <vt:lpstr>paramEmp7BusBGenOpsPctCostReducPerHr</vt:lpstr>
      <vt:lpstr>paramEmp7BusBHrsReqPerCompDevLevel</vt:lpstr>
      <vt:lpstr>paramEmp7CompMltplr</vt:lpstr>
      <vt:lpstr>paramEmp7Exp</vt:lpstr>
      <vt:lpstr>paramEmp7HoursPYear</vt:lpstr>
      <vt:lpstr>paramEmp7LoadPctSalary</vt:lpstr>
      <vt:lpstr>paramEmp7OTRate</vt:lpstr>
      <vt:lpstr>paramEmp7ProductivityCoef</vt:lpstr>
      <vt:lpstr>paramEmp7RecDismCost</vt:lpstr>
      <vt:lpstr>paramEmp7TrainingHrsPerDollar</vt:lpstr>
      <vt:lpstr>paramEmp8AdminCostPct</vt:lpstr>
      <vt:lpstr>paramEmp8AttRate</vt:lpstr>
      <vt:lpstr>paramEmp8BusAHrsReqPerCompDevLevel</vt:lpstr>
      <vt:lpstr>paramEmp8BusBGenOpsPctCostReducPerHr</vt:lpstr>
      <vt:lpstr>paramEmp8BusBHrsReqPerCompDevLevel</vt:lpstr>
      <vt:lpstr>paramEmp8CompMltplr</vt:lpstr>
      <vt:lpstr>paramEmp8Exp</vt:lpstr>
      <vt:lpstr>paramEmp8HoursPYear</vt:lpstr>
      <vt:lpstr>paramEmp8LoadPctSalary</vt:lpstr>
      <vt:lpstr>paramEmp8OTRate</vt:lpstr>
      <vt:lpstr>paramEmp8ProductivityCoef</vt:lpstr>
      <vt:lpstr>paramEmp8RecDismCost</vt:lpstr>
      <vt:lpstr>paramEmp8TrainingHrsPerDollar</vt:lpstr>
      <vt:lpstr>paramEmp9AdminCostPct</vt:lpstr>
      <vt:lpstr>paramEmp9AttRate</vt:lpstr>
      <vt:lpstr>paramEmp9BusAHrsReqPerCompDevLevel</vt:lpstr>
      <vt:lpstr>paramEmp9BusBGenOpsPctCostReducPerHr</vt:lpstr>
      <vt:lpstr>paramEmp9BusBHrsReqPerCompDevLevel</vt:lpstr>
      <vt:lpstr>paramEmp9CompMltplr</vt:lpstr>
      <vt:lpstr>paramEmp9Exp</vt:lpstr>
      <vt:lpstr>paramEmp9HoursPYear</vt:lpstr>
      <vt:lpstr>paramEmp9LoadPctSalary</vt:lpstr>
      <vt:lpstr>paramEmp9OTRate</vt:lpstr>
      <vt:lpstr>paramEmp9ProductivityCoef</vt:lpstr>
      <vt:lpstr>paramEmp9RecDismCost</vt:lpstr>
      <vt:lpstr>paramEmp9TrainingHrsPerDollar</vt:lpstr>
      <vt:lpstr>paramH1PctCostReducPerHCompLvl</vt:lpstr>
      <vt:lpstr>paramH2PctCostReducPerHCompLvl</vt:lpstr>
      <vt:lpstr>paramH3PctCostReducPerHCompLvl</vt:lpstr>
      <vt:lpstr>paramInternalCreditDays</vt:lpstr>
      <vt:lpstr>paramLTDebtIntRate</vt:lpstr>
      <vt:lpstr>paramOtherCurrLiabGrowth</vt:lpstr>
      <vt:lpstr>paramPlant1DepRate</vt:lpstr>
      <vt:lpstr>paramPlant1DivRevenue</vt:lpstr>
      <vt:lpstr>paramPlant1InvCost</vt:lpstr>
      <vt:lpstr>paramPlant1MachCostPHr</vt:lpstr>
      <vt:lpstr>paramPlant1MachHrsPUnit</vt:lpstr>
      <vt:lpstr>paramPlant1RampUpPct</vt:lpstr>
      <vt:lpstr>paramPlant2DepRate</vt:lpstr>
      <vt:lpstr>paramPlant2DivRevenue</vt:lpstr>
      <vt:lpstr>paramPlant2InvCost</vt:lpstr>
      <vt:lpstr>paramPlant2MachCostPHr</vt:lpstr>
      <vt:lpstr>paramPlant2MachHrsPUnit</vt:lpstr>
      <vt:lpstr>paramPlant2RampUpPct</vt:lpstr>
      <vt:lpstr>paramPlant3DepRate</vt:lpstr>
      <vt:lpstr>paramPlant3DivRevenue</vt:lpstr>
      <vt:lpstr>paramPlant3InvCost</vt:lpstr>
      <vt:lpstr>paramPlant3MachCostPHr</vt:lpstr>
      <vt:lpstr>paramPlant3MachHrsPUnit</vt:lpstr>
      <vt:lpstr>paramPlant3RampUpPct</vt:lpstr>
      <vt:lpstr>paramProd1AdminCost</vt:lpstr>
      <vt:lpstr>paramProd1CycTimeDays</vt:lpstr>
      <vt:lpstr>paramProd1DistCostPUnit</vt:lpstr>
      <vt:lpstr>paramProd1Emp1Req</vt:lpstr>
      <vt:lpstr>paramProd1FixedAdmin</vt:lpstr>
      <vt:lpstr>paramProd1InventoryHndlgPct</vt:lpstr>
      <vt:lpstr>paramProd1LabHrsReqPUnit</vt:lpstr>
      <vt:lpstr>paramProd1MachHrsReqPUnit</vt:lpstr>
      <vt:lpstr>paramProd1MatCostPUnit</vt:lpstr>
      <vt:lpstr>paramProd1MatCostPUnitPFtr1Level</vt:lpstr>
      <vt:lpstr>paramProd1MatPctOfProduction</vt:lpstr>
      <vt:lpstr>paramProd1OtherCost</vt:lpstr>
      <vt:lpstr>paramProd2CycTimeDays</vt:lpstr>
      <vt:lpstr>paramProd2DistCostPUnit</vt:lpstr>
      <vt:lpstr>paramProd2Emp1Req</vt:lpstr>
      <vt:lpstr>paramProd2FixedAdmin</vt:lpstr>
      <vt:lpstr>paramProd2InventoryHndlgPct</vt:lpstr>
      <vt:lpstr>paramProd2LabHrsReqPUnit</vt:lpstr>
      <vt:lpstr>paramProd2MachHrsReqPUnit</vt:lpstr>
      <vt:lpstr>paramProd2MatCostPUnit</vt:lpstr>
      <vt:lpstr>paramProd2MatCostPUnitPFtr1Level</vt:lpstr>
      <vt:lpstr>paramProd2MatPctOfProduction</vt:lpstr>
      <vt:lpstr>paramProd2OtherCost</vt:lpstr>
      <vt:lpstr>paramProd3CycTimeDays</vt:lpstr>
      <vt:lpstr>paramProd3DistCostPUnit</vt:lpstr>
      <vt:lpstr>paramProd3Emp1Req</vt:lpstr>
      <vt:lpstr>paramProd3FixedAdmin</vt:lpstr>
      <vt:lpstr>paramProd3InventoryHndlgPct</vt:lpstr>
      <vt:lpstr>paramProd3LabHrsReqPUnit</vt:lpstr>
      <vt:lpstr>paramProd3MachHrsReqPUnit</vt:lpstr>
      <vt:lpstr>paramProd3MatCostPUnit</vt:lpstr>
      <vt:lpstr>paramProd3MatCostPUnitPFtr1Level</vt:lpstr>
      <vt:lpstr>paramProd3MatPctOfProduction</vt:lpstr>
      <vt:lpstr>paramProd3OtherCost</vt:lpstr>
      <vt:lpstr>paramProd4CycTimeDays</vt:lpstr>
      <vt:lpstr>paramProd4DistCostPUnit</vt:lpstr>
      <vt:lpstr>paramProd4Emp1Req</vt:lpstr>
      <vt:lpstr>paramProd4FixedAdmin</vt:lpstr>
      <vt:lpstr>paramProd4InventoryHndlgPct</vt:lpstr>
      <vt:lpstr>paramProd4LabHrsReqPUnit</vt:lpstr>
      <vt:lpstr>paramProd4MachHrsReqPUnit</vt:lpstr>
      <vt:lpstr>paramProd4MatCostPUnit</vt:lpstr>
      <vt:lpstr>paramProd4MatCostPUnitPFtr1Level</vt:lpstr>
      <vt:lpstr>paramProd4MatPctOfProduction</vt:lpstr>
      <vt:lpstr>paramProd4OtherCost</vt:lpstr>
      <vt:lpstr>paramProd5CycTimeDays</vt:lpstr>
      <vt:lpstr>paramProd5DistCostPUnit</vt:lpstr>
      <vt:lpstr>paramProd5Emp1Req</vt:lpstr>
      <vt:lpstr>paramProd5FixedAdmin</vt:lpstr>
      <vt:lpstr>paramProd5InventoryHndlgPct</vt:lpstr>
      <vt:lpstr>paramProd5LabHrsReqPUnit</vt:lpstr>
      <vt:lpstr>paramProd5MachHrsReqPUnit</vt:lpstr>
      <vt:lpstr>paramProd5MatCostPUnit</vt:lpstr>
      <vt:lpstr>paramProd5MatCostPUnitPFtr1Level</vt:lpstr>
      <vt:lpstr>paramProd5MatPctOfProduction</vt:lpstr>
      <vt:lpstr>paramProd5OtherCost</vt:lpstr>
      <vt:lpstr>paramProd6CycTimeDays</vt:lpstr>
      <vt:lpstr>paramProd6DistCostPUnit</vt:lpstr>
      <vt:lpstr>paramProd6Emp1Req</vt:lpstr>
      <vt:lpstr>paramProd6FixedAdmin</vt:lpstr>
      <vt:lpstr>paramProd6InventoryHndlgPct</vt:lpstr>
      <vt:lpstr>paramProd6LabHrsReqPUnit</vt:lpstr>
      <vt:lpstr>paramProd6MachHrsReqPUnit</vt:lpstr>
      <vt:lpstr>paramProd6MatCostPUnit</vt:lpstr>
      <vt:lpstr>paramProd6MatCostPUnitPFtr1Level</vt:lpstr>
      <vt:lpstr>paramProd6MatPctOfProduction</vt:lpstr>
      <vt:lpstr>paramProd6OtherCost</vt:lpstr>
      <vt:lpstr>paramSpecLoansIntRate</vt:lpstr>
      <vt:lpstr>paramSpecLoansRate</vt:lpstr>
      <vt:lpstr>paramSpecProgBusAV1Exp</vt:lpstr>
      <vt:lpstr>paramSpecProgBusAV2Exp</vt:lpstr>
      <vt:lpstr>paramSpecProgBusAV3Exp</vt:lpstr>
      <vt:lpstr>paramSpecProgBusBV1Exp</vt:lpstr>
      <vt:lpstr>paramSpecProgBusBV2Exp</vt:lpstr>
      <vt:lpstr>paramSpecProgBusBV3Exp</vt:lpstr>
      <vt:lpstr>paramSpecProgESAT</vt:lpstr>
      <vt:lpstr>paramSpecProgExp</vt:lpstr>
      <vt:lpstr>paramSpecProgIndustryEminenceLevelAdd</vt:lpstr>
      <vt:lpstr>paramSpecProgProd1Sales</vt:lpstr>
      <vt:lpstr>paramSpecProgProd1Seg1Sales</vt:lpstr>
      <vt:lpstr>paramSpecProgProd1Seg2Sales</vt:lpstr>
      <vt:lpstr>paramSpecProgProd1Seg3Sales</vt:lpstr>
      <vt:lpstr>paramSpecProgProd3Exp</vt:lpstr>
      <vt:lpstr>paramSpecProgProd4Exp</vt:lpstr>
      <vt:lpstr>paramSpecProgProd4Sales</vt:lpstr>
      <vt:lpstr>paramSpecProgProd5Exp</vt:lpstr>
      <vt:lpstr>paramSpecProgProd5Sales</vt:lpstr>
      <vt:lpstr>paramSpecProgProd6Exp</vt:lpstr>
      <vt:lpstr>paramSpecProgProd6Sales</vt:lpstr>
      <vt:lpstr>paramSpecProgPursuitEfficiency</vt:lpstr>
      <vt:lpstr>paramSpecProgPursuitEfficiencyH1</vt:lpstr>
      <vt:lpstr>paramSpecProgPursuitEfficiencyH2</vt:lpstr>
      <vt:lpstr>paramSpecProgPursuitEfficiencyH3</vt:lpstr>
      <vt:lpstr>paramSpecProgPursuitEfficiencyV1</vt:lpstr>
      <vt:lpstr>paramSpecProgPursuitEfficiencyV2</vt:lpstr>
      <vt:lpstr>paramSpecProgPursuitEfficiencyV3</vt:lpstr>
      <vt:lpstr>paramSpecProgramBPOH1CostReducPct</vt:lpstr>
      <vt:lpstr>paramSpecProgramBPOH2CostReducPct</vt:lpstr>
      <vt:lpstr>paramSpecProgramBPOH3CostReducPct</vt:lpstr>
      <vt:lpstr>paramSpecProgramBPOV1CostReducPct</vt:lpstr>
      <vt:lpstr>paramSpecProgramBPOV2CostReducPct</vt:lpstr>
      <vt:lpstr>paramSpecProgramBPOV3CostReducPct</vt:lpstr>
      <vt:lpstr>paramSpecProgramCash</vt:lpstr>
      <vt:lpstr>paramSpecProgramCSAT</vt:lpstr>
      <vt:lpstr>paramSpecProgramEmp1BusAInitHrsReq</vt:lpstr>
      <vt:lpstr>paramSpecProgramEmp1BusBInitHrsReq</vt:lpstr>
      <vt:lpstr>paramSpecProgramEmp2BusAInitHrsReq</vt:lpstr>
      <vt:lpstr>paramSpecProgramEmp2BusBInitHrsReq</vt:lpstr>
      <vt:lpstr>paramSpecProgramEmp3BusAInitHrsReq</vt:lpstr>
      <vt:lpstr>paramSpecProgramEmp3BusBInitHrsReq</vt:lpstr>
      <vt:lpstr>paramSpecProgramEmp4BusAInitHrsReq</vt:lpstr>
      <vt:lpstr>paramSpecProgramEmp4BusBInitHrsReq</vt:lpstr>
      <vt:lpstr>paramSpecProgramEmp6InitHrsReq</vt:lpstr>
      <vt:lpstr>paramSpecProgramEmp7BusAInitHrsReq</vt:lpstr>
      <vt:lpstr>paramSpecProgramEmp8BusAInitHrsReq</vt:lpstr>
      <vt:lpstr>paramSpecProgramEmp9BusAInitHrsReq</vt:lpstr>
      <vt:lpstr>paramSpecProgramOtherFixedAssets</vt:lpstr>
      <vt:lpstr>paramSpecProgramPrac2ExpLvl</vt:lpstr>
      <vt:lpstr>paramSpecProgramProd1CSAT</vt:lpstr>
      <vt:lpstr>paramSpecProgramTotalEq</vt:lpstr>
      <vt:lpstr>paramSpecProgTLLevelAddPrac1</vt:lpstr>
      <vt:lpstr>paramSpecProgTLLevelAddPrac2</vt:lpstr>
      <vt:lpstr>paramSpecProgTLLevelAddPrac3</vt:lpstr>
      <vt:lpstr>paramTaxRate</vt:lpstr>
      <vt:lpstr>paramV1BaseCOS</vt:lpstr>
      <vt:lpstr>paramV1BaseRevenue</vt:lpstr>
      <vt:lpstr>paramV1PctCostReducPerVCompLvl</vt:lpstr>
      <vt:lpstr>paramV2BaseCOS</vt:lpstr>
      <vt:lpstr>paramV2BaseRevenue</vt:lpstr>
      <vt:lpstr>paramV2PctCostReducPerVCompLvl</vt:lpstr>
      <vt:lpstr>paramV3BaseCOS</vt:lpstr>
      <vt:lpstr>paramV3BaseRevenue</vt:lpstr>
      <vt:lpstr>paramV3PctCostReducPerVCompLvl</vt:lpstr>
      <vt:lpstr>paranBusAWobblerAddedRevV1</vt:lpstr>
      <vt:lpstr>paranBusAWobblerAddedRevV2</vt:lpstr>
      <vt:lpstr>paranBusAWobblerAddedRevV3</vt:lpstr>
      <vt:lpstr>CompetitorReport!Print_Area</vt:lpstr>
      <vt:lpstr>fin!Print_Area</vt:lpstr>
      <vt:lpstr>tlBusAPrac1!Print_Area</vt:lpstr>
      <vt:lpstr>tlPNLBusA!Print_Area</vt:lpstr>
      <vt:lpstr>toolBalSheet!Print_Area</vt:lpstr>
      <vt:lpstr>toolBusinessB!Print_Area</vt:lpstr>
      <vt:lpstr>toolCashFlow!Print_Area</vt:lpstr>
      <vt:lpstr>toolHRReport!Print_Area</vt:lpstr>
      <vt:lpstr>toolPNL!Print_Area</vt:lpstr>
      <vt:lpstr>toolPNLBusB!Print_Area</vt:lpstr>
      <vt:lpstr>Prod1Seg1</vt:lpstr>
      <vt:lpstr>Prod1Seg2</vt:lpstr>
      <vt:lpstr>Prod1Seg3</vt:lpstr>
      <vt:lpstr>Prod1Seg4</vt:lpstr>
      <vt:lpstr>Prod1Seg5</vt:lpstr>
      <vt:lpstr>Prod5Seg6</vt:lpstr>
      <vt:lpstr>Prod5Seg7</vt:lpstr>
      <vt:lpstr>Prod5Seg8</vt:lpstr>
      <vt:lpstr>RAreatoolBalSheet</vt:lpstr>
      <vt:lpstr>RAreatoolCashFlow</vt:lpstr>
      <vt:lpstr>tlPNLBusA!RAreatoolPNL</vt:lpstr>
      <vt:lpstr>toolPNLBusB!RAreatoolPNL</vt:lpstr>
      <vt:lpstr>RAreatoolPNL</vt:lpstr>
      <vt:lpstr>row2buttons_visible</vt:lpstr>
      <vt:lpstr>row3buttons_visible</vt:lpstr>
      <vt:lpstr>rowCount</vt:lpstr>
      <vt:lpstr>tlBusAPrac1!Screen</vt:lpstr>
      <vt:lpstr>tlBusAPrac2!Screen</vt:lpstr>
      <vt:lpstr>tlBusAPrac3!Screen</vt:lpstr>
      <vt:lpstr>tlBusinessA!Screen</vt:lpstr>
      <vt:lpstr>tlGraphs!Screen</vt:lpstr>
      <vt:lpstr>tlInitiatives!Screen</vt:lpstr>
      <vt:lpstr>tlPeople!Screen</vt:lpstr>
      <vt:lpstr>tlPNLBusA!Screen</vt:lpstr>
      <vt:lpstr>Screen</vt:lpstr>
      <vt:lpstr>ScreentoolBalSheet</vt:lpstr>
      <vt:lpstr>ScreentoolBPOReport</vt:lpstr>
      <vt:lpstr>ScreentoolBusAPrac1</vt:lpstr>
      <vt:lpstr>ScreentoolBusAPrac2</vt:lpstr>
      <vt:lpstr>ScreentoolBusAPrac3</vt:lpstr>
      <vt:lpstr>ScreentoolBusinessA</vt:lpstr>
      <vt:lpstr>ScreentoolBusinessB</vt:lpstr>
      <vt:lpstr>ScreentoolCashFlow</vt:lpstr>
      <vt:lpstr>ScreentoolCompDev</vt:lpstr>
      <vt:lpstr>ScreentoolDecSummary</vt:lpstr>
      <vt:lpstr>ScreentoolHRReport</vt:lpstr>
      <vt:lpstr>ScreentoolInitiatives</vt:lpstr>
      <vt:lpstr>ScreentoolIntro</vt:lpstr>
      <vt:lpstr>ScreentoolPeople</vt:lpstr>
      <vt:lpstr>ScreentoolPNL</vt:lpstr>
      <vt:lpstr>ScreentoolPNLBusA</vt:lpstr>
      <vt:lpstr>ScreentoolPNLBusB</vt:lpstr>
      <vt:lpstr>sheet_tab1_row1</vt:lpstr>
      <vt:lpstr>sheet_tab1_row2</vt:lpstr>
      <vt:lpstr>sheet_tab1_row3</vt:lpstr>
      <vt:lpstr>sheet_tab2_row1</vt:lpstr>
      <vt:lpstr>sheet_tab2_row2</vt:lpstr>
      <vt:lpstr>sheet_tab2_row3</vt:lpstr>
      <vt:lpstr>sheet_tab3_row1</vt:lpstr>
      <vt:lpstr>sheet_tab3_row2</vt:lpstr>
      <vt:lpstr>sheet_tab3_row3</vt:lpstr>
      <vt:lpstr>sheet_tab4_row1</vt:lpstr>
      <vt:lpstr>sheet_tab4_row2</vt:lpstr>
      <vt:lpstr>sheet_tab4_row3</vt:lpstr>
      <vt:lpstr>sheet_tab5_row1</vt:lpstr>
      <vt:lpstr>sheet_tab5_row2</vt:lpstr>
      <vt:lpstr>sheet_tab5_row3</vt:lpstr>
      <vt:lpstr>sheet_tab6_row1</vt:lpstr>
      <vt:lpstr>sheet_tab6_row2</vt:lpstr>
      <vt:lpstr>sheet_tab6_row3</vt:lpstr>
      <vt:lpstr>sheet_tab7_row1</vt:lpstr>
      <vt:lpstr>sheet_tab7_row2</vt:lpstr>
      <vt:lpstr>sheet_tab7_row23</vt:lpstr>
      <vt:lpstr>sheet_tab7_row3</vt:lpstr>
      <vt:lpstr>sheet_tab8_row1</vt:lpstr>
      <vt:lpstr>sheet_tab8_row2</vt:lpstr>
      <vt:lpstr>sheet_tab8_row3</vt:lpstr>
      <vt:lpstr>tab1_row1_visible</vt:lpstr>
      <vt:lpstr>tab1_row2_visible</vt:lpstr>
      <vt:lpstr>tab1_row3_visible</vt:lpstr>
      <vt:lpstr>tab1_rows</vt:lpstr>
      <vt:lpstr>tab1_text</vt:lpstr>
      <vt:lpstr>tab1_visible</vt:lpstr>
      <vt:lpstr>tab2_row1_visible</vt:lpstr>
      <vt:lpstr>tab2_row2_visible</vt:lpstr>
      <vt:lpstr>tab2_row3_visible</vt:lpstr>
      <vt:lpstr>tab2_rows</vt:lpstr>
      <vt:lpstr>tab2_text</vt:lpstr>
      <vt:lpstr>tab2_visible</vt:lpstr>
      <vt:lpstr>tab3_row1_visible</vt:lpstr>
      <vt:lpstr>tab3_row2_visible</vt:lpstr>
      <vt:lpstr>tab3_row3_visible</vt:lpstr>
      <vt:lpstr>tab3_rows</vt:lpstr>
      <vt:lpstr>tab3_text</vt:lpstr>
      <vt:lpstr>tab3_visible</vt:lpstr>
      <vt:lpstr>tab4_row1_visible</vt:lpstr>
      <vt:lpstr>tab4_row2_visible</vt:lpstr>
      <vt:lpstr>tab4_row3_visible</vt:lpstr>
      <vt:lpstr>tab4_rows</vt:lpstr>
      <vt:lpstr>tab4_text</vt:lpstr>
      <vt:lpstr>tab4_visible</vt:lpstr>
      <vt:lpstr>tab4buttons_visible</vt:lpstr>
      <vt:lpstr>tab5_row1_visible</vt:lpstr>
      <vt:lpstr>tab5_row2_visible</vt:lpstr>
      <vt:lpstr>tab5_row3_visible</vt:lpstr>
      <vt:lpstr>tab5_rows</vt:lpstr>
      <vt:lpstr>tab5_text</vt:lpstr>
      <vt:lpstr>tab5_visible</vt:lpstr>
      <vt:lpstr>tab5buttons_visible</vt:lpstr>
      <vt:lpstr>tab6_row1_visible</vt:lpstr>
      <vt:lpstr>tab6_row2_visible</vt:lpstr>
      <vt:lpstr>tab6_row3_visible</vt:lpstr>
      <vt:lpstr>tab6_rows</vt:lpstr>
      <vt:lpstr>tab6_text</vt:lpstr>
      <vt:lpstr>tab6_visible</vt:lpstr>
      <vt:lpstr>tab6buttons_visible</vt:lpstr>
      <vt:lpstr>tab7_row1_visible</vt:lpstr>
      <vt:lpstr>tab7_row2_visible</vt:lpstr>
      <vt:lpstr>tab7_row3_visible</vt:lpstr>
      <vt:lpstr>tab7_rows</vt:lpstr>
      <vt:lpstr>tab7_text</vt:lpstr>
      <vt:lpstr>tab7_visible</vt:lpstr>
      <vt:lpstr>tab7buttons_visible</vt:lpstr>
      <vt:lpstr>tab8_row1_visible</vt:lpstr>
      <vt:lpstr>tab8_row2_visible</vt:lpstr>
      <vt:lpstr>tab8_row3_visible</vt:lpstr>
      <vt:lpstr>tab8_rows</vt:lpstr>
      <vt:lpstr>tab8_text</vt:lpstr>
      <vt:lpstr>tab8_visible</vt:lpstr>
      <vt:lpstr>tab8buttons_visible</vt:lpstr>
      <vt:lpstr>tabCount</vt:lpstr>
      <vt:lpstr>tlInputBid1Check</vt:lpstr>
      <vt:lpstr>tlInputBid1Emp2HrsRFQ</vt:lpstr>
      <vt:lpstr>tlInputBid1Emp3HrsRFQ</vt:lpstr>
      <vt:lpstr>tlInputBid1Emp4HrsRFQ</vt:lpstr>
      <vt:lpstr>tlInputBid1Price</vt:lpstr>
      <vt:lpstr>tlInputBid2Check</vt:lpstr>
      <vt:lpstr>tlInputBid2Emp2HrsRFQ</vt:lpstr>
      <vt:lpstr>tlInputBid2Emp3HrsRFQ</vt:lpstr>
      <vt:lpstr>tlInputBid2Emp4HrsRFQ</vt:lpstr>
      <vt:lpstr>tlInputBid2Price</vt:lpstr>
      <vt:lpstr>tlInputBid3Check</vt:lpstr>
      <vt:lpstr>tlInputBid3Emp2HrsRFQ</vt:lpstr>
      <vt:lpstr>tlInputBid3Emp3HrsRFQ</vt:lpstr>
      <vt:lpstr>tlInputBid3Emp4HrsRFQ</vt:lpstr>
      <vt:lpstr>tlInputBid3Price</vt:lpstr>
      <vt:lpstr>tlInputBid4Check</vt:lpstr>
      <vt:lpstr>tlInputBid4Emp2HrsRFQ</vt:lpstr>
      <vt:lpstr>tlInputBid4Emp3HrsRFQ</vt:lpstr>
      <vt:lpstr>tlInputBid4Emp4HrsRFQ</vt:lpstr>
      <vt:lpstr>tlInputBid4Price</vt:lpstr>
      <vt:lpstr>tlInputBid5Check</vt:lpstr>
      <vt:lpstr>tlInputBid5Emp2HrsRFQ</vt:lpstr>
      <vt:lpstr>tlInputBid5Emp3HrsRFQ</vt:lpstr>
      <vt:lpstr>tlInputBid5Emp4HrsRFQ</vt:lpstr>
      <vt:lpstr>tlInputBid5Price</vt:lpstr>
      <vt:lpstr>tlInputBid6Check</vt:lpstr>
      <vt:lpstr>tlInputBid6Emp2HrsRFQ</vt:lpstr>
      <vt:lpstr>tlInputBid6Emp3HrsRFQ</vt:lpstr>
      <vt:lpstr>tlInputBid6Emp4HrsRFQ</vt:lpstr>
      <vt:lpstr>tlInputBid6Price</vt:lpstr>
      <vt:lpstr>tlInputBid7Check</vt:lpstr>
      <vt:lpstr>tlInputBid7Emp2HrsRFQ</vt:lpstr>
      <vt:lpstr>tlInputBid7Emp3HrsRFQ</vt:lpstr>
      <vt:lpstr>tlInputBid7Emp4HrsRFQ</vt:lpstr>
      <vt:lpstr>tlInputBid7Price</vt:lpstr>
      <vt:lpstr>tlInputBid8Check</vt:lpstr>
      <vt:lpstr>tlInputBid8Emp2HrsRFQ</vt:lpstr>
      <vt:lpstr>tlInputBid8Emp3HrsRFQ</vt:lpstr>
      <vt:lpstr>tlInputBid8Emp4HrsRFQ</vt:lpstr>
      <vt:lpstr>tlInputBid8Price</vt:lpstr>
      <vt:lpstr>tlInputBid9Check</vt:lpstr>
      <vt:lpstr>tlInputBid9Emp2HrsRFQ</vt:lpstr>
      <vt:lpstr>tlInputBid9Emp3HrsRFQ</vt:lpstr>
      <vt:lpstr>tlInputBid9Emp4HrsRFQ</vt:lpstr>
      <vt:lpstr>tlInputBid9Price</vt:lpstr>
      <vt:lpstr>tlInputBusABusDevNonPayrollBud</vt:lpstr>
      <vt:lpstr>tlInputBusAEmp1HrsCurrProj</vt:lpstr>
      <vt:lpstr>tlInputBusAEmp1HrsCurrProjV2</vt:lpstr>
      <vt:lpstr>tlInputBusAEmp1HrsCurrProjV3</vt:lpstr>
      <vt:lpstr>tlInputBusAEmp1HrsSales</vt:lpstr>
      <vt:lpstr>tlInputBusAEmp1HrsSalesV2</vt:lpstr>
      <vt:lpstr>tlInputBusAEmp1HrsSalesV3</vt:lpstr>
      <vt:lpstr>tlInputBusAEmp2HrsCurrProj</vt:lpstr>
      <vt:lpstr>tlInputBusAEmp2HrsCurrProjV2</vt:lpstr>
      <vt:lpstr>tlInputBusAEmp2HrsCurrProjV3</vt:lpstr>
      <vt:lpstr>tlInputBusAEmp2HrsSales</vt:lpstr>
      <vt:lpstr>tlInputBusAEmp2HrsSalesV2</vt:lpstr>
      <vt:lpstr>tlInputBusAEmp2HrsSalesV3</vt:lpstr>
      <vt:lpstr>tlInputBusAEmp3HrsCurrProj</vt:lpstr>
      <vt:lpstr>tlInputBusAEmp3HrsCurrProjV2</vt:lpstr>
      <vt:lpstr>tlInputBusAEmp3HrsCurrProjV3</vt:lpstr>
      <vt:lpstr>tlInputBusAEmp3HrsSales</vt:lpstr>
      <vt:lpstr>tlInputBusAEmp3HrsSalesV2</vt:lpstr>
      <vt:lpstr>tlInputBusAEmp3HrsSalesV3</vt:lpstr>
      <vt:lpstr>tlInputBusAEmp4HrsCurrProj</vt:lpstr>
      <vt:lpstr>tlInputBusAEmp4HrsCurrProjV2</vt:lpstr>
      <vt:lpstr>tlInputBusAEmp4HrsCurrProjV3</vt:lpstr>
      <vt:lpstr>tlInputBusAEmp4HrsSales</vt:lpstr>
      <vt:lpstr>tlInputBusAEmp4HrsSalesV2</vt:lpstr>
      <vt:lpstr>tlInputBusAEmp4HrsSalesV3</vt:lpstr>
      <vt:lpstr>tlInputBusAEmp7HrsCurrProj</vt:lpstr>
      <vt:lpstr>tlInputBusAEmp7HrsCurrProjV2</vt:lpstr>
      <vt:lpstr>tlInputBusAEmp7HrsCurrProjV3</vt:lpstr>
      <vt:lpstr>tlInputBusAemp7HrsSales</vt:lpstr>
      <vt:lpstr>tlInputBusAemp7HrsSalesV2</vt:lpstr>
      <vt:lpstr>tlInputBusAemp7HrsSalesV3</vt:lpstr>
      <vt:lpstr>tlInputBusAEmp8HrsCurrProj</vt:lpstr>
      <vt:lpstr>tlInputBusAEmp8HrsCurrProjV2</vt:lpstr>
      <vt:lpstr>tlInputBusAEmp8HrsCurrProjV3</vt:lpstr>
      <vt:lpstr>tlInputBusAemp8HrsSales</vt:lpstr>
      <vt:lpstr>tlInputBusAemp8HrsSalesV2</vt:lpstr>
      <vt:lpstr>tlInputBusAemp8HrsSalesV3</vt:lpstr>
      <vt:lpstr>tlInputBusAEmp9HrsCurrProj</vt:lpstr>
      <vt:lpstr>tlInputBusAEmp9HrsCurrProjV2</vt:lpstr>
      <vt:lpstr>tlInputBusAEmp9HrsCurrProjV3</vt:lpstr>
      <vt:lpstr>tlInputBusAemp9HrsSales</vt:lpstr>
      <vt:lpstr>tlInputBusAemp9HrsSalesV2</vt:lpstr>
      <vt:lpstr>tlInputBusAemp9HrsSalesV3</vt:lpstr>
      <vt:lpstr>tlInputBusASales2</vt:lpstr>
      <vt:lpstr>tlInputBusASales4</vt:lpstr>
      <vt:lpstr>tlInputBusASales6</vt:lpstr>
      <vt:lpstr>tlInputBusASalesLvl1</vt:lpstr>
      <vt:lpstr>tlInputBusASalesLvl2</vt:lpstr>
      <vt:lpstr>tlInputBusASalesLvl3</vt:lpstr>
      <vt:lpstr>tlInputBusASalesLvl4</vt:lpstr>
      <vt:lpstr>tlInputBusASalesLvl5</vt:lpstr>
      <vt:lpstr>tlInputBusASalesLvl6</vt:lpstr>
      <vt:lpstr>tlInputBusASalesMC1</vt:lpstr>
      <vt:lpstr>tlInputBusASalesMC2</vt:lpstr>
      <vt:lpstr>tlInputBusASalesMC3</vt:lpstr>
      <vt:lpstr>tlInputBusAStaffLvl1</vt:lpstr>
      <vt:lpstr>tlInputBusAStaffLvl2</vt:lpstr>
      <vt:lpstr>tlInputBusAStaffLvl3</vt:lpstr>
      <vt:lpstr>tlInputBusAStaffLvl4</vt:lpstr>
      <vt:lpstr>tlInputBusAStaffLvl5</vt:lpstr>
      <vt:lpstr>tlInputBusAStaffLvl6</vt:lpstr>
      <vt:lpstr>tlInputBusAStaffProfMC1</vt:lpstr>
      <vt:lpstr>tlInputBusAStaffProfMC2</vt:lpstr>
      <vt:lpstr>tlInputBusAStaffProfMC3</vt:lpstr>
      <vt:lpstr>tlInputBusAStaffProfSIT1</vt:lpstr>
      <vt:lpstr>tlInputBusAStaffProfSIT2</vt:lpstr>
      <vt:lpstr>tlInputBusAStaffProfSIT3</vt:lpstr>
      <vt:lpstr>tlInputBusAV1HrsBorrowed</vt:lpstr>
      <vt:lpstr>tlInputBusAV2HrsBorrowed</vt:lpstr>
      <vt:lpstr>tlInputBusAV3HrsBorrowed</vt:lpstr>
      <vt:lpstr>tlInputBusBBusDevNonPayrollBud</vt:lpstr>
      <vt:lpstr>tlInputClientIntCostBid1</vt:lpstr>
      <vt:lpstr>tlInputClientIntCostBid2</vt:lpstr>
      <vt:lpstr>tlInputClientIntCostBid3</vt:lpstr>
      <vt:lpstr>tlInputClientIntCostBid4</vt:lpstr>
      <vt:lpstr>tlInputClientIntCostBid5</vt:lpstr>
      <vt:lpstr>tlInputClientIntCostBid6</vt:lpstr>
      <vt:lpstr>tlInputClientIntCostBid7</vt:lpstr>
      <vt:lpstr>tlInputClientIntCostBid8</vt:lpstr>
      <vt:lpstr>tlInputClientIntCostBid9</vt:lpstr>
      <vt:lpstr>tlInputClientPctBid1</vt:lpstr>
      <vt:lpstr>tlInputClientPctBid2</vt:lpstr>
      <vt:lpstr>tlInputClientPctBid3</vt:lpstr>
      <vt:lpstr>tlInputClientPctBid4</vt:lpstr>
      <vt:lpstr>tlInputClientPctBid5</vt:lpstr>
      <vt:lpstr>tlInputClientPctBid6</vt:lpstr>
      <vt:lpstr>tlInputClientPctBid7</vt:lpstr>
      <vt:lpstr>tlInputClientPctBid8</vt:lpstr>
      <vt:lpstr>tlInputClientPctBid9</vt:lpstr>
      <vt:lpstr>tlInputCompDevBusAV1</vt:lpstr>
      <vt:lpstr>tlInputCompDevBusAV2</vt:lpstr>
      <vt:lpstr>tlInputCompDevBusAV3</vt:lpstr>
      <vt:lpstr>tlInputEmp1BusADismiss</vt:lpstr>
      <vt:lpstr>tlInputEmp1BusAHire</vt:lpstr>
      <vt:lpstr>tlInputEmp1BusALocalPer</vt:lpstr>
      <vt:lpstr>tlInputEmp1BusBDismiss</vt:lpstr>
      <vt:lpstr>tlInputEmp1BusBHire</vt:lpstr>
      <vt:lpstr>tlInputEmp1BusBOpsImprove</vt:lpstr>
      <vt:lpstr>tlInputEmp1SalaryLvl</vt:lpstr>
      <vt:lpstr>tlInputEmp2BusADismiss</vt:lpstr>
      <vt:lpstr>tlInputEmp2BusAHire</vt:lpstr>
      <vt:lpstr>tlInputEmp2BusALocalPer</vt:lpstr>
      <vt:lpstr>tlInputEmp2BusBDismiss</vt:lpstr>
      <vt:lpstr>tlInputEmp2BusBHire</vt:lpstr>
      <vt:lpstr>tlInputEmp2BusBOpsImprove</vt:lpstr>
      <vt:lpstr>tlInputEmp2Salary</vt:lpstr>
      <vt:lpstr>tlInputEmp2SalaryLvl</vt:lpstr>
      <vt:lpstr>tlInputEmp2Training</vt:lpstr>
      <vt:lpstr>tlInputEmp2TrainingBudget</vt:lpstr>
      <vt:lpstr>tlInputEmp3BusADismiss</vt:lpstr>
      <vt:lpstr>tlInputEmp3BusAHire</vt:lpstr>
      <vt:lpstr>tlInputEmp3BusALocalPer</vt:lpstr>
      <vt:lpstr>tlInputEmp3BusBDismiss</vt:lpstr>
      <vt:lpstr>tlInputEmp3BusBHire</vt:lpstr>
      <vt:lpstr>tlInputEmp3BusBOpsImprove</vt:lpstr>
      <vt:lpstr>tlInputEmp3Salary</vt:lpstr>
      <vt:lpstr>tlInputEmp3SalaryLvl</vt:lpstr>
      <vt:lpstr>tlInputEmp3Training</vt:lpstr>
      <vt:lpstr>tlInputEmp3TrainingBudget</vt:lpstr>
      <vt:lpstr>tlInputEmp4BusADismiss</vt:lpstr>
      <vt:lpstr>tlInputEmp4BusAHire</vt:lpstr>
      <vt:lpstr>tlInputEmp4BusALocalPer</vt:lpstr>
      <vt:lpstr>tlInputEmp4BusBDismiss</vt:lpstr>
      <vt:lpstr>tlInputEmp4BusBHire</vt:lpstr>
      <vt:lpstr>tlInputEmp4BusBOpsImprove</vt:lpstr>
      <vt:lpstr>tlInputEmp4Salary</vt:lpstr>
      <vt:lpstr>tlInputEmp4SalaryLvl</vt:lpstr>
      <vt:lpstr>tlInputEmp4Training</vt:lpstr>
      <vt:lpstr>tlInputEmp4TrainingBudget</vt:lpstr>
      <vt:lpstr>tlInputEmp7BusADismiss</vt:lpstr>
      <vt:lpstr>tlInputEmp7BusAHire</vt:lpstr>
      <vt:lpstr>tlInputEmp8BusADismiss</vt:lpstr>
      <vt:lpstr>tlInputEmp8BusAHire</vt:lpstr>
      <vt:lpstr>tlInputEmp9BusADismiss</vt:lpstr>
      <vt:lpstr>tlInputEmp9BusAHire</vt:lpstr>
      <vt:lpstr>tlInputEntSvcsEmp1Training</vt:lpstr>
      <vt:lpstr>tlInputEntSvcsEmp1TrainingNextYr</vt:lpstr>
      <vt:lpstr>tlInputEntSvcsSalesSupportLevelPrac1</vt:lpstr>
      <vt:lpstr>tlInputEntSvcsSalesSupportLevelPrac2</vt:lpstr>
      <vt:lpstr>tlInputEntSvcsSalesSupportLevelPrac3</vt:lpstr>
      <vt:lpstr>tlInputEntWFDismiss</vt:lpstr>
      <vt:lpstr>tlInputEntWFHire</vt:lpstr>
      <vt:lpstr>tlInputEntWFTraining</vt:lpstr>
      <vt:lpstr>tlInputEntWFTrainingBudget</vt:lpstr>
      <vt:lpstr>tlInputIndustryEminence</vt:lpstr>
      <vt:lpstr>tlInputInternalassets</vt:lpstr>
      <vt:lpstr>tlInputProd1Adv</vt:lpstr>
      <vt:lpstr>tlInputProd1Growth</vt:lpstr>
      <vt:lpstr>tlInputProd1Price</vt:lpstr>
      <vt:lpstr>tlInputProd1Units</vt:lpstr>
      <vt:lpstr>tlInputProd1V2Growth</vt:lpstr>
      <vt:lpstr>tlInputProd1V2Price</vt:lpstr>
      <vt:lpstr>tlInputProd1V2Units</vt:lpstr>
      <vt:lpstr>tlInputProd1V3Growth</vt:lpstr>
      <vt:lpstr>tlInputProd1V3Price</vt:lpstr>
      <vt:lpstr>tlInputProd1V3Units</vt:lpstr>
      <vt:lpstr>tlInputSpecProg1</vt:lpstr>
      <vt:lpstr>tlInputSpecProg1Check</vt:lpstr>
      <vt:lpstr>tlInputSpecProg2</vt:lpstr>
      <vt:lpstr>tlInputSpecProg2Check</vt:lpstr>
      <vt:lpstr>tlInputSpecProg3</vt:lpstr>
      <vt:lpstr>tlInputSpecProg3Check</vt:lpstr>
      <vt:lpstr>tlInputSpecProg4</vt:lpstr>
      <vt:lpstr>tlInputSpecProg4Check</vt:lpstr>
      <vt:lpstr>tlInputSpecProg5</vt:lpstr>
      <vt:lpstr>tlInputSpecProg5Check</vt:lpstr>
      <vt:lpstr>tlInputSpecProg6</vt:lpstr>
      <vt:lpstr>tlInputSpecProg6Check</vt:lpstr>
      <vt:lpstr>tlInputSpecProg7</vt:lpstr>
      <vt:lpstr>tlInputSpecProg7Check</vt:lpstr>
      <vt:lpstr>tlInputTeamName</vt:lpstr>
      <vt:lpstr>tlInputTeamNumber</vt:lpstr>
      <vt:lpstr>tlInputTeamRound</vt:lpstr>
      <vt:lpstr>tlInputTeamYear</vt:lpstr>
      <vt:lpstr>tlInputtoolBusinessBClearRange</vt:lpstr>
      <vt:lpstr>tlInputV1H1Dev</vt:lpstr>
      <vt:lpstr>tlInputV1H2Dev</vt:lpstr>
      <vt:lpstr>tlInputV1H3Dev</vt:lpstr>
      <vt:lpstr>tlInputV2H1Dev</vt:lpstr>
      <vt:lpstr>tlInputV2H2Dev</vt:lpstr>
      <vt:lpstr>tlInputV2H3Dev</vt:lpstr>
      <vt:lpstr>tlInputV3H1Dev</vt:lpstr>
      <vt:lpstr>tlInputV3H2Dev</vt:lpstr>
      <vt:lpstr>tlInputV3H3Dev</vt:lpstr>
      <vt:lpstr>tlInputWobbler1</vt:lpstr>
      <vt:lpstr>tlInputWobbler2</vt:lpstr>
      <vt:lpstr>tlInputWobbler3</vt:lpstr>
      <vt:lpstr>tlInputWobbler4</vt:lpstr>
      <vt:lpstr>tlobalAPValue</vt:lpstr>
      <vt:lpstr>tlobalARValue</vt:lpstr>
      <vt:lpstr>tlobalAssetsValue</vt:lpstr>
      <vt:lpstr>tlobalAvgTrainingBudgetDelta</vt:lpstr>
      <vt:lpstr>tlobalBookings</vt:lpstr>
      <vt:lpstr>tlobalBusABusDevNonPayroll</vt:lpstr>
      <vt:lpstr>tlobalBusACompDev</vt:lpstr>
      <vt:lpstr>tlobalBusACompDevCurrYrTotal</vt:lpstr>
      <vt:lpstr>tlobalBusACompDevV1</vt:lpstr>
      <vt:lpstr>tlobalBusACompDevV2</vt:lpstr>
      <vt:lpstr>tlobalBusACompDevV3</vt:lpstr>
      <vt:lpstr>tlobalBusAEmp1</vt:lpstr>
      <vt:lpstr>tlobalBusAEmp1IndAvgUtiliz</vt:lpstr>
      <vt:lpstr>tlobalBusAEmp1Recruited</vt:lpstr>
      <vt:lpstr>tlobalBusAEmp1Utiliz</vt:lpstr>
      <vt:lpstr>tlobalBusAEmp2</vt:lpstr>
      <vt:lpstr>tlobalBusAEmp2IndAvgUtiliz</vt:lpstr>
      <vt:lpstr>tlobalBusAEmp2Recruited</vt:lpstr>
      <vt:lpstr>tlobalBusAEmp2Utiliz</vt:lpstr>
      <vt:lpstr>tlobalBusAEmp2UtilizY1</vt:lpstr>
      <vt:lpstr>tlobalBusAEmp2UtilizY2</vt:lpstr>
      <vt:lpstr>tlobalBusAEmp3</vt:lpstr>
      <vt:lpstr>tlobalBusAEmp3IndAvgUtiliz</vt:lpstr>
      <vt:lpstr>tlobalBusAEmp3Recruited</vt:lpstr>
      <vt:lpstr>tlobalBusAEmp3Utiliz</vt:lpstr>
      <vt:lpstr>tlobalBusAEmp3UtilizY1</vt:lpstr>
      <vt:lpstr>tlobalBusAEmp3UtilizY2</vt:lpstr>
      <vt:lpstr>tlobalBusAEmp4</vt:lpstr>
      <vt:lpstr>tlobalBusAEmp4IndAvgUtiliz</vt:lpstr>
      <vt:lpstr>tlobalBusAEmp4Recruited</vt:lpstr>
      <vt:lpstr>tlobalBusAEmp4Utiliz</vt:lpstr>
      <vt:lpstr>tlobalBusAEmp4UtilizY1</vt:lpstr>
      <vt:lpstr>tlobalBusAEmp4UtilizY2</vt:lpstr>
      <vt:lpstr>tlobalBusAEmp7</vt:lpstr>
      <vt:lpstr>tlobalBusAEmp7Utiliz</vt:lpstr>
      <vt:lpstr>tlobalBusAEmp8</vt:lpstr>
      <vt:lpstr>tlobalBusAEmp8Utiliz</vt:lpstr>
      <vt:lpstr>tlobalBusAEmp9</vt:lpstr>
      <vt:lpstr>tlobalBusAEmp9Utiliz</vt:lpstr>
      <vt:lpstr>tlobalBusAEmp9UtilizY1</vt:lpstr>
      <vt:lpstr>tlobalBusAEmp9UtilizY2</vt:lpstr>
      <vt:lpstr>tlobalBusALocalPerCostReduce</vt:lpstr>
      <vt:lpstr>tlobalBusAOverallConsUtil</vt:lpstr>
      <vt:lpstr>tlobalBusAOverallSolnWFUtil</vt:lpstr>
      <vt:lpstr>tlobalBusARevenue</vt:lpstr>
      <vt:lpstr>tlobalBusATLV1</vt:lpstr>
      <vt:lpstr>tlobalBusATLV2</vt:lpstr>
      <vt:lpstr>tlobalBusATLV3</vt:lpstr>
      <vt:lpstr>tlobalBusATotalCurrentRev</vt:lpstr>
      <vt:lpstr>tlobalBusAV1ControllableIncome</vt:lpstr>
      <vt:lpstr>tlobalBusAV1HrsSold</vt:lpstr>
      <vt:lpstr>tlobalBusAV1MktShr</vt:lpstr>
      <vt:lpstr>tlobalBusAV1PricePerHr</vt:lpstr>
      <vt:lpstr>tlobalBusAV1Y1Rev</vt:lpstr>
      <vt:lpstr>tlobalBusAV1Y2Rev</vt:lpstr>
      <vt:lpstr>tlobalBusAV1Y3Rev</vt:lpstr>
      <vt:lpstr>tlobalBusAV2ControllableIncome</vt:lpstr>
      <vt:lpstr>tlobalBusAV2HrsSold</vt:lpstr>
      <vt:lpstr>tlobalBusAV2MktShr</vt:lpstr>
      <vt:lpstr>tlobalBusAV2PricePerHr</vt:lpstr>
      <vt:lpstr>tlobalBusAV2Y1Rev</vt:lpstr>
      <vt:lpstr>tlobalBusAV2Y2Rev</vt:lpstr>
      <vt:lpstr>tlobalBusAV2Y3Rev</vt:lpstr>
      <vt:lpstr>tlobalBusAV3ControllableIncome</vt:lpstr>
      <vt:lpstr>tlobalBusAV3HrsSold</vt:lpstr>
      <vt:lpstr>tlobalBusAV3MktShr</vt:lpstr>
      <vt:lpstr>tlobalBusAV3PricePerHr</vt:lpstr>
      <vt:lpstr>tlobalBusAV3Y1Rev</vt:lpstr>
      <vt:lpstr>tlobalBusAV3Y2Rev</vt:lpstr>
      <vt:lpstr>tlobalBusAV3Y3Rev</vt:lpstr>
      <vt:lpstr>tlobalBusBBusDevNonPayroll</vt:lpstr>
      <vt:lpstr>tlobalBusBCompDev</vt:lpstr>
      <vt:lpstr>tlobalBusBEmp1</vt:lpstr>
      <vt:lpstr>tlobalBusBEmp1IndAvgUtiliz</vt:lpstr>
      <vt:lpstr>tlobalBusBEmp1Recruited</vt:lpstr>
      <vt:lpstr>tlobalBusBEmp1Utiliz</vt:lpstr>
      <vt:lpstr>tlobalBusBEmp2</vt:lpstr>
      <vt:lpstr>tlobalBusBEmp2IndAvgUtiliz</vt:lpstr>
      <vt:lpstr>tlobalBusBEmp2Recruited</vt:lpstr>
      <vt:lpstr>tlobalBusBEmp2Utiliz</vt:lpstr>
      <vt:lpstr>tlobalBusBEmp3</vt:lpstr>
      <vt:lpstr>tlobalBusBEmp3IndAvgUtiliz</vt:lpstr>
      <vt:lpstr>tlobalBusBEmp3Recruited</vt:lpstr>
      <vt:lpstr>tlobalBusBEmp3Utiliz</vt:lpstr>
      <vt:lpstr>tlobalBusBEmp4</vt:lpstr>
      <vt:lpstr>tlobalBusBEmp4IndAvgUtiliz</vt:lpstr>
      <vt:lpstr>tlobalBusBEmp4Recruited</vt:lpstr>
      <vt:lpstr>tlobalBusBEmp4Utiliz</vt:lpstr>
      <vt:lpstr>tlobalBusBGenOpsPctCostReduce</vt:lpstr>
      <vt:lpstr>tlobalBusBOverallConsUtil</vt:lpstr>
      <vt:lpstr>tlobalBusBOverallSolnWFUtil</vt:lpstr>
      <vt:lpstr>tlobalBusBRevenue</vt:lpstr>
      <vt:lpstr>tlobalBusBV1ControllableIncome</vt:lpstr>
      <vt:lpstr>tlobalBusBV2ControllableIncome</vt:lpstr>
      <vt:lpstr>tlobalBusBV3ControllableIncome</vt:lpstr>
      <vt:lpstr>tlobalCashValue</vt:lpstr>
      <vt:lpstr>tlobalConsultingCCIPctRevY1</vt:lpstr>
      <vt:lpstr>tlobalConsultingCCIPctRevY2</vt:lpstr>
      <vt:lpstr>tlobalConsultingCCIPctRevY3</vt:lpstr>
      <vt:lpstr>tlobalConsultingCCIPctRevY4</vt:lpstr>
      <vt:lpstr>tlobalConsultingConsultantUtilY1</vt:lpstr>
      <vt:lpstr>tlobalConsultingConsultantUtilY2</vt:lpstr>
      <vt:lpstr>tlobalConsultingConsultantUtilY3</vt:lpstr>
      <vt:lpstr>tlobalConsultingConsultantUtilY4</vt:lpstr>
      <vt:lpstr>tlobalConsultingRevenueY1</vt:lpstr>
      <vt:lpstr>tlobalConsultingRevenueY2</vt:lpstr>
      <vt:lpstr>tlobalConsultingRevenueY3</vt:lpstr>
      <vt:lpstr>tlobalConsultingRevenueY4</vt:lpstr>
      <vt:lpstr>tlobalConsultingRevPctofTotalRevY1</vt:lpstr>
      <vt:lpstr>tlobalConsultingRevPctofTotalRevY2</vt:lpstr>
      <vt:lpstr>tlobalConsultingRevPctofTotalRevY3</vt:lpstr>
      <vt:lpstr>tlobalConsultingRevPctofTotalRevY4</vt:lpstr>
      <vt:lpstr>tlobalConsultingSalesGrowthY1</vt:lpstr>
      <vt:lpstr>tlobalConsultingSalesGrowthY2</vt:lpstr>
      <vt:lpstr>tlobalConsultingSalesGrowthY3</vt:lpstr>
      <vt:lpstr>tlobalConsultingSalesGrowthY4</vt:lpstr>
      <vt:lpstr>tlobalConsultingSolnWFUtilY1</vt:lpstr>
      <vt:lpstr>tlobalConsultingSolnWFUtilY2</vt:lpstr>
      <vt:lpstr>tlobalConsultingSolnWFUtilY3</vt:lpstr>
      <vt:lpstr>tlobalConsultingSolnWFUtilY4</vt:lpstr>
      <vt:lpstr>tlobalCSAT</vt:lpstr>
      <vt:lpstr>tlobalCSATY1</vt:lpstr>
      <vt:lpstr>tlobalCSATY2</vt:lpstr>
      <vt:lpstr>tlobalCStockPricePShare</vt:lpstr>
      <vt:lpstr>tlobalCStockShares</vt:lpstr>
      <vt:lpstr>tlobalCStockValue</vt:lpstr>
      <vt:lpstr>tlobalCumBalCardPoints</vt:lpstr>
      <vt:lpstr>tlobalEmp1</vt:lpstr>
      <vt:lpstr>tlobalEmp1CumTrainingHrs</vt:lpstr>
      <vt:lpstr>tlobalEmp1GeneralTrainingBudget</vt:lpstr>
      <vt:lpstr>tlobalEmp1GeneralTrainingHrsAvail</vt:lpstr>
      <vt:lpstr>tlobalEmp1GeneralTrainingHrsCompleted</vt:lpstr>
      <vt:lpstr>tlobalEmp1Salary</vt:lpstr>
      <vt:lpstr>tlobalEmp1TrainingBudgetDelta</vt:lpstr>
      <vt:lpstr>tlobalEmp2</vt:lpstr>
      <vt:lpstr>tlobalEmp2CumTrainingHrs</vt:lpstr>
      <vt:lpstr>tlobalEmp2GeneralTrainingBudget</vt:lpstr>
      <vt:lpstr>tlobalEmp2GeneralTrainingHrsAvail</vt:lpstr>
      <vt:lpstr>tlobalEmp2GeneralTrainingHrsCompleted</vt:lpstr>
      <vt:lpstr>tlobalEmp2Salary</vt:lpstr>
      <vt:lpstr>tlobalEmp2TrainingBudgetDelta</vt:lpstr>
      <vt:lpstr>tlobalEmp3</vt:lpstr>
      <vt:lpstr>tlobalEmp3CumTrainingHrs</vt:lpstr>
      <vt:lpstr>tlobalEmp3GeneralTrainingBudget</vt:lpstr>
      <vt:lpstr>tlobalEmp3GeneralTrainingHrsAvail</vt:lpstr>
      <vt:lpstr>tlobalEmp3GeneralTrainingHrsCompleted</vt:lpstr>
      <vt:lpstr>tlobalEmp3Salary</vt:lpstr>
      <vt:lpstr>tlobalEmp3TrainingBudgetDelta</vt:lpstr>
      <vt:lpstr>tlobalEmp4</vt:lpstr>
      <vt:lpstr>tlobalEmp4CumTrainingHrs</vt:lpstr>
      <vt:lpstr>tlobalEmp4GeneralTrainingBudget</vt:lpstr>
      <vt:lpstr>tlobalEmp4GeneralTrainingHrsAvail</vt:lpstr>
      <vt:lpstr>tlobalEmp4GeneralTrainingHrsCompleted</vt:lpstr>
      <vt:lpstr>tlobalEmp4Salary</vt:lpstr>
      <vt:lpstr>tlobalEmp4TrainingBudgetDelta</vt:lpstr>
      <vt:lpstr>tlobalEmp6</vt:lpstr>
      <vt:lpstr>tlobalEmp6CumTrainingHrs</vt:lpstr>
      <vt:lpstr>tlobalEmp6GeneralTrainingBudget</vt:lpstr>
      <vt:lpstr>tlobalEmp6GeneralTrainingHrsAvail</vt:lpstr>
      <vt:lpstr>tlobalEmp6GeneralTrainingHrsCompleted</vt:lpstr>
      <vt:lpstr>tlobalEmp6IndAvgUtiliz</vt:lpstr>
      <vt:lpstr>tlobalEmp6Recruited</vt:lpstr>
      <vt:lpstr>tlobalEmp6TrainingBudgetDelta</vt:lpstr>
      <vt:lpstr>tlobalEmp6Utiliz</vt:lpstr>
      <vt:lpstr>tlobalEmp7Recruited</vt:lpstr>
      <vt:lpstr>tlobalEmp8Recruited</vt:lpstr>
      <vt:lpstr>tlobalEmp9Recruited</vt:lpstr>
      <vt:lpstr>tlobalEmpEngagementY1</vt:lpstr>
      <vt:lpstr>tlobalEmpEngagementY2</vt:lpstr>
      <vt:lpstr>tlobalEmpEngagementY3</vt:lpstr>
      <vt:lpstr>tlobalEmpEngagementY4</vt:lpstr>
      <vt:lpstr>tlobalEnterpriseWFUtilizationY1</vt:lpstr>
      <vt:lpstr>tlobalEnterpriseWFUtilizationY2</vt:lpstr>
      <vt:lpstr>tlobalEnterpriseWFUtilizationY3</vt:lpstr>
      <vt:lpstr>tlobalEnterpriseWFUtilizationY4</vt:lpstr>
      <vt:lpstr>tlobalESAT</vt:lpstr>
      <vt:lpstr>tlobalGeneralTrainingHrsPullOut</vt:lpstr>
      <vt:lpstr>tlobalH1Competency</vt:lpstr>
      <vt:lpstr>tlobalH2Competency</vt:lpstr>
      <vt:lpstr>tlobalH3Competency</vt:lpstr>
      <vt:lpstr>tlobalIndustryAvgCIMargin</vt:lpstr>
      <vt:lpstr>tlobalIndustryEminence</vt:lpstr>
      <vt:lpstr>tlobalInternalAssets</vt:lpstr>
      <vt:lpstr>tlobalLTDebtValue</vt:lpstr>
      <vt:lpstr>tlobalNetEarnValue</vt:lpstr>
      <vt:lpstr>tlobalNetLocalSavingsY1</vt:lpstr>
      <vt:lpstr>tlobalNetLocalSavingsY2</vt:lpstr>
      <vt:lpstr>tlobalNetLocalSavingsY3</vt:lpstr>
      <vt:lpstr>tlobalNetLocalSavingsY4</vt:lpstr>
      <vt:lpstr>tlobalOtherAsstesValue</vt:lpstr>
      <vt:lpstr>tlobalOtherCurrLiabValue</vt:lpstr>
      <vt:lpstr>tlobalOtherLTLiab</vt:lpstr>
      <vt:lpstr>tlobalOutsourcingCCIPctofRevenueY1</vt:lpstr>
      <vt:lpstr>tlobalOutsourcingCCIPctofRevenueY2</vt:lpstr>
      <vt:lpstr>tlobalOutsourcingCCIPctofRevenueY3</vt:lpstr>
      <vt:lpstr>tlobalOutsourcingCCIPctofRevenueY4</vt:lpstr>
      <vt:lpstr>tlobalOutsourcingProductivityGainY1</vt:lpstr>
      <vt:lpstr>tlobalOutsourcingProductivityGainY2</vt:lpstr>
      <vt:lpstr>tlobalOutsourcingProductivityGainY3</vt:lpstr>
      <vt:lpstr>tlobalOutsourcingProductivityGainY4</vt:lpstr>
      <vt:lpstr>tlobalOutsourcingRevPctofTotalRevenueY1</vt:lpstr>
      <vt:lpstr>tlobalOutsourcingRevPctofTotalRevenueY2</vt:lpstr>
      <vt:lpstr>tlobalOutsourcingRevPctofTotalRevenueY3</vt:lpstr>
      <vt:lpstr>tlobalOutsourcingRevPctofTotalRevenueY4</vt:lpstr>
      <vt:lpstr>tlobalOutsourcingRevY1</vt:lpstr>
      <vt:lpstr>tlobalOutsourcingRevY2</vt:lpstr>
      <vt:lpstr>tlobalOutsourcingRevY3</vt:lpstr>
      <vt:lpstr>tlobalOutsourcingRevY4</vt:lpstr>
      <vt:lpstr>tlobalOutsourcingSalesGrowthY1</vt:lpstr>
      <vt:lpstr>tlobalOutsourcingSalesGrowthY2</vt:lpstr>
      <vt:lpstr>tlobalOutsourcingSalesGrowthY3</vt:lpstr>
      <vt:lpstr>tlobalOutsourcingSalesGrowthY4</vt:lpstr>
      <vt:lpstr>tlobalPlant1Value</vt:lpstr>
      <vt:lpstr>tlobalPlantValue</vt:lpstr>
      <vt:lpstr>tlobalPrac1Bookings</vt:lpstr>
      <vt:lpstr>tlobalPrac1RevY1</vt:lpstr>
      <vt:lpstr>tlobalPrac1RevY2</vt:lpstr>
      <vt:lpstr>tlobalPrac2Bookings</vt:lpstr>
      <vt:lpstr>tlobalPrac2RevY1</vt:lpstr>
      <vt:lpstr>tlobalPrac2RevY2</vt:lpstr>
      <vt:lpstr>tlobalPrac3Bookings</vt:lpstr>
      <vt:lpstr>tlobalPrac3RevY1</vt:lpstr>
      <vt:lpstr>tlobalPrac3RevY2</vt:lpstr>
      <vt:lpstr>tlobalRetEarnValue</vt:lpstr>
      <vt:lpstr>tlobalSpecLoansValue</vt:lpstr>
      <vt:lpstr>tlobalTotalAttritionY1</vt:lpstr>
      <vt:lpstr>tlobalTotalAttritionY2</vt:lpstr>
      <vt:lpstr>tlobalTotalAttritionY3</vt:lpstr>
      <vt:lpstr>tlobalTotalAttritionY4</vt:lpstr>
      <vt:lpstr>tlobalTotalCI</vt:lpstr>
      <vt:lpstr>tlobalTotalCIMargin</vt:lpstr>
      <vt:lpstr>tlobalTotalCIPctRevY1</vt:lpstr>
      <vt:lpstr>tlobalTotalCIPctRevY2</vt:lpstr>
      <vt:lpstr>tlobalTotalCIPctRevY3</vt:lpstr>
      <vt:lpstr>tlobalTotalCIPctRevY4</vt:lpstr>
      <vt:lpstr>tlobalTotalControllableIncome</vt:lpstr>
      <vt:lpstr>tlobalTotalEmpDismissal</vt:lpstr>
      <vt:lpstr>tlobalTotalEmpRecruited</vt:lpstr>
      <vt:lpstr>tlobalTotalGeneralTrainingHrsAvail</vt:lpstr>
      <vt:lpstr>tlobalTotalGeneralTrainingHrsCompleted</vt:lpstr>
      <vt:lpstr>tlobalTotalHeadCount</vt:lpstr>
      <vt:lpstr>tlobalTotalInYearScoreY1</vt:lpstr>
      <vt:lpstr>tlobalTotalInYearScoreY2</vt:lpstr>
      <vt:lpstr>tlobalTotalInYearScoreY3</vt:lpstr>
      <vt:lpstr>tlobalTotalInYearScoreY4</vt:lpstr>
      <vt:lpstr>tlobalTotalRealizedRev</vt:lpstr>
      <vt:lpstr>tlobalTotalRevenue</vt:lpstr>
      <vt:lpstr>tlobalTotalRevY1</vt:lpstr>
      <vt:lpstr>tlobalTotalRevY2</vt:lpstr>
      <vt:lpstr>tlobalTotalRevY3</vt:lpstr>
      <vt:lpstr>tlobalTotalRevY4</vt:lpstr>
      <vt:lpstr>tlobalTotalSales</vt:lpstr>
      <vt:lpstr>tlobalTotalSalesGrowthY1</vt:lpstr>
      <vt:lpstr>tlobalTotalSalesGrowthY2</vt:lpstr>
      <vt:lpstr>tlobalTotalSalesGrowthY3</vt:lpstr>
      <vt:lpstr>tlobalTotalSalesGrowthY4</vt:lpstr>
      <vt:lpstr>tlobalV1Competency</vt:lpstr>
      <vt:lpstr>tlobalV1H1Comp</vt:lpstr>
      <vt:lpstr>tlobalV1H2Comp</vt:lpstr>
      <vt:lpstr>tlobalV1H3Comp</vt:lpstr>
      <vt:lpstr>tlobalV2Competency</vt:lpstr>
      <vt:lpstr>tlobalV2H1Comp</vt:lpstr>
      <vt:lpstr>tlobalV2H2Comp</vt:lpstr>
      <vt:lpstr>tlobalV2H3Comp</vt:lpstr>
      <vt:lpstr>tlobalV3Competency</vt:lpstr>
      <vt:lpstr>tlobalV3H1Comp</vt:lpstr>
      <vt:lpstr>tlobalV3H2Comp</vt:lpstr>
      <vt:lpstr>tlobalV3H3Comp</vt:lpstr>
      <vt:lpstr>tlobalY1SpecProg1</vt:lpstr>
      <vt:lpstr>tlobalY1SpecProg2</vt:lpstr>
      <vt:lpstr>tlobalY1SpecProg3</vt:lpstr>
      <vt:lpstr>tlobalY1SpecProg4</vt:lpstr>
      <vt:lpstr>tlobalY1SpecProg5</vt:lpstr>
      <vt:lpstr>tlobalY1SpecProg6</vt:lpstr>
      <vt:lpstr>tlobalY1SpecProg7</vt:lpstr>
      <vt:lpstr>tlobalY1V1H1BidRev</vt:lpstr>
      <vt:lpstr>tlobalY1V1H1BidWon</vt:lpstr>
      <vt:lpstr>tlobalY1V1H1COS</vt:lpstr>
      <vt:lpstr>tlobalY1V1H1COSRealized</vt:lpstr>
      <vt:lpstr>tlobalY1V1H2BidRev</vt:lpstr>
      <vt:lpstr>tlobalY1V1H2BidWon</vt:lpstr>
      <vt:lpstr>tlobalY1V1H2COS</vt:lpstr>
      <vt:lpstr>tlobalY1V1H2COSRealized</vt:lpstr>
      <vt:lpstr>tlobalY1V1H3BidRev</vt:lpstr>
      <vt:lpstr>tlobalY1V1H3BidWon</vt:lpstr>
      <vt:lpstr>tlobalY1V1H3COS</vt:lpstr>
      <vt:lpstr>tlobalY1V1H3COSRealized</vt:lpstr>
      <vt:lpstr>tlobalY1V2H1BidRev</vt:lpstr>
      <vt:lpstr>tlobalY1V2H1BidWon</vt:lpstr>
      <vt:lpstr>tlobalY1V2H1COS</vt:lpstr>
      <vt:lpstr>tlobalY1V2H1COSRealized</vt:lpstr>
      <vt:lpstr>tlobalY1V2H2BidRev</vt:lpstr>
      <vt:lpstr>tlobalY1V2H2BidWon</vt:lpstr>
      <vt:lpstr>tlobalY1V2H2COS</vt:lpstr>
      <vt:lpstr>tlobalY1V2H2COSRealized</vt:lpstr>
      <vt:lpstr>tlobalY1V2H3BidRev</vt:lpstr>
      <vt:lpstr>tlobalY1V2H3BidWon</vt:lpstr>
      <vt:lpstr>tlobalY1V2H3COS</vt:lpstr>
      <vt:lpstr>tlobalY1V2H3COSRealized</vt:lpstr>
      <vt:lpstr>tlobalY1V3H1BidRev</vt:lpstr>
      <vt:lpstr>tlobalY1V3H1BidWon</vt:lpstr>
      <vt:lpstr>tlobalY1V3H1COS</vt:lpstr>
      <vt:lpstr>tlobalY1V3H1COSRealized</vt:lpstr>
      <vt:lpstr>tlobalY1V3H2BidRev</vt:lpstr>
      <vt:lpstr>tlobalY1V3H2BidWon</vt:lpstr>
      <vt:lpstr>tlobalY1V3H2COS</vt:lpstr>
      <vt:lpstr>tlobalY1V3H2COSRealized</vt:lpstr>
      <vt:lpstr>tlobalY1V3H3BidRev</vt:lpstr>
      <vt:lpstr>tlobalY1V3H3BidWon</vt:lpstr>
      <vt:lpstr>tlobalY1V3H3COS</vt:lpstr>
      <vt:lpstr>tlobalY1V3H3COSRealized</vt:lpstr>
      <vt:lpstr>tlobalY1Wobbler1</vt:lpstr>
      <vt:lpstr>tlobalY1Wobbler2</vt:lpstr>
      <vt:lpstr>tlobalY1Wobbler3</vt:lpstr>
      <vt:lpstr>tlobalY1Wobbler4</vt:lpstr>
      <vt:lpstr>tlobalY2SpecProg1</vt:lpstr>
      <vt:lpstr>tlobalY2SpecProg2</vt:lpstr>
      <vt:lpstr>tlobalY2SpecProg3</vt:lpstr>
      <vt:lpstr>tlobalY2SpecProg4</vt:lpstr>
      <vt:lpstr>tlobalY2SpecProg5</vt:lpstr>
      <vt:lpstr>tlobalY2SpecProg6</vt:lpstr>
      <vt:lpstr>tlobalY2SpecProg7</vt:lpstr>
      <vt:lpstr>tlobalY2V1H1BidRev</vt:lpstr>
      <vt:lpstr>tlobalY2V1H1BidWon</vt:lpstr>
      <vt:lpstr>tlobalY2V1H1COS</vt:lpstr>
      <vt:lpstr>tlobalY2V1H1COSRealized</vt:lpstr>
      <vt:lpstr>tlobalY2V1H2BidRev</vt:lpstr>
      <vt:lpstr>tlobalY2V1H2BidWon</vt:lpstr>
      <vt:lpstr>tlobalY2V1H2COS</vt:lpstr>
      <vt:lpstr>tlobalY2V1H2COSRealized</vt:lpstr>
      <vt:lpstr>tlobalY2V1H3BidRev</vt:lpstr>
      <vt:lpstr>tlobalY2V1H3BidWon</vt:lpstr>
      <vt:lpstr>tlobalY2V1H3COS</vt:lpstr>
      <vt:lpstr>tlobalY2V1H3COSRealized</vt:lpstr>
      <vt:lpstr>tlobalY2V2H1BidRev</vt:lpstr>
      <vt:lpstr>tlobalY2V2H1BidWon</vt:lpstr>
      <vt:lpstr>tlobalY2V2H1COS</vt:lpstr>
      <vt:lpstr>tlobalY2V2H1COSRealized</vt:lpstr>
      <vt:lpstr>tlobalY2V2H2BidRev</vt:lpstr>
      <vt:lpstr>tlobalY2V2H2BidWon</vt:lpstr>
      <vt:lpstr>tlobalY2V2H2COS</vt:lpstr>
      <vt:lpstr>tlobalY2V2H2COSRealized</vt:lpstr>
      <vt:lpstr>tlobalY2V2H3BidRev</vt:lpstr>
      <vt:lpstr>tlobalY2V2H3BidWon</vt:lpstr>
      <vt:lpstr>tlobalY2V2H3COS</vt:lpstr>
      <vt:lpstr>tlobalY2V2H3COSRealized</vt:lpstr>
      <vt:lpstr>tlobalY2V3H1BidRev</vt:lpstr>
      <vt:lpstr>tlobalY2V3H1BidWon</vt:lpstr>
      <vt:lpstr>tlobalY2V3H1COS</vt:lpstr>
      <vt:lpstr>tlobalY2V3H1COSRealized</vt:lpstr>
      <vt:lpstr>tlobalY2V3H2BidRev</vt:lpstr>
      <vt:lpstr>tlobalY2V3H2BidWon</vt:lpstr>
      <vt:lpstr>tlobalY2V3H2COS</vt:lpstr>
      <vt:lpstr>tlobalY2V3H2COSRealized</vt:lpstr>
      <vt:lpstr>tlobalY2V3H3BidRev</vt:lpstr>
      <vt:lpstr>tlobalY2V3H3BidWon</vt:lpstr>
      <vt:lpstr>tlobalY2V3H3COS</vt:lpstr>
      <vt:lpstr>tlobalY2V3H3COSRealized</vt:lpstr>
      <vt:lpstr>tlobalY2Wobbler1</vt:lpstr>
      <vt:lpstr>tlobalY2Wobbler2</vt:lpstr>
      <vt:lpstr>tlobalY2Wobbler3</vt:lpstr>
      <vt:lpstr>tlobalY2Wobbler4</vt:lpstr>
      <vt:lpstr>tlobalY3SpecProg1</vt:lpstr>
      <vt:lpstr>tlobalY3SpecProg2</vt:lpstr>
      <vt:lpstr>tlobalY3SpecProg3</vt:lpstr>
      <vt:lpstr>tlobalY3SpecProg4</vt:lpstr>
      <vt:lpstr>tlobalY3SpecProg5</vt:lpstr>
      <vt:lpstr>tlobalY3SpecProg6</vt:lpstr>
      <vt:lpstr>tlobalY3SpecProg7</vt:lpstr>
      <vt:lpstr>tlobalY3V1H1BidRev</vt:lpstr>
      <vt:lpstr>tlobalY3V1H1BidWon</vt:lpstr>
      <vt:lpstr>tlobalY3V1H1COS</vt:lpstr>
      <vt:lpstr>tlobalY3V1H1COSRealized</vt:lpstr>
      <vt:lpstr>tlobalY3V1H2BidRev</vt:lpstr>
      <vt:lpstr>tlobalY3V1H2BidWon</vt:lpstr>
      <vt:lpstr>tlobalY3V1H2COS</vt:lpstr>
      <vt:lpstr>tlobalY3V1H2COSRealized</vt:lpstr>
      <vt:lpstr>tlobalY3V1H3BidRev</vt:lpstr>
      <vt:lpstr>tlobalY3V1H3BidWon</vt:lpstr>
      <vt:lpstr>tlobalY3V1H3COS</vt:lpstr>
      <vt:lpstr>tlobalY3V1H3COSRealized</vt:lpstr>
      <vt:lpstr>tlobalY3V2H1BidRev</vt:lpstr>
      <vt:lpstr>tlobalY3V2H1BidWon</vt:lpstr>
      <vt:lpstr>tlobalY3V2H1COS</vt:lpstr>
      <vt:lpstr>tlobalY3V2H1COSRealized</vt:lpstr>
      <vt:lpstr>tlobalY3V2H2BidRev</vt:lpstr>
      <vt:lpstr>tlobalY3V2H2BidWon</vt:lpstr>
      <vt:lpstr>tlobalY3V2H2COS</vt:lpstr>
      <vt:lpstr>tlobalY3V2H2COSRealized</vt:lpstr>
      <vt:lpstr>tlobalY3V2H3BidRev</vt:lpstr>
      <vt:lpstr>tlobalY3V2H3BidWon</vt:lpstr>
      <vt:lpstr>tlobalY3V2H3COS</vt:lpstr>
      <vt:lpstr>tlobalY3V2H3COSRealized</vt:lpstr>
      <vt:lpstr>tlobalY3V3H1BidRev</vt:lpstr>
      <vt:lpstr>tlobalY3V3H1BidWon</vt:lpstr>
      <vt:lpstr>tlobalY3V3H1COS</vt:lpstr>
      <vt:lpstr>tlobalY3V3H1COSRealized</vt:lpstr>
      <vt:lpstr>tlobalY3V3H2BidRev</vt:lpstr>
      <vt:lpstr>tlobalY3V3H2BidWon</vt:lpstr>
      <vt:lpstr>tlobalY3V3H2COS</vt:lpstr>
      <vt:lpstr>tlobalY3V3H2COSRealized</vt:lpstr>
      <vt:lpstr>tlobalY3V3H3BidRev</vt:lpstr>
      <vt:lpstr>tlobalY3V3H3BidWon</vt:lpstr>
      <vt:lpstr>tlobalY3V3H3COS</vt:lpstr>
      <vt:lpstr>tlobalY3V3H3COSRealized</vt:lpstr>
      <vt:lpstr>tlobalY3Wobbler1</vt:lpstr>
      <vt:lpstr>tlobalY3Wobbler2</vt:lpstr>
      <vt:lpstr>tlobalY3Wobbler3</vt:lpstr>
      <vt:lpstr>tlobalY3Wobbler4</vt:lpstr>
      <vt:lpstr>tlobalY4SpecProg1</vt:lpstr>
      <vt:lpstr>tlobalY4SpecProg2</vt:lpstr>
      <vt:lpstr>tlobalY4SpecProg3</vt:lpstr>
      <vt:lpstr>tlobalY4SpecProg4</vt:lpstr>
      <vt:lpstr>tlobalY4SpecProg5</vt:lpstr>
      <vt:lpstr>tlobalY4SpecProg6</vt:lpstr>
      <vt:lpstr>tlobalY4SpecProg7</vt:lpstr>
      <vt:lpstr>tlobalY4Wobbler1</vt:lpstr>
      <vt:lpstr>tlobalY4Wobbler2</vt:lpstr>
      <vt:lpstr>tlobalY4Wobbler3</vt:lpstr>
      <vt:lpstr>tlobalY4Wobbler4</vt:lpstr>
      <vt:lpstr>tlOutput_tlBusAPrac1_F32</vt:lpstr>
      <vt:lpstr>tlOutput_tlBusAPrac1_H17</vt:lpstr>
      <vt:lpstr>tlOutput_tlBusAPrac1_J17</vt:lpstr>
      <vt:lpstr>tlOutput_tlBusAPrac1_L10</vt:lpstr>
      <vt:lpstr>tlOutput_tlBusAPrac1_L17</vt:lpstr>
      <vt:lpstr>tlOutput_tlBusAPrac1_L21</vt:lpstr>
      <vt:lpstr>tlOutput_tlBusAPrac1_L25</vt:lpstr>
      <vt:lpstr>tlOutput_tlBusAPrac2_F32</vt:lpstr>
      <vt:lpstr>tlOutput_tlBusAPrac2_H17</vt:lpstr>
      <vt:lpstr>tlOutput_tlBusAPrac2_J17</vt:lpstr>
      <vt:lpstr>tlOutput_tlBusAPrac2_L10</vt:lpstr>
      <vt:lpstr>tlOutput_tlBusAPrac2_L17</vt:lpstr>
      <vt:lpstr>tlOutput_tlBusAPrac2_L21</vt:lpstr>
      <vt:lpstr>tlOutput_tlBusAPrac2_L25</vt:lpstr>
      <vt:lpstr>tlOutput_tlBusAPrac3_F32</vt:lpstr>
      <vt:lpstr>tlOutput_tlBusAPrac3_H17</vt:lpstr>
      <vt:lpstr>tlOutput_tlBusAPrac3_J17</vt:lpstr>
      <vt:lpstr>tlOutput_tlBusAPrac3_L10</vt:lpstr>
      <vt:lpstr>tlOutput_tlBusAPrac3_L17</vt:lpstr>
      <vt:lpstr>tlOutput_tlBusAPrac3_L21</vt:lpstr>
      <vt:lpstr>tlOutput_tlBusAPrac3_L25</vt:lpstr>
      <vt:lpstr>tlOutput_tlBusinessA_H17</vt:lpstr>
      <vt:lpstr>tlOutput_tlBusinessA_H21</vt:lpstr>
      <vt:lpstr>tlOutput_tlBusinessA_H23</vt:lpstr>
      <vt:lpstr>tlOutput_tlBusinessA_H33</vt:lpstr>
      <vt:lpstr>tlOutput_tlBusinessA_H51</vt:lpstr>
      <vt:lpstr>tlOutput_tlBusinessA_J17</vt:lpstr>
      <vt:lpstr>tlOutput_tlBusinessA_J21</vt:lpstr>
      <vt:lpstr>tlOutput_tlBusinessA_J23</vt:lpstr>
      <vt:lpstr>tlOutput_tlBusinessA_J33</vt:lpstr>
      <vt:lpstr>tlOutput_tlBusinessA_J51</vt:lpstr>
      <vt:lpstr>tlOutput_tlBusinessA_L17</vt:lpstr>
      <vt:lpstr>tlOutput_tlBusinessA_L21</vt:lpstr>
      <vt:lpstr>tlOutput_tlBusinessA_L23</vt:lpstr>
      <vt:lpstr>tlOutput_tlBusinessA_L33</vt:lpstr>
      <vt:lpstr>tlOutput_tlBusinessA_L37</vt:lpstr>
      <vt:lpstr>tlOutput_tlBusinessA_L44</vt:lpstr>
      <vt:lpstr>tlOutput_tlBusinessA_L51</vt:lpstr>
      <vt:lpstr>tlOutput_tlGraphs_A361</vt:lpstr>
      <vt:lpstr>tlOutput_tlGraphs_A362</vt:lpstr>
      <vt:lpstr>tlOutput_tlGraphs_A363</vt:lpstr>
      <vt:lpstr>tlOutput_tlGraphs_A364</vt:lpstr>
      <vt:lpstr>tlOutput_tlGraphs_B200</vt:lpstr>
      <vt:lpstr>tlOutput_tlGraphs_B201</vt:lpstr>
      <vt:lpstr>tlOutput_tlGraphs_B202</vt:lpstr>
      <vt:lpstr>tlOutput_tlGraphs_B221</vt:lpstr>
      <vt:lpstr>tlOutput_tlGraphs_B222</vt:lpstr>
      <vt:lpstr>tlOutput_tlGraphs_B223</vt:lpstr>
      <vt:lpstr>tlOutput_tlGraphs_B230</vt:lpstr>
      <vt:lpstr>tlOutput_tlGraphs_B249</vt:lpstr>
      <vt:lpstr>tlOutput_tlGraphs_B250</vt:lpstr>
      <vt:lpstr>tlOutput_tlGraphs_B283</vt:lpstr>
      <vt:lpstr>tlOutput_tlGraphs_B298</vt:lpstr>
      <vt:lpstr>tlOutput_tlGraphs_B338</vt:lpstr>
      <vt:lpstr>tlOutput_tlGraphs_B339</vt:lpstr>
      <vt:lpstr>tlOutput_tlGraphs_B360</vt:lpstr>
      <vt:lpstr>tlOutput_tlGraphs_B361</vt:lpstr>
      <vt:lpstr>tlOutput_tlGraphs_B362</vt:lpstr>
      <vt:lpstr>tlOutput_tlGraphs_B363</vt:lpstr>
      <vt:lpstr>tlOutput_tlGraphs_B364</vt:lpstr>
      <vt:lpstr>tlOutput_tlGraphs_C199</vt:lpstr>
      <vt:lpstr>tlOutput_tlGraphs_C200</vt:lpstr>
      <vt:lpstr>tlOutput_tlGraphs_C201</vt:lpstr>
      <vt:lpstr>tlOutput_tlGraphs_C202</vt:lpstr>
      <vt:lpstr>tlOutput_tlGraphs_C221</vt:lpstr>
      <vt:lpstr>tlOutput_tlGraphs_C222</vt:lpstr>
      <vt:lpstr>tlOutput_tlGraphs_C223</vt:lpstr>
      <vt:lpstr>tlOutput_tlGraphs_C231</vt:lpstr>
      <vt:lpstr>tlOutput_tlGraphs_C232</vt:lpstr>
      <vt:lpstr>tlOutput_tlGraphs_C249</vt:lpstr>
      <vt:lpstr>tlOutput_tlGraphs_C250</vt:lpstr>
      <vt:lpstr>tlOutput_tlGraphs_C282</vt:lpstr>
      <vt:lpstr>tlOutput_tlGraphs_C283</vt:lpstr>
      <vt:lpstr>tlOutput_tlGraphs_C297</vt:lpstr>
      <vt:lpstr>tlOutput_tlGraphs_C298</vt:lpstr>
      <vt:lpstr>tlOutput_tlGraphs_C311</vt:lpstr>
      <vt:lpstr>tlOutput_tlGraphs_C312</vt:lpstr>
      <vt:lpstr>tlOutput_tlGraphs_C325</vt:lpstr>
      <vt:lpstr>tlOutput_tlGraphs_C326</vt:lpstr>
      <vt:lpstr>tlOutput_tlGraphs_C337</vt:lpstr>
      <vt:lpstr>tlOutput_tlGraphs_C338</vt:lpstr>
      <vt:lpstr>tlOutput_tlGraphs_C339</vt:lpstr>
      <vt:lpstr>tlOutput_tlGraphs_D199</vt:lpstr>
      <vt:lpstr>tlOutput_tlGraphs_D200</vt:lpstr>
      <vt:lpstr>tlOutput_tlGraphs_D201</vt:lpstr>
      <vt:lpstr>tlOutput_tlGraphs_D202</vt:lpstr>
      <vt:lpstr>tlOutput_tlGraphs_D221</vt:lpstr>
      <vt:lpstr>tlOutput_tlGraphs_D222</vt:lpstr>
      <vt:lpstr>tlOutput_tlGraphs_D223</vt:lpstr>
      <vt:lpstr>tlOutput_tlGraphs_D231</vt:lpstr>
      <vt:lpstr>tlOutput_tlGraphs_D232</vt:lpstr>
      <vt:lpstr>tlOutput_tlGraphs_D249</vt:lpstr>
      <vt:lpstr>tlOutput_tlGraphs_D250</vt:lpstr>
      <vt:lpstr>tlOutput_tlGraphs_D282</vt:lpstr>
      <vt:lpstr>tlOutput_tlGraphs_D283</vt:lpstr>
      <vt:lpstr>tlOutput_tlGraphs_D297</vt:lpstr>
      <vt:lpstr>tlOutput_tlGraphs_D298</vt:lpstr>
      <vt:lpstr>tlOutput_tlGraphs_D311</vt:lpstr>
      <vt:lpstr>tlOutput_tlGraphs_D312</vt:lpstr>
      <vt:lpstr>tlOutput_tlGraphs_D325</vt:lpstr>
      <vt:lpstr>tlOutput_tlGraphs_D326</vt:lpstr>
      <vt:lpstr>tlOutput_tlGraphs_D337</vt:lpstr>
      <vt:lpstr>tlOutput_tlGraphs_D338</vt:lpstr>
      <vt:lpstr>tlOutput_tlGraphs_D339</vt:lpstr>
      <vt:lpstr>tlOutput_tlGraphs_E111</vt:lpstr>
      <vt:lpstr>tlOutput_tlGraphs_E112</vt:lpstr>
      <vt:lpstr>tlOutput_tlGraphs_E113</vt:lpstr>
      <vt:lpstr>tlOutput_tlGraphs_E114</vt:lpstr>
      <vt:lpstr>tlOutput_tlGraphs_E115</vt:lpstr>
      <vt:lpstr>tlOutput_tlGraphs_E116</vt:lpstr>
      <vt:lpstr>tlOutput_tlGraphs_E117</vt:lpstr>
      <vt:lpstr>tlOutput_tlGraphs_E118</vt:lpstr>
      <vt:lpstr>tlOutput_tlGraphs_E119</vt:lpstr>
      <vt:lpstr>tlOutput_tlGraphs_E120</vt:lpstr>
      <vt:lpstr>tlOutput_tlGraphs_E121</vt:lpstr>
      <vt:lpstr>tlOutput_tlGraphs_E122</vt:lpstr>
      <vt:lpstr>tlOutput_tlGraphs_E123</vt:lpstr>
      <vt:lpstr>tlOutput_tlGraphs_E124</vt:lpstr>
      <vt:lpstr>tlOutput_tlGraphs_E125</vt:lpstr>
      <vt:lpstr>tlOutput_tlGraphs_E126</vt:lpstr>
      <vt:lpstr>tlOutput_tlGraphs_E127</vt:lpstr>
      <vt:lpstr>tlOutput_tlGraphs_E128</vt:lpstr>
      <vt:lpstr>tlOutput_tlGraphs_E129</vt:lpstr>
      <vt:lpstr>tlOutput_tlGraphs_E130</vt:lpstr>
      <vt:lpstr>tlOutput_tlGraphs_E131</vt:lpstr>
      <vt:lpstr>tlOutput_tlGraphs_E132</vt:lpstr>
      <vt:lpstr>tlOutput_tlGraphs_E133</vt:lpstr>
      <vt:lpstr>tlOutput_tlGraphs_E134</vt:lpstr>
      <vt:lpstr>tlOutput_tlGraphs_E135</vt:lpstr>
      <vt:lpstr>tlOutput_tlGraphs_E136</vt:lpstr>
      <vt:lpstr>tlOutput_tlGraphs_E137</vt:lpstr>
      <vt:lpstr>tlOutput_tlGraphs_E138</vt:lpstr>
      <vt:lpstr>tlOutput_tlGraphs_E139</vt:lpstr>
      <vt:lpstr>tlOutput_tlGraphs_E140</vt:lpstr>
      <vt:lpstr>tlOutput_tlGraphs_E141</vt:lpstr>
      <vt:lpstr>tlOutput_tlGraphs_E142</vt:lpstr>
      <vt:lpstr>tlOutput_tlGraphs_E143</vt:lpstr>
      <vt:lpstr>tlOutput_tlGraphs_E144</vt:lpstr>
      <vt:lpstr>tlOutput_tlGraphs_E145</vt:lpstr>
      <vt:lpstr>tlOutput_tlGraphs_E15</vt:lpstr>
      <vt:lpstr>tlOutput_tlGraphs_E158</vt:lpstr>
      <vt:lpstr>tlOutput_tlGraphs_E159</vt:lpstr>
      <vt:lpstr>tlOutput_tlGraphs_E16</vt:lpstr>
      <vt:lpstr>tlOutput_tlGraphs_E160</vt:lpstr>
      <vt:lpstr>tlOutput_tlGraphs_E161</vt:lpstr>
      <vt:lpstr>tlOutput_tlGraphs_E162</vt:lpstr>
      <vt:lpstr>tlOutput_tlGraphs_E163</vt:lpstr>
      <vt:lpstr>tlOutput_tlGraphs_E164</vt:lpstr>
      <vt:lpstr>tlOutput_tlGraphs_E165</vt:lpstr>
      <vt:lpstr>tlOutput_tlGraphs_E166</vt:lpstr>
      <vt:lpstr>tlOutput_tlGraphs_E167</vt:lpstr>
      <vt:lpstr>tlOutput_tlGraphs_E168</vt:lpstr>
      <vt:lpstr>tlOutput_tlGraphs_E169</vt:lpstr>
      <vt:lpstr>tlOutput_tlGraphs_E17</vt:lpstr>
      <vt:lpstr>tlOutput_tlGraphs_E170</vt:lpstr>
      <vt:lpstr>tlOutput_tlGraphs_E171</vt:lpstr>
      <vt:lpstr>tlOutput_tlGraphs_E172</vt:lpstr>
      <vt:lpstr>tlOutput_tlGraphs_E173</vt:lpstr>
      <vt:lpstr>tlOutput_tlGraphs_E174</vt:lpstr>
      <vt:lpstr>tlOutput_tlGraphs_E175</vt:lpstr>
      <vt:lpstr>tlOutput_tlGraphs_E176</vt:lpstr>
      <vt:lpstr>tlOutput_tlGraphs_E177</vt:lpstr>
      <vt:lpstr>tlOutput_tlGraphs_E178</vt:lpstr>
      <vt:lpstr>tlOutput_tlGraphs_E179</vt:lpstr>
      <vt:lpstr>tlOutput_tlGraphs_E18</vt:lpstr>
      <vt:lpstr>tlOutput_tlGraphs_E180</vt:lpstr>
      <vt:lpstr>tlOutput_tlGraphs_E181</vt:lpstr>
      <vt:lpstr>tlOutput_tlGraphs_E182</vt:lpstr>
      <vt:lpstr>tlOutput_tlGraphs_E183</vt:lpstr>
      <vt:lpstr>tlOutput_tlGraphs_E184</vt:lpstr>
      <vt:lpstr>tlOutput_tlGraphs_E185</vt:lpstr>
      <vt:lpstr>tlOutput_tlGraphs_E186</vt:lpstr>
      <vt:lpstr>tlOutput_tlGraphs_E187</vt:lpstr>
      <vt:lpstr>tlOutput_tlGraphs_E188</vt:lpstr>
      <vt:lpstr>tlOutput_tlGraphs_E189</vt:lpstr>
      <vt:lpstr>tlOutput_tlGraphs_E19</vt:lpstr>
      <vt:lpstr>tlOutput_tlGraphs_E190</vt:lpstr>
      <vt:lpstr>tlOutput_tlGraphs_E191</vt:lpstr>
      <vt:lpstr>tlOutput_tlGraphs_E192</vt:lpstr>
      <vt:lpstr>tlOutput_tlGraphs_E20</vt:lpstr>
      <vt:lpstr>tlOutput_tlGraphs_E21</vt:lpstr>
      <vt:lpstr>tlOutput_tlGraphs_E22</vt:lpstr>
      <vt:lpstr>tlOutput_tlGraphs_E221</vt:lpstr>
      <vt:lpstr>tlOutput_tlGraphs_E222</vt:lpstr>
      <vt:lpstr>tlOutput_tlGraphs_E223</vt:lpstr>
      <vt:lpstr>tlOutput_tlGraphs_E23</vt:lpstr>
      <vt:lpstr>tlOutput_tlGraphs_E231</vt:lpstr>
      <vt:lpstr>tlOutput_tlGraphs_E232</vt:lpstr>
      <vt:lpstr>tlOutput_tlGraphs_E24</vt:lpstr>
      <vt:lpstr>tlOutput_tlGraphs_E249</vt:lpstr>
      <vt:lpstr>tlOutput_tlGraphs_E25</vt:lpstr>
      <vt:lpstr>tlOutput_tlGraphs_E250</vt:lpstr>
      <vt:lpstr>tlOutput_tlGraphs_E26</vt:lpstr>
      <vt:lpstr>tlOutput_tlGraphs_E27</vt:lpstr>
      <vt:lpstr>tlOutput_tlGraphs_E28</vt:lpstr>
      <vt:lpstr>tlOutput_tlGraphs_E282</vt:lpstr>
      <vt:lpstr>tlOutput_tlGraphs_E283</vt:lpstr>
      <vt:lpstr>tlOutput_tlGraphs_E29</vt:lpstr>
      <vt:lpstr>tlOutput_tlGraphs_E297</vt:lpstr>
      <vt:lpstr>tlOutput_tlGraphs_E298</vt:lpstr>
      <vt:lpstr>tlOutput_tlGraphs_E30</vt:lpstr>
      <vt:lpstr>tlOutput_tlGraphs_E31</vt:lpstr>
      <vt:lpstr>tlOutput_tlGraphs_E311</vt:lpstr>
      <vt:lpstr>tlOutput_tlGraphs_E312</vt:lpstr>
      <vt:lpstr>tlOutput_tlGraphs_E32</vt:lpstr>
      <vt:lpstr>tlOutput_tlGraphs_E325</vt:lpstr>
      <vt:lpstr>tlOutput_tlGraphs_E326</vt:lpstr>
      <vt:lpstr>tlOutput_tlGraphs_E33</vt:lpstr>
      <vt:lpstr>tlOutput_tlGraphs_E34</vt:lpstr>
      <vt:lpstr>tlOutput_tlGraphs_E35</vt:lpstr>
      <vt:lpstr>tlOutput_tlGraphs_E36</vt:lpstr>
      <vt:lpstr>tlOutput_tlGraphs_E37</vt:lpstr>
      <vt:lpstr>tlOutput_tlGraphs_E38</vt:lpstr>
      <vt:lpstr>tlOutput_tlGraphs_E39</vt:lpstr>
      <vt:lpstr>tlOutput_tlGraphs_E40</vt:lpstr>
      <vt:lpstr>tlOutput_tlGraphs_E41</vt:lpstr>
      <vt:lpstr>tlOutput_tlGraphs_E42</vt:lpstr>
      <vt:lpstr>tlOutput_tlGraphs_E43</vt:lpstr>
      <vt:lpstr>tlOutput_tlGraphs_E44</vt:lpstr>
      <vt:lpstr>tlOutput_tlGraphs_E45</vt:lpstr>
      <vt:lpstr>tlOutput_tlGraphs_E46</vt:lpstr>
      <vt:lpstr>tlOutput_tlGraphs_E47</vt:lpstr>
      <vt:lpstr>tlOutput_tlGraphs_E48</vt:lpstr>
      <vt:lpstr>tlOutput_tlGraphs_E49</vt:lpstr>
      <vt:lpstr>tlOutput_tlGraphs_E63</vt:lpstr>
      <vt:lpstr>tlOutput_tlGraphs_E64</vt:lpstr>
      <vt:lpstr>tlOutput_tlGraphs_E65</vt:lpstr>
      <vt:lpstr>tlOutput_tlGraphs_E66</vt:lpstr>
      <vt:lpstr>tlOutput_tlGraphs_E67</vt:lpstr>
      <vt:lpstr>tlOutput_tlGraphs_E68</vt:lpstr>
      <vt:lpstr>tlOutput_tlGraphs_E69</vt:lpstr>
      <vt:lpstr>tlOutput_tlGraphs_E70</vt:lpstr>
      <vt:lpstr>tlOutput_tlGraphs_E71</vt:lpstr>
      <vt:lpstr>tlOutput_tlGraphs_E72</vt:lpstr>
      <vt:lpstr>tlOutput_tlGraphs_E73</vt:lpstr>
      <vt:lpstr>tlOutput_tlGraphs_E74</vt:lpstr>
      <vt:lpstr>tlOutput_tlGraphs_E75</vt:lpstr>
      <vt:lpstr>tlOutput_tlGraphs_E76</vt:lpstr>
      <vt:lpstr>tlOutput_tlGraphs_E77</vt:lpstr>
      <vt:lpstr>tlOutput_tlGraphs_E78</vt:lpstr>
      <vt:lpstr>tlOutput_tlGraphs_E79</vt:lpstr>
      <vt:lpstr>tlOutput_tlGraphs_E80</vt:lpstr>
      <vt:lpstr>tlOutput_tlGraphs_E81</vt:lpstr>
      <vt:lpstr>tlOutput_tlGraphs_E82</vt:lpstr>
      <vt:lpstr>tlOutput_tlGraphs_E83</vt:lpstr>
      <vt:lpstr>tlOutput_tlGraphs_E84</vt:lpstr>
      <vt:lpstr>tlOutput_tlGraphs_E85</vt:lpstr>
      <vt:lpstr>tlOutput_tlGraphs_E86</vt:lpstr>
      <vt:lpstr>tlOutput_tlGraphs_E87</vt:lpstr>
      <vt:lpstr>tlOutput_tlGraphs_E88</vt:lpstr>
      <vt:lpstr>tlOutput_tlGraphs_E89</vt:lpstr>
      <vt:lpstr>tlOutput_tlGraphs_E90</vt:lpstr>
      <vt:lpstr>tlOutput_tlGraphs_E91</vt:lpstr>
      <vt:lpstr>tlOutput_tlGraphs_E92</vt:lpstr>
      <vt:lpstr>tlOutput_tlGraphs_E93</vt:lpstr>
      <vt:lpstr>tlOutput_tlGraphs_E94</vt:lpstr>
      <vt:lpstr>tlOutput_tlGraphs_E95</vt:lpstr>
      <vt:lpstr>tlOutput_tlGraphs_E96</vt:lpstr>
      <vt:lpstr>tlOutput_tlGraphs_E97</vt:lpstr>
      <vt:lpstr>tlOutput_tlGraphs_F112</vt:lpstr>
      <vt:lpstr>tlOutput_tlGraphs_F113</vt:lpstr>
      <vt:lpstr>tlOutput_tlGraphs_F114</vt:lpstr>
      <vt:lpstr>tlOutput_tlGraphs_F115</vt:lpstr>
      <vt:lpstr>tlOutput_tlGraphs_F116</vt:lpstr>
      <vt:lpstr>tlOutput_tlGraphs_F117</vt:lpstr>
      <vt:lpstr>tlOutput_tlGraphs_F118</vt:lpstr>
      <vt:lpstr>tlOutput_tlGraphs_F119</vt:lpstr>
      <vt:lpstr>tlOutput_tlGraphs_F120</vt:lpstr>
      <vt:lpstr>tlOutput_tlGraphs_F121</vt:lpstr>
      <vt:lpstr>tlOutput_tlGraphs_F122</vt:lpstr>
      <vt:lpstr>tlOutput_tlGraphs_F123</vt:lpstr>
      <vt:lpstr>tlOutput_tlGraphs_F124</vt:lpstr>
      <vt:lpstr>tlOutput_tlGraphs_F125</vt:lpstr>
      <vt:lpstr>tlOutput_tlGraphs_F126</vt:lpstr>
      <vt:lpstr>tlOutput_tlGraphs_F127</vt:lpstr>
      <vt:lpstr>tlOutput_tlGraphs_F128</vt:lpstr>
      <vt:lpstr>tlOutput_tlGraphs_F129</vt:lpstr>
      <vt:lpstr>tlOutput_tlGraphs_F130</vt:lpstr>
      <vt:lpstr>tlOutput_tlGraphs_F131</vt:lpstr>
      <vt:lpstr>tlOutput_tlGraphs_F132</vt:lpstr>
      <vt:lpstr>tlOutput_tlGraphs_F133</vt:lpstr>
      <vt:lpstr>tlOutput_tlGraphs_F134</vt:lpstr>
      <vt:lpstr>tlOutput_tlGraphs_F135</vt:lpstr>
      <vt:lpstr>tlOutput_tlGraphs_F136</vt:lpstr>
      <vt:lpstr>tlOutput_tlGraphs_F137</vt:lpstr>
      <vt:lpstr>tlOutput_tlGraphs_F138</vt:lpstr>
      <vt:lpstr>tlOutput_tlGraphs_F139</vt:lpstr>
      <vt:lpstr>tlOutput_tlGraphs_F140</vt:lpstr>
      <vt:lpstr>tlOutput_tlGraphs_F141</vt:lpstr>
      <vt:lpstr>tlOutput_tlGraphs_F142</vt:lpstr>
      <vt:lpstr>tlOutput_tlGraphs_F143</vt:lpstr>
      <vt:lpstr>tlOutput_tlGraphs_F144</vt:lpstr>
      <vt:lpstr>tlOutput_tlGraphs_F145</vt:lpstr>
      <vt:lpstr>tlOutput_tlGraphs_F159</vt:lpstr>
      <vt:lpstr>tlOutput_tlGraphs_F16</vt:lpstr>
      <vt:lpstr>tlOutput_tlGraphs_F160</vt:lpstr>
      <vt:lpstr>tlOutput_tlGraphs_F161</vt:lpstr>
      <vt:lpstr>tlOutput_tlGraphs_F162</vt:lpstr>
      <vt:lpstr>tlOutput_tlGraphs_F163</vt:lpstr>
      <vt:lpstr>tlOutput_tlGraphs_F164</vt:lpstr>
      <vt:lpstr>tlOutput_tlGraphs_F165</vt:lpstr>
      <vt:lpstr>tlOutput_tlGraphs_F166</vt:lpstr>
      <vt:lpstr>tlOutput_tlGraphs_F167</vt:lpstr>
      <vt:lpstr>tlOutput_tlGraphs_F168</vt:lpstr>
      <vt:lpstr>tlOutput_tlGraphs_F169</vt:lpstr>
      <vt:lpstr>tlOutput_tlGraphs_F17</vt:lpstr>
      <vt:lpstr>tlOutput_tlGraphs_F170</vt:lpstr>
      <vt:lpstr>tlOutput_tlGraphs_F171</vt:lpstr>
      <vt:lpstr>tlOutput_tlGraphs_F172</vt:lpstr>
      <vt:lpstr>tlOutput_tlGraphs_F173</vt:lpstr>
      <vt:lpstr>tlOutput_tlGraphs_F174</vt:lpstr>
      <vt:lpstr>tlOutput_tlGraphs_F175</vt:lpstr>
      <vt:lpstr>tlOutput_tlGraphs_F176</vt:lpstr>
      <vt:lpstr>tlOutput_tlGraphs_F177</vt:lpstr>
      <vt:lpstr>tlOutput_tlGraphs_F178</vt:lpstr>
      <vt:lpstr>tlOutput_tlGraphs_F179</vt:lpstr>
      <vt:lpstr>tlOutput_tlGraphs_F18</vt:lpstr>
      <vt:lpstr>tlOutput_tlGraphs_F180</vt:lpstr>
      <vt:lpstr>tlOutput_tlGraphs_F181</vt:lpstr>
      <vt:lpstr>tlOutput_tlGraphs_F182</vt:lpstr>
      <vt:lpstr>tlOutput_tlGraphs_F183</vt:lpstr>
      <vt:lpstr>tlOutput_tlGraphs_F184</vt:lpstr>
      <vt:lpstr>tlOutput_tlGraphs_F185</vt:lpstr>
      <vt:lpstr>tlOutput_tlGraphs_F186</vt:lpstr>
      <vt:lpstr>tlOutput_tlGraphs_F187</vt:lpstr>
      <vt:lpstr>tlOutput_tlGraphs_F188</vt:lpstr>
      <vt:lpstr>tlOutput_tlGraphs_F189</vt:lpstr>
      <vt:lpstr>tlOutput_tlGraphs_F19</vt:lpstr>
      <vt:lpstr>tlOutput_tlGraphs_F190</vt:lpstr>
      <vt:lpstr>tlOutput_tlGraphs_F191</vt:lpstr>
      <vt:lpstr>tlOutput_tlGraphs_F192</vt:lpstr>
      <vt:lpstr>tlOutput_tlGraphs_F20</vt:lpstr>
      <vt:lpstr>tlOutput_tlGraphs_F21</vt:lpstr>
      <vt:lpstr>tlOutput_tlGraphs_F22</vt:lpstr>
      <vt:lpstr>tlOutput_tlGraphs_F221</vt:lpstr>
      <vt:lpstr>tlOutput_tlGraphs_F222</vt:lpstr>
      <vt:lpstr>tlOutput_tlGraphs_F223</vt:lpstr>
      <vt:lpstr>tlOutput_tlGraphs_F23</vt:lpstr>
      <vt:lpstr>tlOutput_tlGraphs_F24</vt:lpstr>
      <vt:lpstr>tlOutput_tlGraphs_F249</vt:lpstr>
      <vt:lpstr>tlOutput_tlGraphs_F25</vt:lpstr>
      <vt:lpstr>tlOutput_tlGraphs_F250</vt:lpstr>
      <vt:lpstr>tlOutput_tlGraphs_F26</vt:lpstr>
      <vt:lpstr>tlOutput_tlGraphs_F27</vt:lpstr>
      <vt:lpstr>tlOutput_tlGraphs_F28</vt:lpstr>
      <vt:lpstr>tlOutput_tlGraphs_F282</vt:lpstr>
      <vt:lpstr>tlOutput_tlGraphs_F283</vt:lpstr>
      <vt:lpstr>tlOutput_tlGraphs_F29</vt:lpstr>
      <vt:lpstr>tlOutput_tlGraphs_F30</vt:lpstr>
      <vt:lpstr>tlOutput_tlGraphs_F31</vt:lpstr>
      <vt:lpstr>tlOutput_tlGraphs_F311</vt:lpstr>
      <vt:lpstr>tlOutput_tlGraphs_F32</vt:lpstr>
      <vt:lpstr>tlOutput_tlGraphs_F33</vt:lpstr>
      <vt:lpstr>tlOutput_tlGraphs_F34</vt:lpstr>
      <vt:lpstr>tlOutput_tlGraphs_F35</vt:lpstr>
      <vt:lpstr>tlOutput_tlGraphs_F36</vt:lpstr>
      <vt:lpstr>tlOutput_tlGraphs_F37</vt:lpstr>
      <vt:lpstr>tlOutput_tlGraphs_F38</vt:lpstr>
      <vt:lpstr>tlOutput_tlGraphs_F39</vt:lpstr>
      <vt:lpstr>tlOutput_tlGraphs_F40</vt:lpstr>
      <vt:lpstr>tlOutput_tlGraphs_F41</vt:lpstr>
      <vt:lpstr>tlOutput_tlGraphs_F42</vt:lpstr>
      <vt:lpstr>tlOutput_tlGraphs_F43</vt:lpstr>
      <vt:lpstr>tlOutput_tlGraphs_F44</vt:lpstr>
      <vt:lpstr>tlOutput_tlGraphs_F45</vt:lpstr>
      <vt:lpstr>tlOutput_tlGraphs_F46</vt:lpstr>
      <vt:lpstr>tlOutput_tlGraphs_F47</vt:lpstr>
      <vt:lpstr>tlOutput_tlGraphs_F48</vt:lpstr>
      <vt:lpstr>tlOutput_tlGraphs_F49</vt:lpstr>
      <vt:lpstr>tlOutput_tlGraphs_F64</vt:lpstr>
      <vt:lpstr>tlOutput_tlGraphs_F65</vt:lpstr>
      <vt:lpstr>tlOutput_tlGraphs_F66</vt:lpstr>
      <vt:lpstr>tlOutput_tlGraphs_F67</vt:lpstr>
      <vt:lpstr>tlOutput_tlGraphs_F68</vt:lpstr>
      <vt:lpstr>tlOutput_tlGraphs_F69</vt:lpstr>
      <vt:lpstr>tlOutput_tlGraphs_F70</vt:lpstr>
      <vt:lpstr>tlOutput_tlGraphs_F71</vt:lpstr>
      <vt:lpstr>tlOutput_tlGraphs_F72</vt:lpstr>
      <vt:lpstr>tlOutput_tlGraphs_F73</vt:lpstr>
      <vt:lpstr>tlOutput_tlGraphs_F74</vt:lpstr>
      <vt:lpstr>tlOutput_tlGraphs_F75</vt:lpstr>
      <vt:lpstr>tlOutput_tlGraphs_F76</vt:lpstr>
      <vt:lpstr>tlOutput_tlGraphs_F77</vt:lpstr>
      <vt:lpstr>tlOutput_tlGraphs_F78</vt:lpstr>
      <vt:lpstr>tlOutput_tlGraphs_F79</vt:lpstr>
      <vt:lpstr>tlOutput_tlGraphs_F80</vt:lpstr>
      <vt:lpstr>tlOutput_tlGraphs_F81</vt:lpstr>
      <vt:lpstr>tlOutput_tlGraphs_F82</vt:lpstr>
      <vt:lpstr>tlOutput_tlGraphs_F83</vt:lpstr>
      <vt:lpstr>tlOutput_tlGraphs_F84</vt:lpstr>
      <vt:lpstr>tlOutput_tlGraphs_F85</vt:lpstr>
      <vt:lpstr>tlOutput_tlGraphs_F86</vt:lpstr>
      <vt:lpstr>tlOutput_tlGraphs_F87</vt:lpstr>
      <vt:lpstr>tlOutput_tlGraphs_F88</vt:lpstr>
      <vt:lpstr>tlOutput_tlGraphs_F89</vt:lpstr>
      <vt:lpstr>tlOutput_tlGraphs_F90</vt:lpstr>
      <vt:lpstr>tlOutput_tlGraphs_F91</vt:lpstr>
      <vt:lpstr>tlOutput_tlGraphs_F92</vt:lpstr>
      <vt:lpstr>tlOutput_tlGraphs_F93</vt:lpstr>
      <vt:lpstr>tlOutput_tlGraphs_F94</vt:lpstr>
      <vt:lpstr>tlOutput_tlGraphs_F95</vt:lpstr>
      <vt:lpstr>tlOutput_tlGraphs_F96</vt:lpstr>
      <vt:lpstr>tlOutput_tlGraphs_F97</vt:lpstr>
      <vt:lpstr>tlOutput_tlGraphs_G249</vt:lpstr>
      <vt:lpstr>tlOutput_tlGraphs_G250</vt:lpstr>
      <vt:lpstr>tlOutput_tlGraphs_G282</vt:lpstr>
      <vt:lpstr>tlOutput_tlGraphs_G283</vt:lpstr>
      <vt:lpstr>tlOutput_tlGraphs_G311</vt:lpstr>
      <vt:lpstr>tlOutput_tlGraphs_G312</vt:lpstr>
      <vt:lpstr>tlOutput_tlGraphs_H249</vt:lpstr>
      <vt:lpstr>tlOutput_tlGraphs_H250</vt:lpstr>
      <vt:lpstr>tlOutput_tlGraphs_H282</vt:lpstr>
      <vt:lpstr>tlOutput_tlGraphs_H283</vt:lpstr>
      <vt:lpstr>tlOutput_tlGraphs_H311</vt:lpstr>
      <vt:lpstr>tlOutput_tlGraphs_H312</vt:lpstr>
      <vt:lpstr>tlOutput_tlGraphs_I111</vt:lpstr>
      <vt:lpstr>tlOutput_tlGraphs_I112</vt:lpstr>
      <vt:lpstr>tlOutput_tlGraphs_I113</vt:lpstr>
      <vt:lpstr>tlOutput_tlGraphs_I114</vt:lpstr>
      <vt:lpstr>tlOutput_tlGraphs_I115</vt:lpstr>
      <vt:lpstr>tlOutput_tlGraphs_I116</vt:lpstr>
      <vt:lpstr>tlOutput_tlGraphs_I117</vt:lpstr>
      <vt:lpstr>tlOutput_tlGraphs_I118</vt:lpstr>
      <vt:lpstr>tlOutput_tlGraphs_I119</vt:lpstr>
      <vt:lpstr>tlOutput_tlGraphs_I120</vt:lpstr>
      <vt:lpstr>tlOutput_tlGraphs_I121</vt:lpstr>
      <vt:lpstr>tlOutput_tlGraphs_I122</vt:lpstr>
      <vt:lpstr>tlOutput_tlGraphs_I123</vt:lpstr>
      <vt:lpstr>tlOutput_tlGraphs_I124</vt:lpstr>
      <vt:lpstr>tlOutput_tlGraphs_I125</vt:lpstr>
      <vt:lpstr>tlOutput_tlGraphs_I126</vt:lpstr>
      <vt:lpstr>tlOutput_tlGraphs_I127</vt:lpstr>
      <vt:lpstr>tlOutput_tlGraphs_I128</vt:lpstr>
      <vt:lpstr>tlOutput_tlGraphs_I129</vt:lpstr>
      <vt:lpstr>tlOutput_tlGraphs_I130</vt:lpstr>
      <vt:lpstr>tlOutput_tlGraphs_I131</vt:lpstr>
      <vt:lpstr>tlOutput_tlGraphs_I132</vt:lpstr>
      <vt:lpstr>tlOutput_tlGraphs_I133</vt:lpstr>
      <vt:lpstr>tlOutput_tlGraphs_I134</vt:lpstr>
      <vt:lpstr>tlOutput_tlGraphs_I135</vt:lpstr>
      <vt:lpstr>tlOutput_tlGraphs_I136</vt:lpstr>
      <vt:lpstr>tlOutput_tlGraphs_I137</vt:lpstr>
      <vt:lpstr>tlOutput_tlGraphs_I138</vt:lpstr>
      <vt:lpstr>tlOutput_tlGraphs_I139</vt:lpstr>
      <vt:lpstr>tlOutput_tlGraphs_I140</vt:lpstr>
      <vt:lpstr>tlOutput_tlGraphs_I141</vt:lpstr>
      <vt:lpstr>tlOutput_tlGraphs_I142</vt:lpstr>
      <vt:lpstr>tlOutput_tlGraphs_I143</vt:lpstr>
      <vt:lpstr>tlOutput_tlGraphs_I144</vt:lpstr>
      <vt:lpstr>tlOutput_tlGraphs_I145</vt:lpstr>
      <vt:lpstr>tlOutput_tlGraphs_I15</vt:lpstr>
      <vt:lpstr>tlOutput_tlGraphs_I16</vt:lpstr>
      <vt:lpstr>tlOutput_tlGraphs_I17</vt:lpstr>
      <vt:lpstr>tlOutput_tlGraphs_I18</vt:lpstr>
      <vt:lpstr>tlOutput_tlGraphs_I19</vt:lpstr>
      <vt:lpstr>tlOutput_tlGraphs_I20</vt:lpstr>
      <vt:lpstr>tlOutput_tlGraphs_I21</vt:lpstr>
      <vt:lpstr>tlOutput_tlGraphs_I22</vt:lpstr>
      <vt:lpstr>tlOutput_tlGraphs_I23</vt:lpstr>
      <vt:lpstr>tlOutput_tlGraphs_I24</vt:lpstr>
      <vt:lpstr>tlOutput_tlGraphs_I25</vt:lpstr>
      <vt:lpstr>tlOutput_tlGraphs_I26</vt:lpstr>
      <vt:lpstr>tlOutput_tlGraphs_I27</vt:lpstr>
      <vt:lpstr>tlOutput_tlGraphs_I28</vt:lpstr>
      <vt:lpstr>tlOutput_tlGraphs_I29</vt:lpstr>
      <vt:lpstr>tlOutput_tlGraphs_I30</vt:lpstr>
      <vt:lpstr>tlOutput_tlGraphs_I31</vt:lpstr>
      <vt:lpstr>tlOutput_tlGraphs_I32</vt:lpstr>
      <vt:lpstr>tlOutput_tlGraphs_I33</vt:lpstr>
      <vt:lpstr>tlOutput_tlGraphs_I34</vt:lpstr>
      <vt:lpstr>tlOutput_tlGraphs_I35</vt:lpstr>
      <vt:lpstr>tlOutput_tlGraphs_I36</vt:lpstr>
      <vt:lpstr>tlOutput_tlGraphs_I37</vt:lpstr>
      <vt:lpstr>tlOutput_tlGraphs_I38</vt:lpstr>
      <vt:lpstr>tlOutput_tlGraphs_I39</vt:lpstr>
      <vt:lpstr>tlOutput_tlGraphs_I40</vt:lpstr>
      <vt:lpstr>tlOutput_tlGraphs_I41</vt:lpstr>
      <vt:lpstr>tlOutput_tlGraphs_I42</vt:lpstr>
      <vt:lpstr>tlOutput_tlGraphs_I43</vt:lpstr>
      <vt:lpstr>tlOutput_tlGraphs_I44</vt:lpstr>
      <vt:lpstr>tlOutput_tlGraphs_I45</vt:lpstr>
      <vt:lpstr>tlOutput_tlGraphs_I46</vt:lpstr>
      <vt:lpstr>tlOutput_tlGraphs_I47</vt:lpstr>
      <vt:lpstr>tlOutput_tlGraphs_I48</vt:lpstr>
      <vt:lpstr>tlOutput_tlGraphs_I49</vt:lpstr>
      <vt:lpstr>tlOutput_tlGraphs_I63</vt:lpstr>
      <vt:lpstr>tlOutput_tlGraphs_I64</vt:lpstr>
      <vt:lpstr>tlOutput_tlGraphs_I65</vt:lpstr>
      <vt:lpstr>tlOutput_tlGraphs_I66</vt:lpstr>
      <vt:lpstr>tlOutput_tlGraphs_I67</vt:lpstr>
      <vt:lpstr>tlOutput_tlGraphs_I68</vt:lpstr>
      <vt:lpstr>tlOutput_tlGraphs_I69</vt:lpstr>
      <vt:lpstr>tlOutput_tlGraphs_I70</vt:lpstr>
      <vt:lpstr>tlOutput_tlGraphs_I71</vt:lpstr>
      <vt:lpstr>tlOutput_tlGraphs_I72</vt:lpstr>
      <vt:lpstr>tlOutput_tlGraphs_I73</vt:lpstr>
      <vt:lpstr>tlOutput_tlGraphs_I74</vt:lpstr>
      <vt:lpstr>tlOutput_tlGraphs_I75</vt:lpstr>
      <vt:lpstr>tlOutput_tlGraphs_I76</vt:lpstr>
      <vt:lpstr>tlOutput_tlGraphs_I77</vt:lpstr>
      <vt:lpstr>tlOutput_tlGraphs_I78</vt:lpstr>
      <vt:lpstr>tlOutput_tlGraphs_I79</vt:lpstr>
      <vt:lpstr>tlOutput_tlGraphs_I80</vt:lpstr>
      <vt:lpstr>tlOutput_tlGraphs_I81</vt:lpstr>
      <vt:lpstr>tlOutput_tlGraphs_I82</vt:lpstr>
      <vt:lpstr>tlOutput_tlGraphs_I83</vt:lpstr>
      <vt:lpstr>tlOutput_tlGraphs_I84</vt:lpstr>
      <vt:lpstr>tlOutput_tlGraphs_I85</vt:lpstr>
      <vt:lpstr>tlOutput_tlGraphs_I86</vt:lpstr>
      <vt:lpstr>tlOutput_tlGraphs_I87</vt:lpstr>
      <vt:lpstr>tlOutput_tlGraphs_I88</vt:lpstr>
      <vt:lpstr>tlOutput_tlGraphs_I89</vt:lpstr>
      <vt:lpstr>tlOutput_tlGraphs_I90</vt:lpstr>
      <vt:lpstr>tlOutput_tlGraphs_I91</vt:lpstr>
      <vt:lpstr>tlOutput_tlGraphs_I92</vt:lpstr>
      <vt:lpstr>tlOutput_tlGraphs_I93</vt:lpstr>
      <vt:lpstr>tlOutput_tlGraphs_I94</vt:lpstr>
      <vt:lpstr>tlOutput_tlGraphs_I95</vt:lpstr>
      <vt:lpstr>tlOutput_tlGraphs_I96</vt:lpstr>
      <vt:lpstr>tlOutput_tlGraphs_I97</vt:lpstr>
      <vt:lpstr>tlOutput_tlGraphs_J112</vt:lpstr>
      <vt:lpstr>tlOutput_tlGraphs_J113</vt:lpstr>
      <vt:lpstr>tlOutput_tlGraphs_J114</vt:lpstr>
      <vt:lpstr>tlOutput_tlGraphs_J115</vt:lpstr>
      <vt:lpstr>tlOutput_tlGraphs_J116</vt:lpstr>
      <vt:lpstr>tlOutput_tlGraphs_J117</vt:lpstr>
      <vt:lpstr>tlOutput_tlGraphs_J118</vt:lpstr>
      <vt:lpstr>tlOutput_tlGraphs_J119</vt:lpstr>
      <vt:lpstr>tlOutput_tlGraphs_J120</vt:lpstr>
      <vt:lpstr>tlOutput_tlGraphs_J121</vt:lpstr>
      <vt:lpstr>tlOutput_tlGraphs_J122</vt:lpstr>
      <vt:lpstr>tlOutput_tlGraphs_J123</vt:lpstr>
      <vt:lpstr>tlOutput_tlGraphs_J124</vt:lpstr>
      <vt:lpstr>tlOutput_tlGraphs_J125</vt:lpstr>
      <vt:lpstr>tlOutput_tlGraphs_J126</vt:lpstr>
      <vt:lpstr>tlOutput_tlGraphs_J127</vt:lpstr>
      <vt:lpstr>tlOutput_tlGraphs_J128</vt:lpstr>
      <vt:lpstr>tlOutput_tlGraphs_J129</vt:lpstr>
      <vt:lpstr>tlOutput_tlGraphs_J130</vt:lpstr>
      <vt:lpstr>tlOutput_tlGraphs_J131</vt:lpstr>
      <vt:lpstr>tlOutput_tlGraphs_J132</vt:lpstr>
      <vt:lpstr>tlOutput_tlGraphs_J133</vt:lpstr>
      <vt:lpstr>tlOutput_tlGraphs_J134</vt:lpstr>
      <vt:lpstr>tlOutput_tlGraphs_J135</vt:lpstr>
      <vt:lpstr>tlOutput_tlGraphs_J136</vt:lpstr>
      <vt:lpstr>tlOutput_tlGraphs_J137</vt:lpstr>
      <vt:lpstr>tlOutput_tlGraphs_J138</vt:lpstr>
      <vt:lpstr>tlOutput_tlGraphs_J139</vt:lpstr>
      <vt:lpstr>tlOutput_tlGraphs_J140</vt:lpstr>
      <vt:lpstr>tlOutput_tlGraphs_J141</vt:lpstr>
      <vt:lpstr>tlOutput_tlGraphs_J142</vt:lpstr>
      <vt:lpstr>tlOutput_tlGraphs_J143</vt:lpstr>
      <vt:lpstr>tlOutput_tlGraphs_J144</vt:lpstr>
      <vt:lpstr>tlOutput_tlGraphs_J145</vt:lpstr>
      <vt:lpstr>tlOutput_tlGraphs_J16</vt:lpstr>
      <vt:lpstr>tlOutput_tlGraphs_J17</vt:lpstr>
      <vt:lpstr>tlOutput_tlGraphs_J18</vt:lpstr>
      <vt:lpstr>tlOutput_tlGraphs_J19</vt:lpstr>
      <vt:lpstr>tlOutput_tlGraphs_J20</vt:lpstr>
      <vt:lpstr>tlOutput_tlGraphs_J21</vt:lpstr>
      <vt:lpstr>tlOutput_tlGraphs_J22</vt:lpstr>
      <vt:lpstr>tlOutput_tlGraphs_J23</vt:lpstr>
      <vt:lpstr>tlOutput_tlGraphs_J24</vt:lpstr>
      <vt:lpstr>tlOutput_tlGraphs_J25</vt:lpstr>
      <vt:lpstr>tlOutput_tlGraphs_J26</vt:lpstr>
      <vt:lpstr>tlOutput_tlGraphs_J27</vt:lpstr>
      <vt:lpstr>tlOutput_tlGraphs_J28</vt:lpstr>
      <vt:lpstr>tlOutput_tlGraphs_J29</vt:lpstr>
      <vt:lpstr>tlOutput_tlGraphs_J30</vt:lpstr>
      <vt:lpstr>tlOutput_tlGraphs_J31</vt:lpstr>
      <vt:lpstr>tlOutput_tlGraphs_J32</vt:lpstr>
      <vt:lpstr>tlOutput_tlGraphs_J33</vt:lpstr>
      <vt:lpstr>tlOutput_tlGraphs_J34</vt:lpstr>
      <vt:lpstr>tlOutput_tlGraphs_J35</vt:lpstr>
      <vt:lpstr>tlOutput_tlGraphs_J36</vt:lpstr>
      <vt:lpstr>tlOutput_tlGraphs_J37</vt:lpstr>
      <vt:lpstr>tlOutput_tlGraphs_J38</vt:lpstr>
      <vt:lpstr>tlOutput_tlGraphs_J39</vt:lpstr>
      <vt:lpstr>tlOutput_tlGraphs_J40</vt:lpstr>
      <vt:lpstr>tlOutput_tlGraphs_J41</vt:lpstr>
      <vt:lpstr>tlOutput_tlGraphs_J42</vt:lpstr>
      <vt:lpstr>tlOutput_tlGraphs_J43</vt:lpstr>
      <vt:lpstr>tlOutput_tlGraphs_J44</vt:lpstr>
      <vt:lpstr>tlOutput_tlGraphs_J45</vt:lpstr>
      <vt:lpstr>tlOutput_tlGraphs_J46</vt:lpstr>
      <vt:lpstr>tlOutput_tlGraphs_J47</vt:lpstr>
      <vt:lpstr>tlOutput_tlGraphs_J48</vt:lpstr>
      <vt:lpstr>tlOutput_tlGraphs_J49</vt:lpstr>
      <vt:lpstr>tlOutput_tlGraphs_J64</vt:lpstr>
      <vt:lpstr>tlOutput_tlGraphs_J65</vt:lpstr>
      <vt:lpstr>tlOutput_tlGraphs_J66</vt:lpstr>
      <vt:lpstr>tlOutput_tlGraphs_J67</vt:lpstr>
      <vt:lpstr>tlOutput_tlGraphs_J68</vt:lpstr>
      <vt:lpstr>tlOutput_tlGraphs_J69</vt:lpstr>
      <vt:lpstr>tlOutput_tlGraphs_J70</vt:lpstr>
      <vt:lpstr>tlOutput_tlGraphs_J71</vt:lpstr>
      <vt:lpstr>tlOutput_tlGraphs_J72</vt:lpstr>
      <vt:lpstr>tlOutput_tlGraphs_J73</vt:lpstr>
      <vt:lpstr>tlOutput_tlGraphs_J74</vt:lpstr>
      <vt:lpstr>tlOutput_tlGraphs_J75</vt:lpstr>
      <vt:lpstr>tlOutput_tlGraphs_J76</vt:lpstr>
      <vt:lpstr>tlOutput_tlGraphs_J77</vt:lpstr>
      <vt:lpstr>tlOutput_tlGraphs_J78</vt:lpstr>
      <vt:lpstr>tlOutput_tlGraphs_J79</vt:lpstr>
      <vt:lpstr>tlOutput_tlGraphs_J80</vt:lpstr>
      <vt:lpstr>tlOutput_tlGraphs_J81</vt:lpstr>
      <vt:lpstr>tlOutput_tlGraphs_J82</vt:lpstr>
      <vt:lpstr>tlOutput_tlGraphs_J83</vt:lpstr>
      <vt:lpstr>tlOutput_tlGraphs_J84</vt:lpstr>
      <vt:lpstr>tlOutput_tlGraphs_J85</vt:lpstr>
      <vt:lpstr>tlOutput_tlGraphs_J86</vt:lpstr>
      <vt:lpstr>tlOutput_tlGraphs_J87</vt:lpstr>
      <vt:lpstr>tlOutput_tlGraphs_J88</vt:lpstr>
      <vt:lpstr>tlOutput_tlGraphs_J89</vt:lpstr>
      <vt:lpstr>tlOutput_tlGraphs_J90</vt:lpstr>
      <vt:lpstr>tlOutput_tlGraphs_J91</vt:lpstr>
      <vt:lpstr>tlOutput_tlGraphs_J92</vt:lpstr>
      <vt:lpstr>tlOutput_tlGraphs_J93</vt:lpstr>
      <vt:lpstr>tlOutput_tlGraphs_J94</vt:lpstr>
      <vt:lpstr>tlOutput_tlGraphs_J95</vt:lpstr>
      <vt:lpstr>tlOutput_tlGraphs_J96</vt:lpstr>
      <vt:lpstr>tlOutput_tlGraphs_J97</vt:lpstr>
      <vt:lpstr>tlOutput_tlGraphs_M111</vt:lpstr>
      <vt:lpstr>tlOutput_tlGraphs_M112</vt:lpstr>
      <vt:lpstr>tlOutput_tlGraphs_M113</vt:lpstr>
      <vt:lpstr>tlOutput_tlGraphs_M114</vt:lpstr>
      <vt:lpstr>tlOutput_tlGraphs_M115</vt:lpstr>
      <vt:lpstr>tlOutput_tlGraphs_M116</vt:lpstr>
      <vt:lpstr>tlOutput_tlGraphs_M117</vt:lpstr>
      <vt:lpstr>tlOutput_tlGraphs_M118</vt:lpstr>
      <vt:lpstr>tlOutput_tlGraphs_M119</vt:lpstr>
      <vt:lpstr>tlOutput_tlGraphs_M120</vt:lpstr>
      <vt:lpstr>tlOutput_tlGraphs_M121</vt:lpstr>
      <vt:lpstr>tlOutput_tlGraphs_M122</vt:lpstr>
      <vt:lpstr>tlOutput_tlGraphs_M123</vt:lpstr>
      <vt:lpstr>tlOutput_tlGraphs_M124</vt:lpstr>
      <vt:lpstr>tlOutput_tlGraphs_M125</vt:lpstr>
      <vt:lpstr>tlOutput_tlGraphs_M126</vt:lpstr>
      <vt:lpstr>tlOutput_tlGraphs_M127</vt:lpstr>
      <vt:lpstr>tlOutput_tlGraphs_M128</vt:lpstr>
      <vt:lpstr>tlOutput_tlGraphs_M129</vt:lpstr>
      <vt:lpstr>tlOutput_tlGraphs_M130</vt:lpstr>
      <vt:lpstr>tlOutput_tlGraphs_M131</vt:lpstr>
      <vt:lpstr>tlOutput_tlGraphs_M132</vt:lpstr>
      <vt:lpstr>tlOutput_tlGraphs_M133</vt:lpstr>
      <vt:lpstr>tlOutput_tlGraphs_M134</vt:lpstr>
      <vt:lpstr>tlOutput_tlGraphs_M135</vt:lpstr>
      <vt:lpstr>tlOutput_tlGraphs_M136</vt:lpstr>
      <vt:lpstr>tlOutput_tlGraphs_M137</vt:lpstr>
      <vt:lpstr>tlOutput_tlGraphs_M138</vt:lpstr>
      <vt:lpstr>tlOutput_tlGraphs_M139</vt:lpstr>
      <vt:lpstr>tlOutput_tlGraphs_M140</vt:lpstr>
      <vt:lpstr>tlOutput_tlGraphs_M141</vt:lpstr>
      <vt:lpstr>tlOutput_tlGraphs_M142</vt:lpstr>
      <vt:lpstr>tlOutput_tlGraphs_M143</vt:lpstr>
      <vt:lpstr>tlOutput_tlGraphs_M144</vt:lpstr>
      <vt:lpstr>tlOutput_tlGraphs_M145</vt:lpstr>
      <vt:lpstr>tlOutput_tlGraphs_M15</vt:lpstr>
      <vt:lpstr>tlOutput_tlGraphs_M16</vt:lpstr>
      <vt:lpstr>tlOutput_tlGraphs_M17</vt:lpstr>
      <vt:lpstr>tlOutput_tlGraphs_M18</vt:lpstr>
      <vt:lpstr>tlOutput_tlGraphs_M19</vt:lpstr>
      <vt:lpstr>tlOutput_tlGraphs_M20</vt:lpstr>
      <vt:lpstr>tlOutput_tlGraphs_M21</vt:lpstr>
      <vt:lpstr>tlOutput_tlGraphs_M22</vt:lpstr>
      <vt:lpstr>tlOutput_tlGraphs_M23</vt:lpstr>
      <vt:lpstr>tlOutput_tlGraphs_M24</vt:lpstr>
      <vt:lpstr>tlOutput_tlGraphs_M25</vt:lpstr>
      <vt:lpstr>tlOutput_tlGraphs_M26</vt:lpstr>
      <vt:lpstr>tlOutput_tlGraphs_M27</vt:lpstr>
      <vt:lpstr>tlOutput_tlGraphs_M28</vt:lpstr>
      <vt:lpstr>tlOutput_tlGraphs_M29</vt:lpstr>
      <vt:lpstr>tlOutput_tlGraphs_M30</vt:lpstr>
      <vt:lpstr>tlOutput_tlGraphs_M31</vt:lpstr>
      <vt:lpstr>tlOutput_tlGraphs_M32</vt:lpstr>
      <vt:lpstr>tlOutput_tlGraphs_M33</vt:lpstr>
      <vt:lpstr>tlOutput_tlGraphs_M34</vt:lpstr>
      <vt:lpstr>tlOutput_tlGraphs_M35</vt:lpstr>
      <vt:lpstr>tlOutput_tlGraphs_M36</vt:lpstr>
      <vt:lpstr>tlOutput_tlGraphs_M37</vt:lpstr>
      <vt:lpstr>tlOutput_tlGraphs_M38</vt:lpstr>
      <vt:lpstr>tlOutput_tlGraphs_M39</vt:lpstr>
      <vt:lpstr>tlOutput_tlGraphs_M40</vt:lpstr>
      <vt:lpstr>tlOutput_tlGraphs_M41</vt:lpstr>
      <vt:lpstr>tlOutput_tlGraphs_M42</vt:lpstr>
      <vt:lpstr>tlOutput_tlGraphs_M43</vt:lpstr>
      <vt:lpstr>tlOutput_tlGraphs_M44</vt:lpstr>
      <vt:lpstr>tlOutput_tlGraphs_M45</vt:lpstr>
      <vt:lpstr>tlOutput_tlGraphs_M46</vt:lpstr>
      <vt:lpstr>tlOutput_tlGraphs_M47</vt:lpstr>
      <vt:lpstr>tlOutput_tlGraphs_M48</vt:lpstr>
      <vt:lpstr>tlOutput_tlGraphs_M49</vt:lpstr>
      <vt:lpstr>tlOutput_tlGraphs_M63</vt:lpstr>
      <vt:lpstr>tlOutput_tlGraphs_M64</vt:lpstr>
      <vt:lpstr>tlOutput_tlGraphs_M65</vt:lpstr>
      <vt:lpstr>tlOutput_tlGraphs_M66</vt:lpstr>
      <vt:lpstr>tlOutput_tlGraphs_M67</vt:lpstr>
      <vt:lpstr>tlOutput_tlGraphs_M68</vt:lpstr>
      <vt:lpstr>tlOutput_tlGraphs_M69</vt:lpstr>
      <vt:lpstr>tlOutput_tlGraphs_M70</vt:lpstr>
      <vt:lpstr>tlOutput_tlGraphs_M71</vt:lpstr>
      <vt:lpstr>tlOutput_tlGraphs_M72</vt:lpstr>
      <vt:lpstr>tlOutput_tlGraphs_M73</vt:lpstr>
      <vt:lpstr>tlOutput_tlGraphs_M74</vt:lpstr>
      <vt:lpstr>tlOutput_tlGraphs_M75</vt:lpstr>
      <vt:lpstr>tlOutput_tlGraphs_M76</vt:lpstr>
      <vt:lpstr>tlOutput_tlGraphs_M77</vt:lpstr>
      <vt:lpstr>tlOutput_tlGraphs_M78</vt:lpstr>
      <vt:lpstr>tlOutput_tlGraphs_M79</vt:lpstr>
      <vt:lpstr>tlOutput_tlGraphs_M80</vt:lpstr>
      <vt:lpstr>tlOutput_tlGraphs_M81</vt:lpstr>
      <vt:lpstr>tlOutput_tlGraphs_M82</vt:lpstr>
      <vt:lpstr>tlOutput_tlGraphs_M83</vt:lpstr>
      <vt:lpstr>tlOutput_tlGraphs_M84</vt:lpstr>
      <vt:lpstr>tlOutput_tlGraphs_M85</vt:lpstr>
      <vt:lpstr>tlOutput_tlGraphs_M86</vt:lpstr>
      <vt:lpstr>tlOutput_tlGraphs_M87</vt:lpstr>
      <vt:lpstr>tlOutput_tlGraphs_M88</vt:lpstr>
      <vt:lpstr>tlOutput_tlGraphs_M89</vt:lpstr>
      <vt:lpstr>tlOutput_tlGraphs_M90</vt:lpstr>
      <vt:lpstr>tlOutput_tlGraphs_M91</vt:lpstr>
      <vt:lpstr>tlOutput_tlGraphs_M92</vt:lpstr>
      <vt:lpstr>tlOutput_tlGraphs_M93</vt:lpstr>
      <vt:lpstr>tlOutput_tlGraphs_M94</vt:lpstr>
      <vt:lpstr>tlOutput_tlGraphs_M95</vt:lpstr>
      <vt:lpstr>tlOutput_tlGraphs_M96</vt:lpstr>
      <vt:lpstr>tlOutput_tlGraphs_M97</vt:lpstr>
      <vt:lpstr>tlOutput_tlGraphs_N112</vt:lpstr>
      <vt:lpstr>tlOutput_tlGraphs_N113</vt:lpstr>
      <vt:lpstr>tlOutput_tlGraphs_N114</vt:lpstr>
      <vt:lpstr>tlOutput_tlGraphs_N115</vt:lpstr>
      <vt:lpstr>tlOutput_tlGraphs_N116</vt:lpstr>
      <vt:lpstr>tlOutput_tlGraphs_N117</vt:lpstr>
      <vt:lpstr>tlOutput_tlGraphs_N118</vt:lpstr>
      <vt:lpstr>tlOutput_tlGraphs_N119</vt:lpstr>
      <vt:lpstr>tlOutput_tlGraphs_N120</vt:lpstr>
      <vt:lpstr>tlOutput_tlGraphs_N121</vt:lpstr>
      <vt:lpstr>tlOutput_tlGraphs_N122</vt:lpstr>
      <vt:lpstr>tlOutput_tlGraphs_N123</vt:lpstr>
      <vt:lpstr>tlOutput_tlGraphs_N124</vt:lpstr>
      <vt:lpstr>tlOutput_tlGraphs_N125</vt:lpstr>
      <vt:lpstr>tlOutput_tlGraphs_N126</vt:lpstr>
      <vt:lpstr>tlOutput_tlGraphs_N127</vt:lpstr>
      <vt:lpstr>tlOutput_tlGraphs_N128</vt:lpstr>
      <vt:lpstr>tlOutput_tlGraphs_N129</vt:lpstr>
      <vt:lpstr>tlOutput_tlGraphs_N130</vt:lpstr>
      <vt:lpstr>tlOutput_tlGraphs_N131</vt:lpstr>
      <vt:lpstr>tlOutput_tlGraphs_N132</vt:lpstr>
      <vt:lpstr>tlOutput_tlGraphs_N133</vt:lpstr>
      <vt:lpstr>tlOutput_tlGraphs_N134</vt:lpstr>
      <vt:lpstr>tlOutput_tlGraphs_N135</vt:lpstr>
      <vt:lpstr>tlOutput_tlGraphs_N136</vt:lpstr>
      <vt:lpstr>tlOutput_tlGraphs_N137</vt:lpstr>
      <vt:lpstr>tlOutput_tlGraphs_N138</vt:lpstr>
      <vt:lpstr>tlOutput_tlGraphs_N139</vt:lpstr>
      <vt:lpstr>tlOutput_tlGraphs_N140</vt:lpstr>
      <vt:lpstr>tlOutput_tlGraphs_N141</vt:lpstr>
      <vt:lpstr>tlOutput_tlGraphs_N142</vt:lpstr>
      <vt:lpstr>tlOutput_tlGraphs_N143</vt:lpstr>
      <vt:lpstr>tlOutput_tlGraphs_N144</vt:lpstr>
      <vt:lpstr>tlOutput_tlGraphs_N145</vt:lpstr>
      <vt:lpstr>tlOutput_tlGraphs_N16</vt:lpstr>
      <vt:lpstr>tlOutput_tlGraphs_N17</vt:lpstr>
      <vt:lpstr>tlOutput_tlGraphs_N18</vt:lpstr>
      <vt:lpstr>tlOutput_tlGraphs_N19</vt:lpstr>
      <vt:lpstr>tlOutput_tlGraphs_N20</vt:lpstr>
      <vt:lpstr>tlOutput_tlGraphs_N21</vt:lpstr>
      <vt:lpstr>tlOutput_tlGraphs_N22</vt:lpstr>
      <vt:lpstr>tlOutput_tlGraphs_N23</vt:lpstr>
      <vt:lpstr>tlOutput_tlGraphs_N24</vt:lpstr>
      <vt:lpstr>tlOutput_tlGraphs_N25</vt:lpstr>
      <vt:lpstr>tlOutput_tlGraphs_N26</vt:lpstr>
      <vt:lpstr>tlOutput_tlGraphs_N27</vt:lpstr>
      <vt:lpstr>tlOutput_tlGraphs_N28</vt:lpstr>
      <vt:lpstr>tlOutput_tlGraphs_N29</vt:lpstr>
      <vt:lpstr>tlOutput_tlGraphs_N30</vt:lpstr>
      <vt:lpstr>tlOutput_tlGraphs_N31</vt:lpstr>
      <vt:lpstr>tlOutput_tlGraphs_N32</vt:lpstr>
      <vt:lpstr>tlOutput_tlGraphs_N33</vt:lpstr>
      <vt:lpstr>tlOutput_tlGraphs_N34</vt:lpstr>
      <vt:lpstr>tlOutput_tlGraphs_N35</vt:lpstr>
      <vt:lpstr>tlOutput_tlGraphs_N36</vt:lpstr>
      <vt:lpstr>tlOutput_tlGraphs_N37</vt:lpstr>
      <vt:lpstr>tlOutput_tlGraphs_N38</vt:lpstr>
      <vt:lpstr>tlOutput_tlGraphs_N39</vt:lpstr>
      <vt:lpstr>tlOutput_tlGraphs_N40</vt:lpstr>
      <vt:lpstr>tlOutput_tlGraphs_N41</vt:lpstr>
      <vt:lpstr>tlOutput_tlGraphs_N42</vt:lpstr>
      <vt:lpstr>tlOutput_tlGraphs_N43</vt:lpstr>
      <vt:lpstr>tlOutput_tlGraphs_N44</vt:lpstr>
      <vt:lpstr>tlOutput_tlGraphs_N45</vt:lpstr>
      <vt:lpstr>tlOutput_tlGraphs_N46</vt:lpstr>
      <vt:lpstr>tlOutput_tlGraphs_N47</vt:lpstr>
      <vt:lpstr>tlOutput_tlGraphs_N48</vt:lpstr>
      <vt:lpstr>tlOutput_tlGraphs_N49</vt:lpstr>
      <vt:lpstr>tlOutput_tlGraphs_N64</vt:lpstr>
      <vt:lpstr>tlOutput_tlGraphs_N65</vt:lpstr>
      <vt:lpstr>tlOutput_tlGraphs_N66</vt:lpstr>
      <vt:lpstr>tlOutput_tlGraphs_N67</vt:lpstr>
      <vt:lpstr>tlOutput_tlGraphs_N68</vt:lpstr>
      <vt:lpstr>tlOutput_tlGraphs_N69</vt:lpstr>
      <vt:lpstr>tlOutput_tlGraphs_N70</vt:lpstr>
      <vt:lpstr>tlOutput_tlGraphs_N71</vt:lpstr>
      <vt:lpstr>tlOutput_tlGraphs_N72</vt:lpstr>
      <vt:lpstr>tlOutput_tlGraphs_N73</vt:lpstr>
      <vt:lpstr>tlOutput_tlGraphs_N74</vt:lpstr>
      <vt:lpstr>tlOutput_tlGraphs_N75</vt:lpstr>
      <vt:lpstr>tlOutput_tlGraphs_N76</vt:lpstr>
      <vt:lpstr>tlOutput_tlGraphs_N77</vt:lpstr>
      <vt:lpstr>tlOutput_tlGraphs_N78</vt:lpstr>
      <vt:lpstr>tlOutput_tlGraphs_N79</vt:lpstr>
      <vt:lpstr>tlOutput_tlGraphs_N80</vt:lpstr>
      <vt:lpstr>tlOutput_tlGraphs_N81</vt:lpstr>
      <vt:lpstr>tlOutput_tlGraphs_N82</vt:lpstr>
      <vt:lpstr>tlOutput_tlGraphs_N83</vt:lpstr>
      <vt:lpstr>tlOutput_tlGraphs_N84</vt:lpstr>
      <vt:lpstr>tlOutput_tlGraphs_N85</vt:lpstr>
      <vt:lpstr>tlOutput_tlGraphs_N86</vt:lpstr>
      <vt:lpstr>tlOutput_tlGraphs_N87</vt:lpstr>
      <vt:lpstr>tlOutput_tlGraphs_N88</vt:lpstr>
      <vt:lpstr>tlOutput_tlGraphs_N89</vt:lpstr>
      <vt:lpstr>tlOutput_tlGraphs_N90</vt:lpstr>
      <vt:lpstr>tlOutput_tlGraphs_N91</vt:lpstr>
      <vt:lpstr>tlOutput_tlGraphs_N92</vt:lpstr>
      <vt:lpstr>tlOutput_tlGraphs_N93</vt:lpstr>
      <vt:lpstr>tlOutput_tlGraphs_N94</vt:lpstr>
      <vt:lpstr>tlOutput_tlGraphs_N95</vt:lpstr>
      <vt:lpstr>tlOutput_tlGraphs_N96</vt:lpstr>
      <vt:lpstr>tlOutput_tlGraphs_N97</vt:lpstr>
      <vt:lpstr>tlOutput_tlGraphs_Q111</vt:lpstr>
      <vt:lpstr>tlOutput_tlGraphs_Q112</vt:lpstr>
      <vt:lpstr>tlOutput_tlGraphs_Q113</vt:lpstr>
      <vt:lpstr>tlOutput_tlGraphs_Q114</vt:lpstr>
      <vt:lpstr>tlOutput_tlGraphs_Q115</vt:lpstr>
      <vt:lpstr>tlOutput_tlGraphs_Q116</vt:lpstr>
      <vt:lpstr>tlOutput_tlGraphs_Q117</vt:lpstr>
      <vt:lpstr>tlOutput_tlGraphs_Q118</vt:lpstr>
      <vt:lpstr>tlOutput_tlGraphs_Q119</vt:lpstr>
      <vt:lpstr>tlOutput_tlGraphs_Q120</vt:lpstr>
      <vt:lpstr>tlOutput_tlGraphs_Q121</vt:lpstr>
      <vt:lpstr>tlOutput_tlGraphs_Q122</vt:lpstr>
      <vt:lpstr>tlOutput_tlGraphs_Q123</vt:lpstr>
      <vt:lpstr>tlOutput_tlGraphs_Q124</vt:lpstr>
      <vt:lpstr>tlOutput_tlGraphs_Q125</vt:lpstr>
      <vt:lpstr>tlOutput_tlGraphs_Q126</vt:lpstr>
      <vt:lpstr>tlOutput_tlGraphs_Q127</vt:lpstr>
      <vt:lpstr>tlOutput_tlGraphs_Q128</vt:lpstr>
      <vt:lpstr>tlOutput_tlGraphs_Q129</vt:lpstr>
      <vt:lpstr>tlOutput_tlGraphs_Q130</vt:lpstr>
      <vt:lpstr>tlOutput_tlGraphs_Q131</vt:lpstr>
      <vt:lpstr>tlOutput_tlGraphs_Q132</vt:lpstr>
      <vt:lpstr>tlOutput_tlGraphs_Q133</vt:lpstr>
      <vt:lpstr>tlOutput_tlGraphs_Q134</vt:lpstr>
      <vt:lpstr>tlOutput_tlGraphs_Q135</vt:lpstr>
      <vt:lpstr>tlOutput_tlGraphs_Q136</vt:lpstr>
      <vt:lpstr>tlOutput_tlGraphs_Q137</vt:lpstr>
      <vt:lpstr>tlOutput_tlGraphs_Q138</vt:lpstr>
      <vt:lpstr>tlOutput_tlGraphs_Q139</vt:lpstr>
      <vt:lpstr>tlOutput_tlGraphs_Q140</vt:lpstr>
      <vt:lpstr>tlOutput_tlGraphs_Q141</vt:lpstr>
      <vt:lpstr>tlOutput_tlGraphs_Q142</vt:lpstr>
      <vt:lpstr>tlOutput_tlGraphs_Q143</vt:lpstr>
      <vt:lpstr>tlOutput_tlGraphs_Q144</vt:lpstr>
      <vt:lpstr>tlOutput_tlGraphs_Q145</vt:lpstr>
      <vt:lpstr>tlOutput_tlGraphs_Q63</vt:lpstr>
      <vt:lpstr>tlOutput_tlGraphs_Q64</vt:lpstr>
      <vt:lpstr>tlOutput_tlGraphs_Q65</vt:lpstr>
      <vt:lpstr>tlOutput_tlGraphs_Q66</vt:lpstr>
      <vt:lpstr>tlOutput_tlGraphs_Q67</vt:lpstr>
      <vt:lpstr>tlOutput_tlGraphs_Q68</vt:lpstr>
      <vt:lpstr>tlOutput_tlGraphs_Q69</vt:lpstr>
      <vt:lpstr>tlOutput_tlGraphs_Q70</vt:lpstr>
      <vt:lpstr>tlOutput_tlGraphs_Q71</vt:lpstr>
      <vt:lpstr>tlOutput_tlGraphs_Q72</vt:lpstr>
      <vt:lpstr>tlOutput_tlGraphs_Q73</vt:lpstr>
      <vt:lpstr>tlOutput_tlGraphs_Q74</vt:lpstr>
      <vt:lpstr>tlOutput_tlGraphs_Q75</vt:lpstr>
      <vt:lpstr>tlOutput_tlGraphs_Q76</vt:lpstr>
      <vt:lpstr>tlOutput_tlGraphs_Q77</vt:lpstr>
      <vt:lpstr>tlOutput_tlGraphs_Q78</vt:lpstr>
      <vt:lpstr>tlOutput_tlGraphs_Q79</vt:lpstr>
      <vt:lpstr>tlOutput_tlGraphs_Q80</vt:lpstr>
      <vt:lpstr>tlOutput_tlGraphs_Q81</vt:lpstr>
      <vt:lpstr>tlOutput_tlGraphs_Q82</vt:lpstr>
      <vt:lpstr>tlOutput_tlGraphs_Q83</vt:lpstr>
      <vt:lpstr>tlOutput_tlGraphs_Q84</vt:lpstr>
      <vt:lpstr>tlOutput_tlGraphs_Q85</vt:lpstr>
      <vt:lpstr>tlOutput_tlGraphs_Q86</vt:lpstr>
      <vt:lpstr>tlOutput_tlGraphs_Q87</vt:lpstr>
      <vt:lpstr>tlOutput_tlGraphs_Q88</vt:lpstr>
      <vt:lpstr>tlOutput_tlGraphs_Q89</vt:lpstr>
      <vt:lpstr>tlOutput_tlGraphs_Q90</vt:lpstr>
      <vt:lpstr>tlOutput_tlGraphs_Q91</vt:lpstr>
      <vt:lpstr>tlOutput_tlGraphs_Q92</vt:lpstr>
      <vt:lpstr>tlOutput_tlGraphs_Q93</vt:lpstr>
      <vt:lpstr>tlOutput_tlGraphs_Q94</vt:lpstr>
      <vt:lpstr>tlOutput_tlGraphs_Q95</vt:lpstr>
      <vt:lpstr>tlOutput_tlGraphs_Q96</vt:lpstr>
      <vt:lpstr>tlOutput_tlGraphs_Q97</vt:lpstr>
      <vt:lpstr>tlOutput_tlGraphs_R112</vt:lpstr>
      <vt:lpstr>tlOutput_tlGraphs_R113</vt:lpstr>
      <vt:lpstr>tlOutput_tlGraphs_R114</vt:lpstr>
      <vt:lpstr>tlOutput_tlGraphs_R115</vt:lpstr>
      <vt:lpstr>tlOutput_tlGraphs_R116</vt:lpstr>
      <vt:lpstr>tlOutput_tlGraphs_R117</vt:lpstr>
      <vt:lpstr>tlOutput_tlGraphs_R118</vt:lpstr>
      <vt:lpstr>tlOutput_tlGraphs_R119</vt:lpstr>
      <vt:lpstr>tlOutput_tlGraphs_R120</vt:lpstr>
      <vt:lpstr>tlOutput_tlGraphs_R121</vt:lpstr>
      <vt:lpstr>tlOutput_tlGraphs_R122</vt:lpstr>
      <vt:lpstr>tlOutput_tlGraphs_R123</vt:lpstr>
      <vt:lpstr>tlOutput_tlGraphs_R124</vt:lpstr>
      <vt:lpstr>tlOutput_tlGraphs_R125</vt:lpstr>
      <vt:lpstr>tlOutput_tlGraphs_R126</vt:lpstr>
      <vt:lpstr>tlOutput_tlGraphs_R127</vt:lpstr>
      <vt:lpstr>tlOutput_tlGraphs_R128</vt:lpstr>
      <vt:lpstr>tlOutput_tlGraphs_R129</vt:lpstr>
      <vt:lpstr>tlOutput_tlGraphs_R130</vt:lpstr>
      <vt:lpstr>tlOutput_tlGraphs_R131</vt:lpstr>
      <vt:lpstr>tlOutput_tlGraphs_R132</vt:lpstr>
      <vt:lpstr>tlOutput_tlGraphs_R133</vt:lpstr>
      <vt:lpstr>tlOutput_tlGraphs_R134</vt:lpstr>
      <vt:lpstr>tlOutput_tlGraphs_R135</vt:lpstr>
      <vt:lpstr>tlOutput_tlGraphs_R136</vt:lpstr>
      <vt:lpstr>tlOutput_tlGraphs_R137</vt:lpstr>
      <vt:lpstr>tlOutput_tlGraphs_R138</vt:lpstr>
      <vt:lpstr>tlOutput_tlGraphs_R139</vt:lpstr>
      <vt:lpstr>tlOutput_tlGraphs_R140</vt:lpstr>
      <vt:lpstr>tlOutput_tlGraphs_R141</vt:lpstr>
      <vt:lpstr>tlOutput_tlGraphs_R142</vt:lpstr>
      <vt:lpstr>tlOutput_tlGraphs_R143</vt:lpstr>
      <vt:lpstr>tlOutput_tlGraphs_R144</vt:lpstr>
      <vt:lpstr>tlOutput_tlGraphs_R145</vt:lpstr>
      <vt:lpstr>tlOutput_tlGraphs_R64</vt:lpstr>
      <vt:lpstr>tlOutput_tlGraphs_R65</vt:lpstr>
      <vt:lpstr>tlOutput_tlGraphs_R66</vt:lpstr>
      <vt:lpstr>tlOutput_tlGraphs_R67</vt:lpstr>
      <vt:lpstr>tlOutput_tlGraphs_R68</vt:lpstr>
      <vt:lpstr>tlOutput_tlGraphs_R69</vt:lpstr>
      <vt:lpstr>tlOutput_tlGraphs_R70</vt:lpstr>
      <vt:lpstr>tlOutput_tlGraphs_R71</vt:lpstr>
      <vt:lpstr>tlOutput_tlGraphs_R72</vt:lpstr>
      <vt:lpstr>tlOutput_tlGraphs_R73</vt:lpstr>
      <vt:lpstr>tlOutput_tlGraphs_R74</vt:lpstr>
      <vt:lpstr>tlOutput_tlGraphs_R75</vt:lpstr>
      <vt:lpstr>tlOutput_tlGraphs_R76</vt:lpstr>
      <vt:lpstr>tlOutput_tlGraphs_R77</vt:lpstr>
      <vt:lpstr>tlOutput_tlGraphs_R78</vt:lpstr>
      <vt:lpstr>tlOutput_tlGraphs_R79</vt:lpstr>
      <vt:lpstr>tlOutput_tlGraphs_R80</vt:lpstr>
      <vt:lpstr>tlOutput_tlGraphs_R81</vt:lpstr>
      <vt:lpstr>tlOutput_tlGraphs_R82</vt:lpstr>
      <vt:lpstr>tlOutput_tlGraphs_R83</vt:lpstr>
      <vt:lpstr>tlOutput_tlGraphs_R84</vt:lpstr>
      <vt:lpstr>tlOutput_tlGraphs_R85</vt:lpstr>
      <vt:lpstr>tlOutput_tlGraphs_R86</vt:lpstr>
      <vt:lpstr>tlOutput_tlGraphs_R87</vt:lpstr>
      <vt:lpstr>tlOutput_tlGraphs_R88</vt:lpstr>
      <vt:lpstr>tlOutput_tlGraphs_R89</vt:lpstr>
      <vt:lpstr>tlOutput_tlGraphs_R90</vt:lpstr>
      <vt:lpstr>tlOutput_tlGraphs_R91</vt:lpstr>
      <vt:lpstr>tlOutput_tlGraphs_R92</vt:lpstr>
      <vt:lpstr>tlOutput_tlGraphs_R93</vt:lpstr>
      <vt:lpstr>tlOutput_tlGraphs_R94</vt:lpstr>
      <vt:lpstr>tlOutput_tlGraphs_R95</vt:lpstr>
      <vt:lpstr>tlOutput_tlGraphs_R96</vt:lpstr>
      <vt:lpstr>tlOutput_tlGraphs_R97</vt:lpstr>
      <vt:lpstr>tlOutput_tlGraphsFE312</vt:lpstr>
      <vt:lpstr>tlOutput_tlInitiatives_F37</vt:lpstr>
      <vt:lpstr>tlOutput_tlInitiatives_F39</vt:lpstr>
      <vt:lpstr>tlOutput_tlInitiatives_F41</vt:lpstr>
      <vt:lpstr>tlOutput_tlInitiatives_F43</vt:lpstr>
      <vt:lpstr>tlOutput_tlInitiatives_F50</vt:lpstr>
      <vt:lpstr>tlOutput_tlInitiatives_F52</vt:lpstr>
      <vt:lpstr>tlOutput_tlInitiatives_F54</vt:lpstr>
      <vt:lpstr>tlOutput_tlInitiatives_F56</vt:lpstr>
      <vt:lpstr>tlOutput_tlInitiatives_I16</vt:lpstr>
      <vt:lpstr>tlOutput_tlInitiatives_I18</vt:lpstr>
      <vt:lpstr>tlOutput_tlInitiatives_I20</vt:lpstr>
      <vt:lpstr>tlOutput_tlInitiatives_I22</vt:lpstr>
      <vt:lpstr>tlOutput_tlInitiatives_N16</vt:lpstr>
      <vt:lpstr>tlOutput_tlInitiatives_N18</vt:lpstr>
      <vt:lpstr>tlOutput_tlInitiatives_N20</vt:lpstr>
      <vt:lpstr>tlOutput_tlInitiatives_N22</vt:lpstr>
      <vt:lpstr>tlOutput_tlInitiatives_O16</vt:lpstr>
      <vt:lpstr>tlOutput_tlInitiatives_O18</vt:lpstr>
      <vt:lpstr>tlOutput_tlInitiatives_O20</vt:lpstr>
      <vt:lpstr>tlOutput_tlInitiatives_O22</vt:lpstr>
      <vt:lpstr>tlOutput_tlInitiatives_P16</vt:lpstr>
      <vt:lpstr>tlOutput_tlInitiatives_P18</vt:lpstr>
      <vt:lpstr>tlOutput_tlInitiatives_P20</vt:lpstr>
      <vt:lpstr>tlOutput_tlInitiatives_P22</vt:lpstr>
      <vt:lpstr>tlOutput_tlInitiatives_Q16</vt:lpstr>
      <vt:lpstr>tlOutput_tlInitiatives_Q18</vt:lpstr>
      <vt:lpstr>tlOutput_tlInitiatives_Q20</vt:lpstr>
      <vt:lpstr>tlOutput_tlInitiatives_Q22</vt:lpstr>
      <vt:lpstr>tlOutput_tlInitiatives_R16</vt:lpstr>
      <vt:lpstr>tlOutput_tlInitiatives_R18</vt:lpstr>
      <vt:lpstr>tlOutput_tlInitiatives_R20</vt:lpstr>
      <vt:lpstr>tlOutput_tlInitiatives_R22</vt:lpstr>
      <vt:lpstr>tlOutput_tlInitiatives_S16</vt:lpstr>
      <vt:lpstr>tlOutput_tlInitiatives_S18</vt:lpstr>
      <vt:lpstr>tlOutput_tlInitiatives_S20</vt:lpstr>
      <vt:lpstr>tlOutput_tlInitiatives_S22</vt:lpstr>
      <vt:lpstr>tlOutput_tlInitiatives_T16</vt:lpstr>
      <vt:lpstr>tlOutput_tlInitiatives_T18</vt:lpstr>
      <vt:lpstr>tlOutput_tlInitiatives_T20</vt:lpstr>
      <vt:lpstr>tlOutput_tlInitiatives_T22</vt:lpstr>
      <vt:lpstr>tlOutput_tlPeople_H18</vt:lpstr>
      <vt:lpstr>tlOutput_tlPeople_H22</vt:lpstr>
      <vt:lpstr>tlOutput_tlPeople_H24</vt:lpstr>
      <vt:lpstr>tlOutput_tlPeople_H26</vt:lpstr>
      <vt:lpstr>tlOutput_tlPeople_H28</vt:lpstr>
      <vt:lpstr>tlOutput_tlPeople_H60</vt:lpstr>
      <vt:lpstr>tlOutput_tlPeople_H64</vt:lpstr>
      <vt:lpstr>tlOutput_tlPeople_H73</vt:lpstr>
      <vt:lpstr>tlOutput_tlPeople_J18</vt:lpstr>
      <vt:lpstr>tlOutput_tlPeople_J22</vt:lpstr>
      <vt:lpstr>tlOutput_tlPeople_J24</vt:lpstr>
      <vt:lpstr>tlOutput_tlPeople_J26</vt:lpstr>
      <vt:lpstr>tlOutput_tlPeople_J28</vt:lpstr>
      <vt:lpstr>tlOutput_tlPeople_J60</vt:lpstr>
      <vt:lpstr>tlOutput_tlPeople_J64</vt:lpstr>
      <vt:lpstr>tlOutput_tlPeople_L18</vt:lpstr>
      <vt:lpstr>tlOutput_tlPeople_L22</vt:lpstr>
      <vt:lpstr>tlOutput_tlPeople_L24</vt:lpstr>
      <vt:lpstr>tlOutput_tlPeople_L26</vt:lpstr>
      <vt:lpstr>tlOutput_tlPeople_L28</vt:lpstr>
      <vt:lpstr>tlOutput_tlPeople_L36</vt:lpstr>
      <vt:lpstr>tlOutput_tlPeople_L38</vt:lpstr>
      <vt:lpstr>tlOutput_tlPeople_L40</vt:lpstr>
      <vt:lpstr>tlOutput_tlPeople_L42</vt:lpstr>
      <vt:lpstr>tlOutput_tlPeople_L60</vt:lpstr>
      <vt:lpstr>tlOutput_tlPeople_L64</vt:lpstr>
      <vt:lpstr>tlOutput_tlPeople_N18</vt:lpstr>
      <vt:lpstr>tlOutput_tlPeople_N22</vt:lpstr>
      <vt:lpstr>tlOutput_tlPeople_N24</vt:lpstr>
      <vt:lpstr>tlOutput_tlPeople_N26</vt:lpstr>
      <vt:lpstr>tlOutput_tlPeople_N28</vt:lpstr>
      <vt:lpstr>tlOutput_tlPeople_N60</vt:lpstr>
      <vt:lpstr>tlOutput_tlPeople_N64</vt:lpstr>
      <vt:lpstr>tlOutput_tlPeople_N73</vt:lpstr>
      <vt:lpstr>tlOutput_tlPNLBusA_J10</vt:lpstr>
      <vt:lpstr>tlOutput_tlPNLBusA_J11</vt:lpstr>
      <vt:lpstr>tlOutput_tlPNLBusA_J12</vt:lpstr>
      <vt:lpstr>tlOutput_tlPNLBusA_J13</vt:lpstr>
      <vt:lpstr>tlOutput_tlPNLBusA_J14</vt:lpstr>
      <vt:lpstr>tlOutput_tlPNLBusA_J15</vt:lpstr>
      <vt:lpstr>tlOutput_tlPNLBusA_J17</vt:lpstr>
      <vt:lpstr>tlOutput_tlPNLBusA_J18</vt:lpstr>
      <vt:lpstr>tlOutput_tlPNLBusA_J21</vt:lpstr>
      <vt:lpstr>tlOutput_tlPNLBusA_J22</vt:lpstr>
      <vt:lpstr>tlOutput_tlPNLBusA_J23</vt:lpstr>
      <vt:lpstr>tlOutput_tlPNLBusA_J24</vt:lpstr>
      <vt:lpstr>tlOutput_tlPNLBusA_J26</vt:lpstr>
      <vt:lpstr>tlOutput_tlPNLBusA_J27</vt:lpstr>
      <vt:lpstr>tlOutput_tlPNLBusA_J28</vt:lpstr>
      <vt:lpstr>tlOutput_tlPNLBusA_J29</vt:lpstr>
      <vt:lpstr>tlOutput_tlPNLBusA_J30</vt:lpstr>
      <vt:lpstr>tlOutput_tlPNLBusA_J31</vt:lpstr>
      <vt:lpstr>tlOutput_tlPNLBusA_J32</vt:lpstr>
      <vt:lpstr>tlOutput_tlPNLBusA_J33</vt:lpstr>
      <vt:lpstr>tlOutput_tlPNLBusA_J34</vt:lpstr>
      <vt:lpstr>tlOutput_tlPNLBusA_J35</vt:lpstr>
      <vt:lpstr>tlOutput_tlPNLBusA_J36</vt:lpstr>
      <vt:lpstr>tlOutput_tlPNLBusA_J37</vt:lpstr>
      <vt:lpstr>tlOutput_tlPNLBusA_J38</vt:lpstr>
      <vt:lpstr>tlOutput_tlPNLBusA_J39</vt:lpstr>
      <vt:lpstr>tlOutput_tlPNLBusA_J7</vt:lpstr>
      <vt:lpstr>tlOutput_tlPNLBusA_J8</vt:lpstr>
      <vt:lpstr>tlOutput_tlPNLBusA_L10</vt:lpstr>
      <vt:lpstr>tlOutput_tlPNLBusA_L11</vt:lpstr>
      <vt:lpstr>tlOutput_tlPNLBusA_L12</vt:lpstr>
      <vt:lpstr>tlOutput_tlPNLBusA_L13</vt:lpstr>
      <vt:lpstr>tlOutput_tlPNLBusA_L14</vt:lpstr>
      <vt:lpstr>tlOutput_tlPNLBusA_L15</vt:lpstr>
      <vt:lpstr>tlOutput_tlPNLBusA_L17</vt:lpstr>
      <vt:lpstr>tlOutput_tlPNLBusA_L18</vt:lpstr>
      <vt:lpstr>tlOutput_tlPNLBusA_L21</vt:lpstr>
      <vt:lpstr>tlOutput_tlPNLBusA_L22</vt:lpstr>
      <vt:lpstr>tlOutput_tlPNLBusA_L23</vt:lpstr>
      <vt:lpstr>tlOutput_tlPNLBusA_L24</vt:lpstr>
      <vt:lpstr>tlOutput_tlPNLBusA_L26</vt:lpstr>
      <vt:lpstr>tlOutput_tlPNLBusA_L27</vt:lpstr>
      <vt:lpstr>tlOutput_tlPNLBusA_L28</vt:lpstr>
      <vt:lpstr>tlOutput_tlPNLBusA_L29</vt:lpstr>
      <vt:lpstr>tlOutput_tlPNLBusA_L30</vt:lpstr>
      <vt:lpstr>tlOutput_tlPNLBusA_L31</vt:lpstr>
      <vt:lpstr>tlOutput_tlPNLBusA_L32</vt:lpstr>
      <vt:lpstr>tlOutput_tlPNLBusA_L33</vt:lpstr>
      <vt:lpstr>tlOutput_tlPNLBusA_L34</vt:lpstr>
      <vt:lpstr>tlOutput_tlPNLBusA_L35</vt:lpstr>
      <vt:lpstr>tlOutput_tlPNLBusA_L36</vt:lpstr>
      <vt:lpstr>tlOutput_tlPNLBusA_L37</vt:lpstr>
      <vt:lpstr>tlOutput_tlPNLBusA_L38</vt:lpstr>
      <vt:lpstr>tlOutput_tlPNLBusA_L39</vt:lpstr>
      <vt:lpstr>tlOutput_tlPNLBusA_L7</vt:lpstr>
      <vt:lpstr>tlOutput_tlPNLBusA_L8</vt:lpstr>
      <vt:lpstr>tlOutput_tlPNLBusA_N10</vt:lpstr>
      <vt:lpstr>tlOutput_tlPNLBusA_N11</vt:lpstr>
      <vt:lpstr>tlOutput_tlPNLBusA_N12</vt:lpstr>
      <vt:lpstr>tlOutput_tlPNLBusA_N13</vt:lpstr>
      <vt:lpstr>tlOutput_tlPNLBusA_N14</vt:lpstr>
      <vt:lpstr>tlOutput_tlPNLBusA_N15</vt:lpstr>
      <vt:lpstr>tlOutput_tlPNLBusA_N17</vt:lpstr>
      <vt:lpstr>tlOutput_tlPNLBusA_N18</vt:lpstr>
      <vt:lpstr>tlOutput_tlPNLBusA_N21</vt:lpstr>
      <vt:lpstr>tlOutput_tlPNLBusA_N22</vt:lpstr>
      <vt:lpstr>tlOutput_tlPNLBusA_N23</vt:lpstr>
      <vt:lpstr>tlOutput_tlPNLBusA_N24</vt:lpstr>
      <vt:lpstr>tlOutput_tlPNLBusA_N26</vt:lpstr>
      <vt:lpstr>tlOutput_tlPNLBusA_N27</vt:lpstr>
      <vt:lpstr>tlOutput_tlPNLBusA_N28</vt:lpstr>
      <vt:lpstr>tlOutput_tlPNLBusA_N29</vt:lpstr>
      <vt:lpstr>tlOutput_tlPNLBusA_N30</vt:lpstr>
      <vt:lpstr>tlOutput_tlPNLBusA_N31</vt:lpstr>
      <vt:lpstr>tlOutput_tlPNLBusA_N32</vt:lpstr>
      <vt:lpstr>tlOutput_tlPNLBusA_N33</vt:lpstr>
      <vt:lpstr>tlOutput_tlPNLBusA_N34</vt:lpstr>
      <vt:lpstr>tlOutput_tlPNLBusA_N35</vt:lpstr>
      <vt:lpstr>tlOutput_tlPNLBusA_N36</vt:lpstr>
      <vt:lpstr>tlOutput_tlPNLBusA_N37</vt:lpstr>
      <vt:lpstr>tlOutput_tlPNLBusA_N38</vt:lpstr>
      <vt:lpstr>tlOutput_tlPNLBusA_N39</vt:lpstr>
      <vt:lpstr>tlOutput_tlPNLBusA_N7</vt:lpstr>
      <vt:lpstr>tlOutput_tlPNLBusA_N8</vt:lpstr>
      <vt:lpstr>tlOutput_tlPNLBusA_P10</vt:lpstr>
      <vt:lpstr>tlOutput_tlPNLBusA_P11</vt:lpstr>
      <vt:lpstr>tlOutput_tlPNLBusA_P12</vt:lpstr>
      <vt:lpstr>tlOutput_tlPNLBusA_P13</vt:lpstr>
      <vt:lpstr>tlOutput_tlPNLBusA_P14</vt:lpstr>
      <vt:lpstr>tlOutput_tlPNLBusA_P15</vt:lpstr>
      <vt:lpstr>tlOutput_tlPNLBusA_P17</vt:lpstr>
      <vt:lpstr>tlOutput_tlPNLBusA_P18</vt:lpstr>
      <vt:lpstr>tlOutput_tlPNLBusA_P21</vt:lpstr>
      <vt:lpstr>tlOutput_tlPNLBusA_P22</vt:lpstr>
      <vt:lpstr>tlOutput_tlPNLBusA_P23</vt:lpstr>
      <vt:lpstr>tlOutput_tlPNLBusA_P24</vt:lpstr>
      <vt:lpstr>tlOutput_tlPNLBusA_P26</vt:lpstr>
      <vt:lpstr>tlOutput_tlPNLBusA_P27</vt:lpstr>
      <vt:lpstr>tlOutput_tlPNLBusA_P28</vt:lpstr>
      <vt:lpstr>tlOutput_tlPNLBusA_P29</vt:lpstr>
      <vt:lpstr>tlOutput_tlPNLBusA_P30</vt:lpstr>
      <vt:lpstr>tlOutput_tlPNLBusA_P31</vt:lpstr>
      <vt:lpstr>tlOutput_tlPNLBusA_P32</vt:lpstr>
      <vt:lpstr>tlOutput_tlPNLBusA_P33</vt:lpstr>
      <vt:lpstr>tlOutput_tlPNLBusA_P34</vt:lpstr>
      <vt:lpstr>tlOutput_tlPNLBusA_P35</vt:lpstr>
      <vt:lpstr>tlOutput_tlPNLBusA_P36</vt:lpstr>
      <vt:lpstr>tlOutput_tlPNLBusA_P37</vt:lpstr>
      <vt:lpstr>tlOutput_tlPNLBusA_P38</vt:lpstr>
      <vt:lpstr>tlOutput_tlPNLBusA_P39</vt:lpstr>
      <vt:lpstr>tlOutput_tlPNLBusA_P7</vt:lpstr>
      <vt:lpstr>tlOutput_tlPNLBusA_P8</vt:lpstr>
      <vt:lpstr>tlOutputBusAEmp2Dismiss</vt:lpstr>
      <vt:lpstr>tlOutputBusAEmp2HrsCurrProj</vt:lpstr>
      <vt:lpstr>tlOutputBusAEmp2HrsCurrProjV2</vt:lpstr>
      <vt:lpstr>tlOutputBusAEmp2HrsCurrProjV3</vt:lpstr>
      <vt:lpstr>tlOutputBusAEmp3Dismiss</vt:lpstr>
      <vt:lpstr>tlOutputBusAEmp3HrsCurrProj</vt:lpstr>
      <vt:lpstr>tlOutputBusAEmp3HrsCurrProjV2</vt:lpstr>
      <vt:lpstr>tlOutputBusAEmp3HrsCurrProjV3</vt:lpstr>
      <vt:lpstr>tlOutputBusAEmp4Dismiss</vt:lpstr>
      <vt:lpstr>tlOutputBusAEmp4HrsCurrProj</vt:lpstr>
      <vt:lpstr>tlOutputBusAEmp4HrsCurrProjV2</vt:lpstr>
      <vt:lpstr>tlOutputBusAEmp4HrsCurrProjV3</vt:lpstr>
      <vt:lpstr>tlOutputBusAEmp9Dismiss</vt:lpstr>
      <vt:lpstr>tlOutputBusAEmp9HrsCurrProj</vt:lpstr>
      <vt:lpstr>tlOutputBusAEmp9HrsCurrProjV2</vt:lpstr>
      <vt:lpstr>tlOutputBusAEmp9HrsCurrProjV3</vt:lpstr>
      <vt:lpstr>tlOutputBusAGrowthForecast</vt:lpstr>
      <vt:lpstr>tlOutputBusAGrowthForecastV2</vt:lpstr>
      <vt:lpstr>tlOutputBusAGrowthForecastV3</vt:lpstr>
      <vt:lpstr>tlOutputBusAPricePerHr</vt:lpstr>
      <vt:lpstr>tlOutputBusAPricePerHrV2</vt:lpstr>
      <vt:lpstr>tlOutputBusAPricePerHrV3</vt:lpstr>
      <vt:lpstr>tlOutputCompDevBusAV1</vt:lpstr>
      <vt:lpstr>tlOutputCompDevBusAV2</vt:lpstr>
      <vt:lpstr>tlOutputCompDevBusAV3</vt:lpstr>
      <vt:lpstr>tlOutputDBBookings</vt:lpstr>
      <vt:lpstr>tlOutputDBBookingsCAGR</vt:lpstr>
      <vt:lpstr>tlOutputDBBusAEmp1Utiliz</vt:lpstr>
      <vt:lpstr>tlOutputDBBusAEmp2Utiliz</vt:lpstr>
      <vt:lpstr>tlOutputDBBusAEmp3Utiliz</vt:lpstr>
      <vt:lpstr>tlOutputDBBusAEmp4Utiliz</vt:lpstr>
      <vt:lpstr>tlOutputDBBusAEmp7Utiliz</vt:lpstr>
      <vt:lpstr>tlOutputDBBusAEmp8Utiliz</vt:lpstr>
      <vt:lpstr>tlOutputDBBusAEmp9Utiliz</vt:lpstr>
      <vt:lpstr>tlOutputDBBusATotalQualityCost</vt:lpstr>
      <vt:lpstr>tlOutputDBBusBEmp1Utiliz</vt:lpstr>
      <vt:lpstr>tlOutputDBBusBEmp2Utiliz</vt:lpstr>
      <vt:lpstr>tlOutputDBBusBEmp3Utiliz</vt:lpstr>
      <vt:lpstr>tlOutputDBBusBEmp4Utiliz</vt:lpstr>
      <vt:lpstr>tlOutputDBBusBTotalForecastRev</vt:lpstr>
      <vt:lpstr>tlOutputDBBusBTotalQualityCost</vt:lpstr>
      <vt:lpstr>tlOutputDBCSATEnd</vt:lpstr>
      <vt:lpstr>tlOutputDBEmp6Utiliz</vt:lpstr>
      <vt:lpstr>tlOutputDBESATEnd</vt:lpstr>
      <vt:lpstr>tlOutputDBGaugeBusAEmp2Utiliz</vt:lpstr>
      <vt:lpstr>tlOutputDBGaugeBusAEmp3Utiliz</vt:lpstr>
      <vt:lpstr>tlOutputDBGaugeBusAEmp4Utiliz</vt:lpstr>
      <vt:lpstr>tlOutputDBGaugeBusAEmp9Utiliz</vt:lpstr>
      <vt:lpstr>tlOutputDBGaugeEmp6Utiliz</vt:lpstr>
      <vt:lpstr>tlOutputDBGM</vt:lpstr>
      <vt:lpstr>tlOutputDBOM</vt:lpstr>
      <vt:lpstr>tlOutputDBTotalRev</vt:lpstr>
      <vt:lpstr>tlOutputDBTotalTrainingBudForecast</vt:lpstr>
      <vt:lpstr>tlOutputDBYr0Bookings</vt:lpstr>
      <vt:lpstr>tlOutputDBYr0BookingsCAGR</vt:lpstr>
      <vt:lpstr>tlOutputDBYr0BusAEmp1Utiliz</vt:lpstr>
      <vt:lpstr>tlOutputDBYr0BusAEmp2Utiliz</vt:lpstr>
      <vt:lpstr>tlOutputDBYr0BusAEmp3Utiliz</vt:lpstr>
      <vt:lpstr>tlOutputDBYr0BusAEmp4Utiliz</vt:lpstr>
      <vt:lpstr>tlOutputDBYr0BusAEmp7Utiliz</vt:lpstr>
      <vt:lpstr>tlOutputDBYr0BusAEmp8Utiliz</vt:lpstr>
      <vt:lpstr>tlOutputDBYr0BusAEmp9Utiliz</vt:lpstr>
      <vt:lpstr>tlOutputDBYr0BusATotalQualityCost</vt:lpstr>
      <vt:lpstr>tlOutputDBYr0BusBEmp1Utiliz</vt:lpstr>
      <vt:lpstr>tlOutputDBYr0BusBEmp2Utiliz</vt:lpstr>
      <vt:lpstr>tlOutputDBYr0BusBEmp3Utiliz</vt:lpstr>
      <vt:lpstr>tlOutputDBYr0BusBEmp4Utiliz</vt:lpstr>
      <vt:lpstr>tlOutputDBYr0BusBTotalForecastRev</vt:lpstr>
      <vt:lpstr>tlOutputDBYr0BusBTotalQualityCost</vt:lpstr>
      <vt:lpstr>tlOutputDBYr0CSATEnd</vt:lpstr>
      <vt:lpstr>tlOutputDBYr0Emp6Utiliz</vt:lpstr>
      <vt:lpstr>tlOutputDBYr0ESATEnd</vt:lpstr>
      <vt:lpstr>tlOutputDBYr0GaugeBusAEmp2Utiliz</vt:lpstr>
      <vt:lpstr>tlOutputDBYr0GaugeBusAEmp3Utiliz</vt:lpstr>
      <vt:lpstr>tlOutputDBYr0GaugeBusAEmp4Utiliz</vt:lpstr>
      <vt:lpstr>tlOutputDBYr0GaugeBusAEmp9Utiliz</vt:lpstr>
      <vt:lpstr>tlOutputDBYr0GaugeEmp6Utiliz</vt:lpstr>
      <vt:lpstr>tlOutputDBYr0GM</vt:lpstr>
      <vt:lpstr>tlOutputDBYr0OM</vt:lpstr>
      <vt:lpstr>tlOutputDBYr0TotalRev</vt:lpstr>
      <vt:lpstr>tlOutputDBYr0TotalTrainingBudForecast</vt:lpstr>
      <vt:lpstr>tlOutputDBYr1Bookings</vt:lpstr>
      <vt:lpstr>tlOutputDBYr1BookingsCAGR</vt:lpstr>
      <vt:lpstr>tlOutputDBYr1BusAEmp1Utiliz</vt:lpstr>
      <vt:lpstr>tlOutputDBYr1BusAEmp2Utiliz</vt:lpstr>
      <vt:lpstr>tlOutputDBYr1BusAEmp3Utiliz</vt:lpstr>
      <vt:lpstr>tlOutputDBYr1BusAEmp4Utiliz</vt:lpstr>
      <vt:lpstr>tlOutputDBYr1BusAEmp7Utiliz</vt:lpstr>
      <vt:lpstr>tlOutputDBYr1BusAEmp8Utiliz</vt:lpstr>
      <vt:lpstr>tlOutputDBYr1BusAEmp9Utiliz</vt:lpstr>
      <vt:lpstr>tlOutputDBYr1BusATotalQualityCost</vt:lpstr>
      <vt:lpstr>tlOutputDBYr1BusBEmp1Utiliz</vt:lpstr>
      <vt:lpstr>tlOutputDBYr1BusBEmp2Utiliz</vt:lpstr>
      <vt:lpstr>tlOutputDBYr1BusBEmp3Utiliz</vt:lpstr>
      <vt:lpstr>tlOutputDBYr1BusBEmp4Utiliz</vt:lpstr>
      <vt:lpstr>tlOutputDBYr1BusBTotalForecastRev</vt:lpstr>
      <vt:lpstr>tlOutputDBYr1BusBTotalQualityCost</vt:lpstr>
      <vt:lpstr>tlOutputDBYr1CSATEnd</vt:lpstr>
      <vt:lpstr>tlOutputDBYr1Emp6Utiliz</vt:lpstr>
      <vt:lpstr>tlOutputDBYr1ESATEnd</vt:lpstr>
      <vt:lpstr>tlOutputDBYr1GaugeBusAEmp2Utiliz</vt:lpstr>
      <vt:lpstr>tlOutputDBYr1GaugeBusAEmp3Utiliz</vt:lpstr>
      <vt:lpstr>tlOutputDBYr1GaugeBusAEmp4Utiliz</vt:lpstr>
      <vt:lpstr>tlOutputDBYr1GaugeBusAEmp9Utiliz</vt:lpstr>
      <vt:lpstr>tlOutputDBYr1GaugeEmp6Utiliz</vt:lpstr>
      <vt:lpstr>tlOutputDBYr1GM</vt:lpstr>
      <vt:lpstr>tlOutputDBYr1OM</vt:lpstr>
      <vt:lpstr>tlOutputDBYr1TotalRev</vt:lpstr>
      <vt:lpstr>tlOutputDBYr1TotalTrainingBudForecast</vt:lpstr>
      <vt:lpstr>tlOutputDBYr2Bookings</vt:lpstr>
      <vt:lpstr>tlOutputDBYr2BookingsCAGR</vt:lpstr>
      <vt:lpstr>tlOutputDBYr2BusAEmp1Utiliz</vt:lpstr>
      <vt:lpstr>tlOutputDBYr2BusAEmp2Utiliz</vt:lpstr>
      <vt:lpstr>tlOutputDBYr2BusAEmp3Utiliz</vt:lpstr>
      <vt:lpstr>tlOutputDBYr2BusAEmp4Utiliz</vt:lpstr>
      <vt:lpstr>tlOutputDBYr2BusAEmp7Utiliz</vt:lpstr>
      <vt:lpstr>tlOutputDBYr2BusAEmp8Utiliz</vt:lpstr>
      <vt:lpstr>tlOutputDBYr2BusAEmp9Utiliz</vt:lpstr>
      <vt:lpstr>tlOutputDBYr2BusATotalQualityCost</vt:lpstr>
      <vt:lpstr>tlOutputDBYr2BusBEmp1Utiliz</vt:lpstr>
      <vt:lpstr>tlOutputDBYr2BusBEmp2Utiliz</vt:lpstr>
      <vt:lpstr>tlOutputDBYr2BusBEmp3Utiliz</vt:lpstr>
      <vt:lpstr>tlOutputDBYr2BusBEmp4Utiliz</vt:lpstr>
      <vt:lpstr>tlOutputDBYr2BusBTotalForecastRev</vt:lpstr>
      <vt:lpstr>tlOutputDBYr2BusBTotalQualityCost</vt:lpstr>
      <vt:lpstr>tlOutputDBYr2CSATEnd</vt:lpstr>
      <vt:lpstr>tlOutputDBYr2Emp6Utiliz</vt:lpstr>
      <vt:lpstr>tlOutputDBYr2ESATEnd</vt:lpstr>
      <vt:lpstr>tlOutputDBYr2GaugeBusAEmp2Utiliz</vt:lpstr>
      <vt:lpstr>tlOutputDBYr2GaugeBusAEmp3Utiliz</vt:lpstr>
      <vt:lpstr>tlOutputDBYr2GaugeBusAEmp4Utiliz</vt:lpstr>
      <vt:lpstr>tlOutputDBYr2GaugeBusAEmp9Utiliz</vt:lpstr>
      <vt:lpstr>tlOutputDBYr2GaugeEmp6Utiliz</vt:lpstr>
      <vt:lpstr>tlOutputDBYr2GM</vt:lpstr>
      <vt:lpstr>tlOutputDBYr2OM</vt:lpstr>
      <vt:lpstr>tlOutputDBYr2TotalRev</vt:lpstr>
      <vt:lpstr>tlOutputDBYr2TotalTrainingBudForecast</vt:lpstr>
      <vt:lpstr>tlOutputEmp2Salary</vt:lpstr>
      <vt:lpstr>tlOutputEmp3Salary</vt:lpstr>
      <vt:lpstr>tlOutputEmp4Salary</vt:lpstr>
      <vt:lpstr>tlOutputEntSvcsDismiss</vt:lpstr>
      <vt:lpstr>tlOutputEntSvcsEmp2BusAHire</vt:lpstr>
      <vt:lpstr>tlOutputEntSvcsEmp2Training</vt:lpstr>
      <vt:lpstr>tlOutputEntSvcsEmp2TrainingNextYr</vt:lpstr>
      <vt:lpstr>tlOutputEntSvcsEmp3BusAHire</vt:lpstr>
      <vt:lpstr>tlOutputEntSvcsEmp3Training</vt:lpstr>
      <vt:lpstr>tlOutputEntSvcsEmp3TrainingNextYr</vt:lpstr>
      <vt:lpstr>tlOutputEntSvcsEmp4BusAHire</vt:lpstr>
      <vt:lpstr>tlOutputEntSvcsEmp4Training</vt:lpstr>
      <vt:lpstr>tlOutputEntSvcsEmp4TrainingNextYr</vt:lpstr>
      <vt:lpstr>tlOutputEntSvcsEmp9BusAHire</vt:lpstr>
      <vt:lpstr>tlOutputEntSvcsEntWFTraining</vt:lpstr>
      <vt:lpstr>tlOutputEntSvcsEntWFTrainingNextYr</vt:lpstr>
      <vt:lpstr>tlOutputEntSvcsHire</vt:lpstr>
      <vt:lpstr>tlOutputEntSvcsMarketingExp</vt:lpstr>
      <vt:lpstr>tlOutputEntSvcsProgram1</vt:lpstr>
      <vt:lpstr>tlOutputEntSvcsProgram1Name</vt:lpstr>
      <vt:lpstr>tlOutputEntSvcsProgram2</vt:lpstr>
      <vt:lpstr>tlOutputEntSvcsProgram2Name</vt:lpstr>
      <vt:lpstr>tlOutputEntSvcsProgram3</vt:lpstr>
      <vt:lpstr>tlOutputEntSvcsProgram3Name</vt:lpstr>
      <vt:lpstr>tlOutputEntSvcsProgram4</vt:lpstr>
      <vt:lpstr>tlOutputEntSvcsProgram4Name</vt:lpstr>
      <vt:lpstr>tlOutputEntSvcsSalesLevelPrac1</vt:lpstr>
      <vt:lpstr>tlOutputEntSvcsSalesLevelPrac2</vt:lpstr>
      <vt:lpstr>tlOutputEntSvcsSalesLevelPrac3</vt:lpstr>
      <vt:lpstr>tlOutputErrorCheck1</vt:lpstr>
      <vt:lpstr>tlOutputErrorCheck2</vt:lpstr>
      <vt:lpstr>tlOutputErrorCheck3</vt:lpstr>
      <vt:lpstr>tlOutputErrorCheck4</vt:lpstr>
      <vt:lpstr>tlOutputErrorCheck5</vt:lpstr>
      <vt:lpstr>tlOutputErrorCheck6</vt:lpstr>
      <vt:lpstr>tlOutputGaugeBusAEmp2Utiliz</vt:lpstr>
      <vt:lpstr>tlOutputGaugeBusAEmp3Utiliz</vt:lpstr>
      <vt:lpstr>tlOutputGaugeBusAEmp4Utiliz</vt:lpstr>
      <vt:lpstr>tlOutputGaugeBusAEmp9Utiliz</vt:lpstr>
      <vt:lpstr>tlOutputGaugeEmp6Utiliz</vt:lpstr>
      <vt:lpstr>tlOutputGaugeYr0BusAEmp2Utiliz</vt:lpstr>
      <vt:lpstr>tlOutputGaugeYr0BusAEmp3Utiliz</vt:lpstr>
      <vt:lpstr>tlOutputGaugeYr0BusAEmp4Utiliz</vt:lpstr>
      <vt:lpstr>tlOutputGaugeYr0BusAEmp9Utiliz</vt:lpstr>
      <vt:lpstr>tlOutputGaugeYr0Emp6Utiliz</vt:lpstr>
      <vt:lpstr>tlOutputGaugeYr1BusAEmp2Utiliz</vt:lpstr>
      <vt:lpstr>tlOutputGaugeYr1BusAEmp3Utiliz</vt:lpstr>
      <vt:lpstr>tlOutputGaugeYr1BusAEmp4Utiliz</vt:lpstr>
      <vt:lpstr>tlOutputGaugeYr1BusAEmp9Utiliz</vt:lpstr>
      <vt:lpstr>tlOutputGaugeYr1Emp6Utiliz</vt:lpstr>
      <vt:lpstr>tlOutputGaugeYr2BusAEmp2Utiliz</vt:lpstr>
      <vt:lpstr>tlOutputGaugeYr2BusAEmp3Utiliz</vt:lpstr>
      <vt:lpstr>tlOutputGaugeYr2BusAEmp4Utiliz</vt:lpstr>
      <vt:lpstr>tlOutputGaugeYr2BusAEmp9Utiliz</vt:lpstr>
      <vt:lpstr>tlOutputGaugeYr2Emp6Utiliz</vt:lpstr>
      <vt:lpstr>tlOutputIndustryEminence</vt:lpstr>
      <vt:lpstr>tlOutputInternalassets</vt:lpstr>
      <vt:lpstr>tlOutputPrac1OffshorePct</vt:lpstr>
      <vt:lpstr>tlOutputPrac2OffshorePct</vt:lpstr>
      <vt:lpstr>tlOutputPrac3OffshorePct</vt:lpstr>
      <vt:lpstr>tlOutputSpecProg1Check</vt:lpstr>
      <vt:lpstr>tlOutputSpecProg2Check</vt:lpstr>
      <vt:lpstr>tlOutputSpecProg3Check</vt:lpstr>
      <vt:lpstr>tlOutputSpecProg4Check</vt:lpstr>
      <vt:lpstr>tlOutputSpecProg5Check</vt:lpstr>
      <vt:lpstr>tlOutputSpecProg6Check</vt:lpstr>
      <vt:lpstr>tlOutputSpecProg7Check</vt:lpstr>
      <vt:lpstr>TOOLBAR1Cbar</vt:lpstr>
      <vt:lpstr>toolPeopleBCVariancePct</vt:lpstr>
      <vt:lpstr>toolPeopleSITVariancePct</vt:lpstr>
      <vt:lpstr>toolPeopleSWFVariancePct</vt:lpstr>
      <vt:lpstr>toolPeopleTargetBudgetEmp1</vt:lpstr>
      <vt:lpstr>toolPeopleTargetBudgetEmp2</vt:lpstr>
      <vt:lpstr>toolPeopleTargetBudgetEmp3</vt:lpstr>
      <vt:lpstr>toolPeopleTargetBudgetEmp4</vt:lpstr>
      <vt:lpstr>toolPeopleTargetBudgetEmp6</vt:lpstr>
      <vt:lpstr>toolPeopleTargetTrainEmp1</vt:lpstr>
      <vt:lpstr>toolPeopleTargetTrainEmp2</vt:lpstr>
      <vt:lpstr>toolPeopleTargetTrainEmp3</vt:lpstr>
      <vt:lpstr>toolPeopleTargetTrainEmp4</vt:lpstr>
      <vt:lpstr>toolPeopleTargetTrainEmp6</vt:lpstr>
      <vt:lpstr>xxcbalNewYearCopy</vt:lpstr>
      <vt:lpstr>xxCommentRange</vt:lpstr>
      <vt:lpstr>xxContLangCode</vt:lpstr>
      <vt:lpstr>xxControlTeamNames</vt:lpstr>
      <vt:lpstr>xxDashboard</vt:lpstr>
      <vt:lpstr>xxDashboardBusA</vt:lpstr>
      <vt:lpstr>xxDashboardBusA2</vt:lpstr>
      <vt:lpstr>xxDashboardBusA2SIT</vt:lpstr>
      <vt:lpstr>xxDashboardBusB</vt:lpstr>
      <vt:lpstr>xxDashboardBusB2</vt:lpstr>
      <vt:lpstr>xxDashboardEntSvcs</vt:lpstr>
      <vt:lpstr>xxDashboardEntSvcs2</vt:lpstr>
      <vt:lpstr>xxDecErrorCount</vt:lpstr>
      <vt:lpstr>xxDecErrorGoto</vt:lpstr>
      <vt:lpstr>xxDecErrorRange</vt:lpstr>
      <vt:lpstr>xxDecResetValues</vt:lpstr>
      <vt:lpstr>xxDecValuesCopy</vt:lpstr>
      <vt:lpstr>xxDecValuesPaste</vt:lpstr>
      <vt:lpstr>xxDecXDataImport</vt:lpstr>
      <vt:lpstr>xxExcelVersion</vt:lpstr>
      <vt:lpstr>xxExcelVersionCode</vt:lpstr>
      <vt:lpstr>xxExcelVersionDesc</vt:lpstr>
      <vt:lpstr>xxHoodClose</vt:lpstr>
      <vt:lpstr>ManualAdjustments!xxIndexTeam</vt:lpstr>
      <vt:lpstr>xxIndexTeam</vt:lpstr>
      <vt:lpstr>xxMMProd1Driver1</vt:lpstr>
      <vt:lpstr>xxMMProd1Driver10</vt:lpstr>
      <vt:lpstr>xxMMProd1Driver2</vt:lpstr>
      <vt:lpstr>xxMMProd1Driver3</vt:lpstr>
      <vt:lpstr>xxMMProd1Driver4</vt:lpstr>
      <vt:lpstr>xxMMProd1Driver5</vt:lpstr>
      <vt:lpstr>xxMMProd1Driver6</vt:lpstr>
      <vt:lpstr>xxMMProd1Driver7</vt:lpstr>
      <vt:lpstr>xxMMProd1Driver8</vt:lpstr>
      <vt:lpstr>xxMMProd1Driver9</vt:lpstr>
      <vt:lpstr>xxMMProd1Seg1Units</vt:lpstr>
      <vt:lpstr>xxMMProd1Seg2Units</vt:lpstr>
      <vt:lpstr>xxMMProd1Seg3Units</vt:lpstr>
      <vt:lpstr>xxMMProd1Seg4Units</vt:lpstr>
      <vt:lpstr>xxMMProd1Seg5Units</vt:lpstr>
      <vt:lpstr>xxMMProd1Units</vt:lpstr>
      <vt:lpstr>xxMMProd2Driver1</vt:lpstr>
      <vt:lpstr>xxMMProd2Driver10</vt:lpstr>
      <vt:lpstr>xxMMProd2Driver2</vt:lpstr>
      <vt:lpstr>xxMMProd2Driver3</vt:lpstr>
      <vt:lpstr>xxMMProd2Driver4</vt:lpstr>
      <vt:lpstr>xxMMProd2Driver5</vt:lpstr>
      <vt:lpstr>xxMMProd2Driver6</vt:lpstr>
      <vt:lpstr>xxMMProd2Driver7</vt:lpstr>
      <vt:lpstr>xxMMProd2Driver8</vt:lpstr>
      <vt:lpstr>xxMMProd2Driver9</vt:lpstr>
      <vt:lpstr>xxMMProd2Seg1Units</vt:lpstr>
      <vt:lpstr>xxMMProd2Seg2Units</vt:lpstr>
      <vt:lpstr>xxMMProd2Seg3Units</vt:lpstr>
      <vt:lpstr>xxMMProd2Seg4Units</vt:lpstr>
      <vt:lpstr>xxMMProd2Seg5Units</vt:lpstr>
      <vt:lpstr>xxMMProd2Units</vt:lpstr>
      <vt:lpstr>xxMMProd3Driver1</vt:lpstr>
      <vt:lpstr>xxMMProd3Driver10</vt:lpstr>
      <vt:lpstr>xxMMProd3Driver2</vt:lpstr>
      <vt:lpstr>xxMMProd3Driver3</vt:lpstr>
      <vt:lpstr>xxMMProd3Driver4</vt:lpstr>
      <vt:lpstr>xxMMProd3Driver5</vt:lpstr>
      <vt:lpstr>xxMMProd3Driver6</vt:lpstr>
      <vt:lpstr>xxMMProd3Driver7</vt:lpstr>
      <vt:lpstr>xxMMProd3Driver8</vt:lpstr>
      <vt:lpstr>xxMMProd3Driver9</vt:lpstr>
      <vt:lpstr>xxMMProd3Seg1Units</vt:lpstr>
      <vt:lpstr>xxMMProd3Seg2Units</vt:lpstr>
      <vt:lpstr>xxMMProd3Seg3Units</vt:lpstr>
      <vt:lpstr>xxMMProd3Seg4Units</vt:lpstr>
      <vt:lpstr>xxMMProd3Seg5Units</vt:lpstr>
      <vt:lpstr>xxMMProd3Units</vt:lpstr>
      <vt:lpstr>xxMMProd4Driver1</vt:lpstr>
      <vt:lpstr>xxMMProd4Driver10</vt:lpstr>
      <vt:lpstr>xxMMProd4Driver2</vt:lpstr>
      <vt:lpstr>xxMMProd4Driver3</vt:lpstr>
      <vt:lpstr>xxMMProd4Driver4</vt:lpstr>
      <vt:lpstr>xxMMProd4Driver5</vt:lpstr>
      <vt:lpstr>xxMMProd4Driver6</vt:lpstr>
      <vt:lpstr>xxMMProd4Driver7</vt:lpstr>
      <vt:lpstr>xxMMProd4Driver8</vt:lpstr>
      <vt:lpstr>xxMMProd4Driver9</vt:lpstr>
      <vt:lpstr>xxMMProd4Seg1Units</vt:lpstr>
      <vt:lpstr>xxMMProd4Seg2Units</vt:lpstr>
      <vt:lpstr>xxMMProd4Seg3Units</vt:lpstr>
      <vt:lpstr>xxMMProd4Seg4Units</vt:lpstr>
      <vt:lpstr>xxMMProd4Seg5Units</vt:lpstr>
      <vt:lpstr>xxMMProd4Units</vt:lpstr>
      <vt:lpstr>xxMMProd5Driver1</vt:lpstr>
      <vt:lpstr>xxMMProd5Driver10</vt:lpstr>
      <vt:lpstr>xxMMProd5Driver2</vt:lpstr>
      <vt:lpstr>xxMMProd5Driver3</vt:lpstr>
      <vt:lpstr>xxMMProd5Driver4</vt:lpstr>
      <vt:lpstr>xxMMProd5Driver5</vt:lpstr>
      <vt:lpstr>xxMMProd5Driver6</vt:lpstr>
      <vt:lpstr>xxMMProd5Driver7</vt:lpstr>
      <vt:lpstr>xxMMProd5Driver8</vt:lpstr>
      <vt:lpstr>xxMMProd5Driver9</vt:lpstr>
      <vt:lpstr>xxMMProd5Seg1Units</vt:lpstr>
      <vt:lpstr>xxMMProd5Seg2Units</vt:lpstr>
      <vt:lpstr>xxMMProd5Seg3Units</vt:lpstr>
      <vt:lpstr>xxMMProd5Seg4Units</vt:lpstr>
      <vt:lpstr>xxMMProd5Seg5Units</vt:lpstr>
      <vt:lpstr>xxMMProd5Seg6Units</vt:lpstr>
      <vt:lpstr>xxMMProd5Seg7Units</vt:lpstr>
      <vt:lpstr>xxMMProd5Seg8Units</vt:lpstr>
      <vt:lpstr>xxMMProd5Units</vt:lpstr>
      <vt:lpstr>xxMMProd6Driver1</vt:lpstr>
      <vt:lpstr>xxMMProd6Driver10</vt:lpstr>
      <vt:lpstr>xxMMProd6Driver2</vt:lpstr>
      <vt:lpstr>xxMMProd6Driver3</vt:lpstr>
      <vt:lpstr>xxMMProd6Driver4</vt:lpstr>
      <vt:lpstr>xxMMProd6Driver5</vt:lpstr>
      <vt:lpstr>xxMMProd6Driver6</vt:lpstr>
      <vt:lpstr>xxMMProd6Driver7</vt:lpstr>
      <vt:lpstr>xxMMProd6Driver8</vt:lpstr>
      <vt:lpstr>xxMMProd6Driver9</vt:lpstr>
      <vt:lpstr>xxMMProd6Seg1Units</vt:lpstr>
      <vt:lpstr>xxMMProd6Seg2Units</vt:lpstr>
      <vt:lpstr>xxMMProd6Seg3Units</vt:lpstr>
      <vt:lpstr>xxMMProd6Seg4Units</vt:lpstr>
      <vt:lpstr>xxMMProd6Seg5Units</vt:lpstr>
      <vt:lpstr>xxMMProd6Units</vt:lpstr>
      <vt:lpstr>xxNumOfTeams</vt:lpstr>
      <vt:lpstr>xxobalTeam1</vt:lpstr>
      <vt:lpstr>xxobalYear0Copy</vt:lpstr>
      <vt:lpstr>xxobalYear1Copy</vt:lpstr>
      <vt:lpstr>xxPopupWobblerCurrent</vt:lpstr>
      <vt:lpstr>xxPopupWobblerCurrentY4</vt:lpstr>
      <vt:lpstr>xxPopupWobblerDecLookup</vt:lpstr>
      <vt:lpstr>xxPopupWobblerDecMinDiff</vt:lpstr>
      <vt:lpstr>xxPopupWobblerDescription</vt:lpstr>
      <vt:lpstr>xxPopupWobblerExplain1Next</vt:lpstr>
      <vt:lpstr>xxPopupWobblerExplain1Text</vt:lpstr>
      <vt:lpstr>xxPopupWobblerExplain2Next</vt:lpstr>
      <vt:lpstr>xxPopupWobblerExplain2Text</vt:lpstr>
      <vt:lpstr>xxPopupWobblerExplain3Next</vt:lpstr>
      <vt:lpstr>xxPopupWobblerExplain3Text</vt:lpstr>
      <vt:lpstr>xxPopupWobblerMax</vt:lpstr>
      <vt:lpstr>xxPopupWobblerNumber</vt:lpstr>
      <vt:lpstr>xxPopupWobblerOption1Text</vt:lpstr>
      <vt:lpstr>xxPopupWobblerOption2Text</vt:lpstr>
      <vt:lpstr>xxPopupWobblerOption3Text</vt:lpstr>
      <vt:lpstr>xxPopupWobblerSlotNumber</vt:lpstr>
      <vt:lpstr>xxPopupWobblerStartY1</vt:lpstr>
      <vt:lpstr>xxPopupWobblerStartY2</vt:lpstr>
      <vt:lpstr>xxPopupWobblerStartY3</vt:lpstr>
      <vt:lpstr>xxPopupWobblerTitle</vt:lpstr>
      <vt:lpstr>xxProd1BaseUnits</vt:lpstr>
      <vt:lpstr>xxProd1Year0Vol</vt:lpstr>
      <vt:lpstr>xxProd2BaseUnits</vt:lpstr>
      <vt:lpstr>xxProd3BaseUnits</vt:lpstr>
      <vt:lpstr>xxProd4BaseUnits</vt:lpstr>
      <vt:lpstr>xxProd5BaseUnits</vt:lpstr>
      <vt:lpstr>xxProd6BaseUnits</vt:lpstr>
      <vt:lpstr>xxQAT</vt:lpstr>
      <vt:lpstr>xxRegSet</vt:lpstr>
      <vt:lpstr>xxRegSetCode</vt:lpstr>
      <vt:lpstr>xxRegSetLang</vt:lpstr>
      <vt:lpstr>xxResetDecXFormulasCopy</vt:lpstr>
      <vt:lpstr>xxShadedColor</vt:lpstr>
      <vt:lpstr>xxSim0Tool1</vt:lpstr>
      <vt:lpstr>xxSpecProgClear</vt:lpstr>
      <vt:lpstr>xxtlInputColorLocked</vt:lpstr>
      <vt:lpstr>xxtlInputColorUnLocked</vt:lpstr>
      <vt:lpstr>xxtoolIntroZoom</vt:lpstr>
      <vt:lpstr>xxWobblersAvailable</vt:lpstr>
      <vt:lpstr>xxWobblersCurrent</vt:lpstr>
      <vt:lpstr>xxWobblersUsed</vt:lpstr>
      <vt:lpstr>xxWobblersValid</vt:lpstr>
      <vt:lpstr>xxYear</vt:lpstr>
      <vt:lpstr>xxYear0Copy</vt:lpstr>
    </vt:vector>
  </TitlesOfParts>
  <Company>BTS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BTS Inc.</dc:creator>
  <cp:lastModifiedBy>Sagar Bansal</cp:lastModifiedBy>
  <cp:lastPrinted>2016-10-31T23:53:50Z</cp:lastPrinted>
  <dcterms:created xsi:type="dcterms:W3CDTF">1999-02-11T11:08:19Z</dcterms:created>
  <dcterms:modified xsi:type="dcterms:W3CDTF">2018-02-16T20:21:02Z</dcterms:modified>
</cp:coreProperties>
</file>